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Close\"/>
    </mc:Choice>
  </mc:AlternateContent>
  <bookViews>
    <workbookView xWindow="100" yWindow="6570" windowWidth="28860" windowHeight="6760" firstSheet="12" activeTab="19"/>
  </bookViews>
  <sheets>
    <sheet name="Provenance" sheetId="21" r:id="rId1"/>
    <sheet name="Total Trip Tables" sheetId="6" r:id="rId2"/>
    <sheet name="Total Distance Tables" sheetId="12" r:id="rId3"/>
    <sheet name="Total Duration Tables" sheetId="13" r:id="rId4"/>
    <sheet name="Total Trip Tables Sup #2" sheetId="18" r:id="rId5"/>
    <sheet name="Total Trip Tables Sup #1" sheetId="9" r:id="rId6"/>
    <sheet name="Total Trip Tables Original" sheetId="3" r:id="rId7"/>
    <sheet name="Total Distance Tables Sup #2" sheetId="16" r:id="rId8"/>
    <sheet name="Total Distance Tables Sup #1" sheetId="10" r:id="rId9"/>
    <sheet name="Total Distance Tables Original" sheetId="4" r:id="rId10"/>
    <sheet name="Total Duration Tables Sup #2" sheetId="17" r:id="rId11"/>
    <sheet name="Total Duration Tables Sup #1" sheetId="11" r:id="rId12"/>
    <sheet name="Total Duration Tables Original" sheetId="5" r:id="rId13"/>
    <sheet name="Original Population" sheetId="20" r:id="rId14"/>
    <sheet name="Updated Population" sheetId="7" r:id="rId15"/>
    <sheet name="Formatted Trip Summary" sheetId="2" r:id="rId16"/>
    <sheet name="Unformatted Trip Summary" sheetId="1" r:id="rId17"/>
    <sheet name="Active Mode Assumptions" sheetId="19" r:id="rId18"/>
    <sheet name="PT Assumptions" sheetId="15" r:id="rId19"/>
    <sheet name="Other Assumptions" sheetId="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uckland_Reference">'Formatted Trip Summary'!$A$81</definedName>
    <definedName name="BOP_Reference">'Formatted Trip Summary'!$A$249</definedName>
    <definedName name="Canterbury_Reference">'Formatted Trip Summary'!$A$858</definedName>
    <definedName name="Gisborne_Reference">'Formatted Trip Summary'!$A$319</definedName>
    <definedName name="Hawkes_Bay_Reference">'Formatted Trip Summary'!$A$403</definedName>
    <definedName name="Manawatu_Reference">'Formatted Trip Summary'!$A$550</definedName>
    <definedName name="Nelson_Reference">'Formatted Trip Summary'!$A$711</definedName>
    <definedName name="Northland_Reference">'Formatted Trip Summary'!$A$4</definedName>
    <definedName name="Otago_Reference">'Formatted Trip Summary'!$A$935</definedName>
    <definedName name="Southland_Reference">'Formatted Trip Summary'!$A$1005</definedName>
    <definedName name="Taranaki_Reference">'Formatted Trip Summary'!$A$473</definedName>
    <definedName name="Waikato_Reference">'Formatted Trip Summary'!$A$165</definedName>
    <definedName name="Wellington_Reference">'Formatted Trip Summary'!$A$627</definedName>
    <definedName name="West_Coast_Reference">'Formatted Trip Summary'!$A$788</definedName>
  </definedNames>
  <calcPr calcId="162913"/>
</workbook>
</file>

<file path=xl/calcChain.xml><?xml version="1.0" encoding="utf-8"?>
<calcChain xmlns="http://schemas.openxmlformats.org/spreadsheetml/2006/main">
  <c r="F7" i="15" l="1"/>
  <c r="H158" i="20" l="1"/>
  <c r="G158" i="20"/>
  <c r="F158" i="20"/>
  <c r="E158" i="20"/>
  <c r="D158" i="20"/>
  <c r="C158" i="20"/>
  <c r="B158" i="20"/>
  <c r="H147" i="20"/>
  <c r="G147" i="20"/>
  <c r="F147" i="20"/>
  <c r="E147" i="20"/>
  <c r="D147" i="20"/>
  <c r="C147" i="20"/>
  <c r="B147" i="20"/>
  <c r="H136" i="20"/>
  <c r="G136" i="20"/>
  <c r="F136" i="20"/>
  <c r="E136" i="20"/>
  <c r="D136" i="20"/>
  <c r="C136" i="20"/>
  <c r="B136" i="20"/>
  <c r="H125" i="20"/>
  <c r="G125" i="20"/>
  <c r="F125" i="20"/>
  <c r="E125" i="20"/>
  <c r="D125" i="20"/>
  <c r="C125" i="20"/>
  <c r="B125" i="20"/>
  <c r="H114" i="20"/>
  <c r="G114" i="20"/>
  <c r="F114" i="20"/>
  <c r="E114" i="20"/>
  <c r="D114" i="20"/>
  <c r="C114" i="20"/>
  <c r="B114" i="20"/>
  <c r="H103" i="20"/>
  <c r="G103" i="20"/>
  <c r="F103" i="20"/>
  <c r="E103" i="20"/>
  <c r="D103" i="20"/>
  <c r="C103" i="20"/>
  <c r="B103" i="20"/>
  <c r="H92" i="20"/>
  <c r="G92" i="20"/>
  <c r="F92" i="20"/>
  <c r="E92" i="20"/>
  <c r="D92" i="20"/>
  <c r="C92" i="20"/>
  <c r="B92" i="20"/>
  <c r="H81" i="20"/>
  <c r="G81" i="20"/>
  <c r="F81" i="20"/>
  <c r="E81" i="20"/>
  <c r="D81" i="20"/>
  <c r="C81" i="20"/>
  <c r="B81" i="20"/>
  <c r="H70" i="20"/>
  <c r="G70" i="20"/>
  <c r="F70" i="20"/>
  <c r="E70" i="20"/>
  <c r="D70" i="20"/>
  <c r="C70" i="20"/>
  <c r="B70" i="20"/>
  <c r="H59" i="20"/>
  <c r="G59" i="20"/>
  <c r="F59" i="20"/>
  <c r="E59" i="20"/>
  <c r="D59" i="20"/>
  <c r="C59" i="20"/>
  <c r="B59" i="20"/>
  <c r="H48" i="20"/>
  <c r="G48" i="20"/>
  <c r="F48" i="20"/>
  <c r="E48" i="20"/>
  <c r="D48" i="20"/>
  <c r="C48" i="20"/>
  <c r="B48" i="20"/>
  <c r="H37" i="20"/>
  <c r="G37" i="20"/>
  <c r="F37" i="20"/>
  <c r="E37" i="20"/>
  <c r="D37" i="20"/>
  <c r="C37" i="20"/>
  <c r="B37" i="20"/>
  <c r="H26" i="20"/>
  <c r="G26" i="20"/>
  <c r="F26" i="20"/>
  <c r="E26" i="20"/>
  <c r="D26" i="20"/>
  <c r="C26" i="20"/>
  <c r="B26" i="20"/>
  <c r="H15" i="20"/>
  <c r="G15" i="20"/>
  <c r="F15" i="20"/>
  <c r="E15" i="20"/>
  <c r="D15" i="20"/>
  <c r="C15" i="20"/>
  <c r="B15" i="20"/>
  <c r="H4" i="20"/>
  <c r="G4" i="20"/>
  <c r="F4" i="20"/>
  <c r="E4" i="20"/>
  <c r="D4" i="20"/>
  <c r="C4" i="20"/>
  <c r="B4" i="20"/>
  <c r="J1072" i="1" l="1"/>
  <c r="I1072" i="1"/>
  <c r="H1072" i="1"/>
  <c r="G1072" i="1"/>
  <c r="F1072" i="1"/>
  <c r="E1072" i="1"/>
  <c r="D1072" i="1"/>
  <c r="C1072" i="1"/>
  <c r="B1072" i="1"/>
  <c r="A1072" i="1"/>
  <c r="J1071" i="1"/>
  <c r="I1071" i="1"/>
  <c r="H1071" i="1"/>
  <c r="G1071" i="1"/>
  <c r="F1071" i="1"/>
  <c r="E1071" i="1"/>
  <c r="D1071" i="1"/>
  <c r="C1071" i="1"/>
  <c r="B1071" i="1"/>
  <c r="A1071" i="1"/>
  <c r="J1070" i="1"/>
  <c r="I1070" i="1"/>
  <c r="H1070" i="1"/>
  <c r="G1070" i="1"/>
  <c r="F1070" i="1"/>
  <c r="E1070" i="1"/>
  <c r="D1070" i="1"/>
  <c r="C1070" i="1"/>
  <c r="B1070" i="1"/>
  <c r="A1070" i="1"/>
  <c r="J1069" i="1"/>
  <c r="I1069" i="1"/>
  <c r="H1069" i="1"/>
  <c r="G1069" i="1"/>
  <c r="F1069" i="1"/>
  <c r="E1069" i="1"/>
  <c r="D1069" i="1"/>
  <c r="C1069" i="1"/>
  <c r="B1069" i="1"/>
  <c r="A1069" i="1"/>
  <c r="J1068" i="1"/>
  <c r="I1068" i="1"/>
  <c r="H1068" i="1"/>
  <c r="G1068" i="1"/>
  <c r="F1068" i="1"/>
  <c r="E1068" i="1"/>
  <c r="D1068" i="1"/>
  <c r="C1068" i="1"/>
  <c r="B1068" i="1"/>
  <c r="A1068" i="1"/>
  <c r="J1067" i="1"/>
  <c r="I1067" i="1"/>
  <c r="H1067" i="1"/>
  <c r="G1067" i="1"/>
  <c r="F1067" i="1"/>
  <c r="E1067" i="1"/>
  <c r="D1067" i="1"/>
  <c r="C1067" i="1"/>
  <c r="B1067" i="1"/>
  <c r="A1067" i="1"/>
  <c r="J1066" i="1"/>
  <c r="I1066" i="1"/>
  <c r="H1066" i="1"/>
  <c r="G1066" i="1"/>
  <c r="F1066" i="1"/>
  <c r="E1066" i="1"/>
  <c r="D1066" i="1"/>
  <c r="C1066" i="1"/>
  <c r="B1066" i="1"/>
  <c r="A1066" i="1"/>
  <c r="J1065" i="1"/>
  <c r="I1065" i="1"/>
  <c r="H1065" i="1"/>
  <c r="G1065" i="1"/>
  <c r="F1065" i="1"/>
  <c r="E1065" i="1"/>
  <c r="D1065" i="1"/>
  <c r="C1065" i="1"/>
  <c r="B1065" i="1"/>
  <c r="A1065" i="1"/>
  <c r="J1064" i="1"/>
  <c r="I1064" i="1"/>
  <c r="H1064" i="1"/>
  <c r="G1064" i="1"/>
  <c r="F1064" i="1"/>
  <c r="E1064" i="1"/>
  <c r="D1064" i="1"/>
  <c r="C1064" i="1"/>
  <c r="B1064" i="1"/>
  <c r="A1064" i="1"/>
  <c r="J1063" i="1"/>
  <c r="I1063" i="1"/>
  <c r="H1063" i="1"/>
  <c r="G1063" i="1"/>
  <c r="F1063" i="1"/>
  <c r="E1063" i="1"/>
  <c r="D1063" i="1"/>
  <c r="C1063" i="1"/>
  <c r="B1063" i="1"/>
  <c r="A1063" i="1"/>
  <c r="J1062" i="1"/>
  <c r="I1062" i="1"/>
  <c r="H1062" i="1"/>
  <c r="G1062" i="1"/>
  <c r="F1062" i="1"/>
  <c r="E1062" i="1"/>
  <c r="D1062" i="1"/>
  <c r="C1062" i="1"/>
  <c r="B1062" i="1"/>
  <c r="A1062" i="1"/>
  <c r="J1061" i="1"/>
  <c r="I1061" i="1"/>
  <c r="H1061" i="1"/>
  <c r="G1061" i="1"/>
  <c r="F1061" i="1"/>
  <c r="E1061" i="1"/>
  <c r="D1061" i="1"/>
  <c r="C1061" i="1"/>
  <c r="B1061" i="1"/>
  <c r="A1061" i="1"/>
  <c r="J1060" i="1"/>
  <c r="I1060" i="1"/>
  <c r="H1060" i="1"/>
  <c r="G1060" i="1"/>
  <c r="F1060" i="1"/>
  <c r="E1060" i="1"/>
  <c r="D1060" i="1"/>
  <c r="C1060" i="1"/>
  <c r="B1060" i="1"/>
  <c r="A1060" i="1"/>
  <c r="J1059" i="1"/>
  <c r="I1059" i="1"/>
  <c r="H1059" i="1"/>
  <c r="G1059" i="1"/>
  <c r="F1059" i="1"/>
  <c r="E1059" i="1"/>
  <c r="D1059" i="1"/>
  <c r="C1059" i="1"/>
  <c r="B1059" i="1"/>
  <c r="A1059" i="1"/>
  <c r="J1058" i="1"/>
  <c r="I1058" i="1"/>
  <c r="H1058" i="1"/>
  <c r="G1058" i="1"/>
  <c r="F1058" i="1"/>
  <c r="E1058" i="1"/>
  <c r="D1058" i="1"/>
  <c r="C1058" i="1"/>
  <c r="B1058" i="1"/>
  <c r="A1058" i="1"/>
  <c r="J1057" i="1"/>
  <c r="I1057" i="1"/>
  <c r="H1057" i="1"/>
  <c r="G1057" i="1"/>
  <c r="F1057" i="1"/>
  <c r="E1057" i="1"/>
  <c r="D1057" i="1"/>
  <c r="C1057" i="1"/>
  <c r="B1057" i="1"/>
  <c r="A1057" i="1"/>
  <c r="J1056" i="1"/>
  <c r="I1056" i="1"/>
  <c r="H1056" i="1"/>
  <c r="G1056" i="1"/>
  <c r="F1056" i="1"/>
  <c r="E1056" i="1"/>
  <c r="D1056" i="1"/>
  <c r="C1056" i="1"/>
  <c r="B1056" i="1"/>
  <c r="A1056" i="1"/>
  <c r="J1055" i="1"/>
  <c r="I1055" i="1"/>
  <c r="H1055" i="1"/>
  <c r="G1055" i="1"/>
  <c r="F1055" i="1"/>
  <c r="E1055" i="1"/>
  <c r="D1055" i="1"/>
  <c r="C1055" i="1"/>
  <c r="B1055" i="1"/>
  <c r="A1055" i="1"/>
  <c r="J1054" i="1"/>
  <c r="I1054" i="1"/>
  <c r="H1054" i="1"/>
  <c r="G1054" i="1"/>
  <c r="F1054" i="1"/>
  <c r="E1054" i="1"/>
  <c r="D1054" i="1"/>
  <c r="C1054" i="1"/>
  <c r="B1054" i="1"/>
  <c r="A1054" i="1"/>
  <c r="J1053" i="1"/>
  <c r="I1053" i="1"/>
  <c r="H1053" i="1"/>
  <c r="G1053" i="1"/>
  <c r="F1053" i="1"/>
  <c r="E1053" i="1"/>
  <c r="D1053" i="1"/>
  <c r="C1053" i="1"/>
  <c r="B1053" i="1"/>
  <c r="A1053" i="1"/>
  <c r="J1052" i="1"/>
  <c r="I1052" i="1"/>
  <c r="H1052" i="1"/>
  <c r="G1052" i="1"/>
  <c r="F1052" i="1"/>
  <c r="E1052" i="1"/>
  <c r="D1052" i="1"/>
  <c r="C1052" i="1"/>
  <c r="B1052" i="1"/>
  <c r="A1052" i="1"/>
  <c r="J1051" i="1"/>
  <c r="I1051" i="1"/>
  <c r="H1051" i="1"/>
  <c r="G1051" i="1"/>
  <c r="F1051" i="1"/>
  <c r="E1051" i="1"/>
  <c r="D1051" i="1"/>
  <c r="C1051" i="1"/>
  <c r="B1051" i="1"/>
  <c r="A1051" i="1"/>
  <c r="J1050" i="1"/>
  <c r="I1050" i="1"/>
  <c r="H1050" i="1"/>
  <c r="G1050" i="1"/>
  <c r="F1050" i="1"/>
  <c r="E1050" i="1"/>
  <c r="D1050" i="1"/>
  <c r="C1050" i="1"/>
  <c r="B1050" i="1"/>
  <c r="A1050" i="1"/>
  <c r="J1049" i="1"/>
  <c r="I1049" i="1"/>
  <c r="H1049" i="1"/>
  <c r="G1049" i="1"/>
  <c r="F1049" i="1"/>
  <c r="E1049" i="1"/>
  <c r="D1049" i="1"/>
  <c r="C1049" i="1"/>
  <c r="B1049" i="1"/>
  <c r="A1049" i="1"/>
  <c r="J1048" i="1"/>
  <c r="I1048" i="1"/>
  <c r="H1048" i="1"/>
  <c r="G1048" i="1"/>
  <c r="F1048" i="1"/>
  <c r="E1048" i="1"/>
  <c r="D1048" i="1"/>
  <c r="C1048" i="1"/>
  <c r="B1048" i="1"/>
  <c r="A1048" i="1"/>
  <c r="J1047" i="1"/>
  <c r="I1047" i="1"/>
  <c r="H1047" i="1"/>
  <c r="G1047" i="1"/>
  <c r="F1047" i="1"/>
  <c r="E1047" i="1"/>
  <c r="D1047" i="1"/>
  <c r="C1047" i="1"/>
  <c r="B1047" i="1"/>
  <c r="A1047" i="1"/>
  <c r="J1046" i="1"/>
  <c r="I1046" i="1"/>
  <c r="H1046" i="1"/>
  <c r="G1046" i="1"/>
  <c r="F1046" i="1"/>
  <c r="E1046" i="1"/>
  <c r="D1046" i="1"/>
  <c r="C1046" i="1"/>
  <c r="B1046" i="1"/>
  <c r="A1046" i="1"/>
  <c r="J1045" i="1"/>
  <c r="I1045" i="1"/>
  <c r="H1045" i="1"/>
  <c r="G1045" i="1"/>
  <c r="F1045" i="1"/>
  <c r="E1045" i="1"/>
  <c r="D1045" i="1"/>
  <c r="C1045" i="1"/>
  <c r="B1045" i="1"/>
  <c r="A1045" i="1"/>
  <c r="J1044" i="1"/>
  <c r="I1044" i="1"/>
  <c r="H1044" i="1"/>
  <c r="G1044" i="1"/>
  <c r="F1044" i="1"/>
  <c r="E1044" i="1"/>
  <c r="D1044" i="1"/>
  <c r="C1044" i="1"/>
  <c r="B1044" i="1"/>
  <c r="A1044" i="1"/>
  <c r="J1043" i="1"/>
  <c r="I1043" i="1"/>
  <c r="H1043" i="1"/>
  <c r="G1043" i="1"/>
  <c r="F1043" i="1"/>
  <c r="E1043" i="1"/>
  <c r="D1043" i="1"/>
  <c r="C1043" i="1"/>
  <c r="B1043" i="1"/>
  <c r="A1043" i="1"/>
  <c r="J1042" i="1"/>
  <c r="I1042" i="1"/>
  <c r="H1042" i="1"/>
  <c r="G1042" i="1"/>
  <c r="F1042" i="1"/>
  <c r="E1042" i="1"/>
  <c r="D1042" i="1"/>
  <c r="C1042" i="1"/>
  <c r="B1042" i="1"/>
  <c r="A1042" i="1"/>
  <c r="J1041" i="1"/>
  <c r="I1041" i="1"/>
  <c r="H1041" i="1"/>
  <c r="G1041" i="1"/>
  <c r="F1041" i="1"/>
  <c r="E1041" i="1"/>
  <c r="D1041" i="1"/>
  <c r="C1041" i="1"/>
  <c r="B1041" i="1"/>
  <c r="A1041" i="1"/>
  <c r="J1040" i="1"/>
  <c r="I1040" i="1"/>
  <c r="H1040" i="1"/>
  <c r="G1040" i="1"/>
  <c r="F1040" i="1"/>
  <c r="E1040" i="1"/>
  <c r="D1040" i="1"/>
  <c r="C1040" i="1"/>
  <c r="B1040" i="1"/>
  <c r="A1040" i="1"/>
  <c r="J1039" i="1"/>
  <c r="I1039" i="1"/>
  <c r="H1039" i="1"/>
  <c r="G1039" i="1"/>
  <c r="F1039" i="1"/>
  <c r="E1039" i="1"/>
  <c r="D1039" i="1"/>
  <c r="C1039" i="1"/>
  <c r="B1039" i="1"/>
  <c r="A1039" i="1"/>
  <c r="J1038" i="1"/>
  <c r="I1038" i="1"/>
  <c r="H1038" i="1"/>
  <c r="G1038" i="1"/>
  <c r="F1038" i="1"/>
  <c r="E1038" i="1"/>
  <c r="D1038" i="1"/>
  <c r="C1038" i="1"/>
  <c r="B1038" i="1"/>
  <c r="A1038" i="1"/>
  <c r="J1037" i="1"/>
  <c r="H1037" i="1"/>
  <c r="G1037" i="1"/>
  <c r="F1037" i="1"/>
  <c r="E1037" i="1"/>
  <c r="D1037" i="1"/>
  <c r="C1037" i="1"/>
  <c r="B1037" i="1"/>
  <c r="A1037" i="1"/>
  <c r="J1036" i="1"/>
  <c r="H1036" i="1"/>
  <c r="G1036" i="1"/>
  <c r="F1036" i="1"/>
  <c r="E1036" i="1"/>
  <c r="D1036" i="1"/>
  <c r="C1036" i="1"/>
  <c r="B1036" i="1"/>
  <c r="A1036" i="1"/>
  <c r="J1035" i="1"/>
  <c r="H1035" i="1"/>
  <c r="G1035" i="1"/>
  <c r="F1035" i="1"/>
  <c r="E1035" i="1"/>
  <c r="D1035" i="1"/>
  <c r="C1035" i="1"/>
  <c r="B1035" i="1"/>
  <c r="A1035" i="1"/>
  <c r="J1034" i="1"/>
  <c r="H1034" i="1"/>
  <c r="G1034" i="1"/>
  <c r="F1034" i="1"/>
  <c r="E1034" i="1"/>
  <c r="D1034" i="1"/>
  <c r="C1034" i="1"/>
  <c r="B1034" i="1"/>
  <c r="A1034" i="1"/>
  <c r="J1033" i="1"/>
  <c r="H1033" i="1"/>
  <c r="G1033" i="1"/>
  <c r="F1033" i="1"/>
  <c r="E1033" i="1"/>
  <c r="D1033" i="1"/>
  <c r="C1033" i="1"/>
  <c r="B1033" i="1"/>
  <c r="A1033" i="1"/>
  <c r="J1032" i="1"/>
  <c r="H1032" i="1"/>
  <c r="G1032" i="1"/>
  <c r="F1032" i="1"/>
  <c r="E1032" i="1"/>
  <c r="D1032" i="1"/>
  <c r="C1032" i="1"/>
  <c r="B1032" i="1"/>
  <c r="A1032" i="1"/>
  <c r="J1031" i="1"/>
  <c r="H1031" i="1"/>
  <c r="G1031" i="1"/>
  <c r="F1031" i="1"/>
  <c r="E1031" i="1"/>
  <c r="D1031" i="1"/>
  <c r="C1031" i="1"/>
  <c r="B1031" i="1"/>
  <c r="A1031" i="1"/>
  <c r="J1030" i="1"/>
  <c r="I1030" i="1"/>
  <c r="H1030" i="1"/>
  <c r="G1030" i="1"/>
  <c r="F1030" i="1"/>
  <c r="E1030" i="1"/>
  <c r="D1030" i="1"/>
  <c r="C1030" i="1"/>
  <c r="B1030" i="1"/>
  <c r="A1030" i="1"/>
  <c r="J1029" i="1"/>
  <c r="I1029" i="1"/>
  <c r="H1029" i="1"/>
  <c r="G1029" i="1"/>
  <c r="F1029" i="1"/>
  <c r="E1029" i="1"/>
  <c r="D1029" i="1"/>
  <c r="C1029" i="1"/>
  <c r="B1029" i="1"/>
  <c r="A1029" i="1"/>
  <c r="J1028" i="1"/>
  <c r="I1028" i="1"/>
  <c r="H1028" i="1"/>
  <c r="G1028" i="1"/>
  <c r="F1028" i="1"/>
  <c r="E1028" i="1"/>
  <c r="D1028" i="1"/>
  <c r="C1028" i="1"/>
  <c r="B1028" i="1"/>
  <c r="A1028" i="1"/>
  <c r="J1027" i="1"/>
  <c r="I1027" i="1"/>
  <c r="H1027" i="1"/>
  <c r="G1027" i="1"/>
  <c r="F1027" i="1"/>
  <c r="E1027" i="1"/>
  <c r="D1027" i="1"/>
  <c r="C1027" i="1"/>
  <c r="B1027" i="1"/>
  <c r="A1027" i="1"/>
  <c r="J1026" i="1"/>
  <c r="I1026" i="1"/>
  <c r="H1026" i="1"/>
  <c r="G1026" i="1"/>
  <c r="F1026" i="1"/>
  <c r="E1026" i="1"/>
  <c r="D1026" i="1"/>
  <c r="C1026" i="1"/>
  <c r="B1026" i="1"/>
  <c r="A1026" i="1"/>
  <c r="J1025" i="1"/>
  <c r="I1025" i="1"/>
  <c r="H1025" i="1"/>
  <c r="G1025" i="1"/>
  <c r="F1025" i="1"/>
  <c r="E1025" i="1"/>
  <c r="D1025" i="1"/>
  <c r="C1025" i="1"/>
  <c r="B1025" i="1"/>
  <c r="A1025" i="1"/>
  <c r="J1024" i="1"/>
  <c r="I1024" i="1"/>
  <c r="H1024" i="1"/>
  <c r="G1024" i="1"/>
  <c r="F1024" i="1"/>
  <c r="E1024" i="1"/>
  <c r="D1024" i="1"/>
  <c r="C1024" i="1"/>
  <c r="B1024" i="1"/>
  <c r="A1024" i="1"/>
  <c r="J1023" i="1"/>
  <c r="I1023" i="1"/>
  <c r="H1023" i="1"/>
  <c r="G1023" i="1"/>
  <c r="F1023" i="1"/>
  <c r="E1023" i="1"/>
  <c r="D1023" i="1"/>
  <c r="C1023" i="1"/>
  <c r="B1023" i="1"/>
  <c r="A1023" i="1"/>
  <c r="J1022" i="1"/>
  <c r="I1022" i="1"/>
  <c r="H1022" i="1"/>
  <c r="G1022" i="1"/>
  <c r="F1022" i="1"/>
  <c r="E1022" i="1"/>
  <c r="D1022" i="1"/>
  <c r="C1022" i="1"/>
  <c r="B1022" i="1"/>
  <c r="A1022" i="1"/>
  <c r="J1021" i="1"/>
  <c r="I1021" i="1"/>
  <c r="H1021" i="1"/>
  <c r="G1021" i="1"/>
  <c r="F1021" i="1"/>
  <c r="E1021" i="1"/>
  <c r="D1021" i="1"/>
  <c r="C1021" i="1"/>
  <c r="B1021" i="1"/>
  <c r="A1021" i="1"/>
  <c r="J1020" i="1"/>
  <c r="I1020" i="1"/>
  <c r="H1020" i="1"/>
  <c r="G1020" i="1"/>
  <c r="F1020" i="1"/>
  <c r="E1020" i="1"/>
  <c r="D1020" i="1"/>
  <c r="C1020" i="1"/>
  <c r="B1020" i="1"/>
  <c r="A1020" i="1"/>
  <c r="J1019" i="1"/>
  <c r="I1019" i="1"/>
  <c r="H1019" i="1"/>
  <c r="G1019" i="1"/>
  <c r="F1019" i="1"/>
  <c r="E1019" i="1"/>
  <c r="D1019" i="1"/>
  <c r="C1019" i="1"/>
  <c r="B1019" i="1"/>
  <c r="A1019" i="1"/>
  <c r="J1018" i="1"/>
  <c r="I1018" i="1"/>
  <c r="H1018" i="1"/>
  <c r="G1018" i="1"/>
  <c r="F1018" i="1"/>
  <c r="E1018" i="1"/>
  <c r="D1018" i="1"/>
  <c r="C1018" i="1"/>
  <c r="B1018" i="1"/>
  <c r="A1018" i="1"/>
  <c r="J1017" i="1"/>
  <c r="I1017" i="1"/>
  <c r="H1017" i="1"/>
  <c r="G1017" i="1"/>
  <c r="F1017" i="1"/>
  <c r="E1017" i="1"/>
  <c r="D1017" i="1"/>
  <c r="C1017" i="1"/>
  <c r="B1017" i="1"/>
  <c r="A1017" i="1"/>
  <c r="J1016" i="1"/>
  <c r="I1016" i="1"/>
  <c r="H1016" i="1"/>
  <c r="G1016" i="1"/>
  <c r="F1016" i="1"/>
  <c r="E1016" i="1"/>
  <c r="D1016" i="1"/>
  <c r="C1016" i="1"/>
  <c r="B1016" i="1"/>
  <c r="A1016" i="1"/>
  <c r="J1015" i="1"/>
  <c r="I1015" i="1"/>
  <c r="H1015" i="1"/>
  <c r="G1015" i="1"/>
  <c r="F1015" i="1"/>
  <c r="E1015" i="1"/>
  <c r="D1015" i="1"/>
  <c r="C1015" i="1"/>
  <c r="B1015" i="1"/>
  <c r="A1015" i="1"/>
  <c r="J1014" i="1"/>
  <c r="I1014" i="1"/>
  <c r="H1014" i="1"/>
  <c r="G1014" i="1"/>
  <c r="F1014" i="1"/>
  <c r="E1014" i="1"/>
  <c r="D1014" i="1"/>
  <c r="C1014" i="1"/>
  <c r="B1014" i="1"/>
  <c r="A1014" i="1"/>
  <c r="J1013" i="1"/>
  <c r="I1013" i="1"/>
  <c r="H1013" i="1"/>
  <c r="G1013" i="1"/>
  <c r="F1013" i="1"/>
  <c r="E1013" i="1"/>
  <c r="D1013" i="1"/>
  <c r="C1013" i="1"/>
  <c r="B1013" i="1"/>
  <c r="A1013" i="1"/>
  <c r="J1012" i="1"/>
  <c r="I1012" i="1"/>
  <c r="H1012" i="1"/>
  <c r="G1012" i="1"/>
  <c r="F1012" i="1"/>
  <c r="E1012" i="1"/>
  <c r="D1012" i="1"/>
  <c r="C1012" i="1"/>
  <c r="B1012" i="1"/>
  <c r="A1012" i="1"/>
  <c r="J1011" i="1"/>
  <c r="I1011" i="1"/>
  <c r="H1011" i="1"/>
  <c r="G1011" i="1"/>
  <c r="F1011" i="1"/>
  <c r="E1011" i="1"/>
  <c r="D1011" i="1"/>
  <c r="C1011" i="1"/>
  <c r="B1011" i="1"/>
  <c r="A1011" i="1"/>
  <c r="J1010" i="1"/>
  <c r="I1010" i="1"/>
  <c r="H1010" i="1"/>
  <c r="G1010" i="1"/>
  <c r="F1010" i="1"/>
  <c r="E1010" i="1"/>
  <c r="D1010" i="1"/>
  <c r="C1010" i="1"/>
  <c r="B1010" i="1"/>
  <c r="A1010" i="1"/>
  <c r="J1009" i="1"/>
  <c r="I1009" i="1"/>
  <c r="H1009" i="1"/>
  <c r="G1009" i="1"/>
  <c r="F1009" i="1"/>
  <c r="E1009" i="1"/>
  <c r="D1009" i="1"/>
  <c r="C1009" i="1"/>
  <c r="B1009" i="1"/>
  <c r="A1009" i="1"/>
  <c r="J1008" i="1"/>
  <c r="I1008" i="1"/>
  <c r="H1008" i="1"/>
  <c r="G1008" i="1"/>
  <c r="F1008" i="1"/>
  <c r="E1008" i="1"/>
  <c r="D1008" i="1"/>
  <c r="C1008" i="1"/>
  <c r="B1008" i="1"/>
  <c r="A1008" i="1"/>
  <c r="J1007" i="1"/>
  <c r="I1007" i="1"/>
  <c r="H1007" i="1"/>
  <c r="G1007" i="1"/>
  <c r="F1007" i="1"/>
  <c r="E1007" i="1"/>
  <c r="D1007" i="1"/>
  <c r="C1007" i="1"/>
  <c r="B1007" i="1"/>
  <c r="A1007" i="1"/>
  <c r="J1006" i="1"/>
  <c r="I1006" i="1"/>
  <c r="H1006" i="1"/>
  <c r="G1006" i="1"/>
  <c r="F1006" i="1"/>
  <c r="E1006" i="1"/>
  <c r="D1006" i="1"/>
  <c r="C1006" i="1"/>
  <c r="B1006" i="1"/>
  <c r="A1006" i="1"/>
  <c r="J1005" i="1"/>
  <c r="I1005" i="1"/>
  <c r="H1005" i="1"/>
  <c r="G1005" i="1"/>
  <c r="F1005" i="1"/>
  <c r="E1005" i="1"/>
  <c r="D1005" i="1"/>
  <c r="C1005" i="1"/>
  <c r="B1005" i="1"/>
  <c r="A1005" i="1"/>
  <c r="J1004" i="1"/>
  <c r="I1004" i="1"/>
  <c r="H1004" i="1"/>
  <c r="G1004" i="1"/>
  <c r="F1004" i="1"/>
  <c r="E1004" i="1"/>
  <c r="D1004" i="1"/>
  <c r="C1004" i="1"/>
  <c r="B1004" i="1"/>
  <c r="A1004" i="1"/>
  <c r="J1003" i="1"/>
  <c r="I1003" i="1"/>
  <c r="H1003" i="1"/>
  <c r="G1003" i="1"/>
  <c r="F1003" i="1"/>
  <c r="E1003" i="1"/>
  <c r="D1003" i="1"/>
  <c r="C1003" i="1"/>
  <c r="B1003" i="1"/>
  <c r="A1003" i="1"/>
  <c r="J1002" i="1"/>
  <c r="I1002" i="1"/>
  <c r="H1002" i="1"/>
  <c r="G1002" i="1"/>
  <c r="F1002" i="1"/>
  <c r="E1002" i="1"/>
  <c r="D1002" i="1"/>
  <c r="C1002" i="1"/>
  <c r="B1002" i="1"/>
  <c r="A1002" i="1"/>
  <c r="J1001" i="1"/>
  <c r="I1001" i="1"/>
  <c r="H1001" i="1"/>
  <c r="G1001" i="1"/>
  <c r="F1001" i="1"/>
  <c r="E1001" i="1"/>
  <c r="D1001" i="1"/>
  <c r="C1001" i="1"/>
  <c r="B1001" i="1"/>
  <c r="A1001" i="1"/>
  <c r="J1000" i="1"/>
  <c r="I1000" i="1"/>
  <c r="H1000" i="1"/>
  <c r="G1000" i="1"/>
  <c r="F1000" i="1"/>
  <c r="E1000" i="1"/>
  <c r="D1000" i="1"/>
  <c r="C1000" i="1"/>
  <c r="B1000" i="1"/>
  <c r="A1000" i="1"/>
  <c r="J999" i="1"/>
  <c r="I999" i="1"/>
  <c r="H999" i="1"/>
  <c r="G999" i="1"/>
  <c r="F999" i="1"/>
  <c r="E999" i="1"/>
  <c r="D999" i="1"/>
  <c r="C999" i="1"/>
  <c r="B999" i="1"/>
  <c r="A999" i="1"/>
  <c r="J998" i="1"/>
  <c r="I998" i="1"/>
  <c r="H998" i="1"/>
  <c r="G998" i="1"/>
  <c r="F998" i="1"/>
  <c r="E998" i="1"/>
  <c r="D998" i="1"/>
  <c r="C998" i="1"/>
  <c r="B998" i="1"/>
  <c r="A998" i="1"/>
  <c r="J997" i="1"/>
  <c r="I997" i="1"/>
  <c r="H997" i="1"/>
  <c r="G997" i="1"/>
  <c r="F997" i="1"/>
  <c r="E997" i="1"/>
  <c r="D997" i="1"/>
  <c r="C997" i="1"/>
  <c r="B997" i="1"/>
  <c r="A997" i="1"/>
  <c r="J996" i="1"/>
  <c r="I996" i="1"/>
  <c r="H996" i="1"/>
  <c r="G996" i="1"/>
  <c r="F996" i="1"/>
  <c r="E996" i="1"/>
  <c r="D996" i="1"/>
  <c r="C996" i="1"/>
  <c r="B996" i="1"/>
  <c r="A996" i="1"/>
  <c r="J995" i="1"/>
  <c r="I995" i="1"/>
  <c r="H995" i="1"/>
  <c r="G995" i="1"/>
  <c r="F995" i="1"/>
  <c r="E995" i="1"/>
  <c r="D995" i="1"/>
  <c r="C995" i="1"/>
  <c r="B995" i="1"/>
  <c r="A995" i="1"/>
  <c r="J994" i="1"/>
  <c r="I994" i="1"/>
  <c r="H994" i="1"/>
  <c r="G994" i="1"/>
  <c r="F994" i="1"/>
  <c r="E994" i="1"/>
  <c r="D994" i="1"/>
  <c r="C994" i="1"/>
  <c r="B994" i="1"/>
  <c r="A994" i="1"/>
  <c r="J993" i="1"/>
  <c r="I993" i="1"/>
  <c r="H993" i="1"/>
  <c r="G993" i="1"/>
  <c r="F993" i="1"/>
  <c r="E993" i="1"/>
  <c r="D993" i="1"/>
  <c r="C993" i="1"/>
  <c r="B993" i="1"/>
  <c r="A993" i="1"/>
  <c r="J992" i="1"/>
  <c r="I992" i="1"/>
  <c r="H992" i="1"/>
  <c r="G992" i="1"/>
  <c r="F992" i="1"/>
  <c r="E992" i="1"/>
  <c r="D992" i="1"/>
  <c r="C992" i="1"/>
  <c r="B992" i="1"/>
  <c r="A992" i="1"/>
  <c r="J991" i="1"/>
  <c r="I991" i="1"/>
  <c r="H991" i="1"/>
  <c r="G991" i="1"/>
  <c r="F991" i="1"/>
  <c r="E991" i="1"/>
  <c r="D991" i="1"/>
  <c r="C991" i="1"/>
  <c r="B991" i="1"/>
  <c r="A991" i="1"/>
  <c r="J990" i="1"/>
  <c r="I990" i="1"/>
  <c r="H990" i="1"/>
  <c r="G990" i="1"/>
  <c r="F990" i="1"/>
  <c r="E990" i="1"/>
  <c r="D990" i="1"/>
  <c r="C990" i="1"/>
  <c r="B990" i="1"/>
  <c r="A990" i="1"/>
  <c r="J989" i="1"/>
  <c r="I989" i="1"/>
  <c r="H989" i="1"/>
  <c r="G989" i="1"/>
  <c r="F989" i="1"/>
  <c r="E989" i="1"/>
  <c r="D989" i="1"/>
  <c r="C989" i="1"/>
  <c r="B989" i="1"/>
  <c r="A989" i="1"/>
  <c r="J988" i="1"/>
  <c r="I988" i="1"/>
  <c r="H988" i="1"/>
  <c r="G988" i="1"/>
  <c r="F988" i="1"/>
  <c r="E988" i="1"/>
  <c r="D988" i="1"/>
  <c r="C988" i="1"/>
  <c r="B988" i="1"/>
  <c r="A988" i="1"/>
  <c r="J987" i="1"/>
  <c r="I987" i="1"/>
  <c r="H987" i="1"/>
  <c r="G987" i="1"/>
  <c r="F987" i="1"/>
  <c r="E987" i="1"/>
  <c r="D987" i="1"/>
  <c r="C987" i="1"/>
  <c r="B987" i="1"/>
  <c r="A987" i="1"/>
  <c r="J986" i="1"/>
  <c r="I986" i="1"/>
  <c r="H986" i="1"/>
  <c r="G986" i="1"/>
  <c r="F986" i="1"/>
  <c r="E986" i="1"/>
  <c r="D986" i="1"/>
  <c r="C986" i="1"/>
  <c r="B986" i="1"/>
  <c r="A986" i="1"/>
  <c r="J985" i="1"/>
  <c r="I985" i="1"/>
  <c r="H985" i="1"/>
  <c r="G985" i="1"/>
  <c r="F985" i="1"/>
  <c r="E985" i="1"/>
  <c r="D985" i="1"/>
  <c r="C985" i="1"/>
  <c r="B985" i="1"/>
  <c r="A985" i="1"/>
  <c r="J984" i="1"/>
  <c r="I984" i="1"/>
  <c r="H984" i="1"/>
  <c r="G984" i="1"/>
  <c r="F984" i="1"/>
  <c r="E984" i="1"/>
  <c r="D984" i="1"/>
  <c r="C984" i="1"/>
  <c r="B984" i="1"/>
  <c r="A984" i="1"/>
  <c r="J983" i="1"/>
  <c r="I983" i="1"/>
  <c r="H983" i="1"/>
  <c r="G983" i="1"/>
  <c r="F983" i="1"/>
  <c r="E983" i="1"/>
  <c r="D983" i="1"/>
  <c r="C983" i="1"/>
  <c r="B983" i="1"/>
  <c r="A983" i="1"/>
  <c r="J982" i="1"/>
  <c r="I982" i="1"/>
  <c r="H982" i="1"/>
  <c r="G982" i="1"/>
  <c r="F982" i="1"/>
  <c r="E982" i="1"/>
  <c r="D982" i="1"/>
  <c r="C982" i="1"/>
  <c r="B982" i="1"/>
  <c r="A982" i="1"/>
  <c r="J981" i="1"/>
  <c r="I981" i="1"/>
  <c r="H981" i="1"/>
  <c r="G981" i="1"/>
  <c r="F981" i="1"/>
  <c r="E981" i="1"/>
  <c r="D981" i="1"/>
  <c r="C981" i="1"/>
  <c r="B981" i="1"/>
  <c r="A981" i="1"/>
  <c r="J980" i="1"/>
  <c r="I980" i="1"/>
  <c r="H980" i="1"/>
  <c r="G980" i="1"/>
  <c r="F980" i="1"/>
  <c r="E980" i="1"/>
  <c r="D980" i="1"/>
  <c r="C980" i="1"/>
  <c r="B980" i="1"/>
  <c r="A980" i="1"/>
  <c r="J979" i="1"/>
  <c r="I979" i="1"/>
  <c r="H979" i="1"/>
  <c r="G979" i="1"/>
  <c r="F979" i="1"/>
  <c r="E979" i="1"/>
  <c r="D979" i="1"/>
  <c r="C979" i="1"/>
  <c r="B979" i="1"/>
  <c r="A979" i="1"/>
  <c r="J978" i="1"/>
  <c r="I978" i="1"/>
  <c r="H978" i="1"/>
  <c r="G978" i="1"/>
  <c r="F978" i="1"/>
  <c r="E978" i="1"/>
  <c r="D978" i="1"/>
  <c r="C978" i="1"/>
  <c r="B978" i="1"/>
  <c r="A978" i="1"/>
  <c r="J977" i="1"/>
  <c r="I977" i="1"/>
  <c r="H977" i="1"/>
  <c r="G977" i="1"/>
  <c r="F977" i="1"/>
  <c r="E977" i="1"/>
  <c r="D977" i="1"/>
  <c r="C977" i="1"/>
  <c r="B977" i="1"/>
  <c r="A977" i="1"/>
  <c r="J976" i="1"/>
  <c r="I976" i="1"/>
  <c r="H976" i="1"/>
  <c r="G976" i="1"/>
  <c r="F976" i="1"/>
  <c r="E976" i="1"/>
  <c r="D976" i="1"/>
  <c r="C976" i="1"/>
  <c r="B976" i="1"/>
  <c r="A976" i="1"/>
  <c r="J975" i="1"/>
  <c r="I975" i="1"/>
  <c r="H975" i="1"/>
  <c r="G975" i="1"/>
  <c r="F975" i="1"/>
  <c r="E975" i="1"/>
  <c r="D975" i="1"/>
  <c r="C975" i="1"/>
  <c r="B975" i="1"/>
  <c r="A975" i="1"/>
  <c r="J974" i="1"/>
  <c r="I974" i="1"/>
  <c r="H974" i="1"/>
  <c r="G974" i="1"/>
  <c r="F974" i="1"/>
  <c r="E974" i="1"/>
  <c r="D974" i="1"/>
  <c r="C974" i="1"/>
  <c r="B974" i="1"/>
  <c r="A974" i="1"/>
  <c r="J973" i="1"/>
  <c r="I973" i="1"/>
  <c r="H973" i="1"/>
  <c r="G973" i="1"/>
  <c r="F973" i="1"/>
  <c r="E973" i="1"/>
  <c r="D973" i="1"/>
  <c r="C973" i="1"/>
  <c r="B973" i="1"/>
  <c r="A973" i="1"/>
  <c r="J972" i="1"/>
  <c r="I972" i="1"/>
  <c r="H972" i="1"/>
  <c r="G972" i="1"/>
  <c r="F972" i="1"/>
  <c r="E972" i="1"/>
  <c r="D972" i="1"/>
  <c r="C972" i="1"/>
  <c r="B972" i="1"/>
  <c r="A972" i="1"/>
  <c r="J971" i="1"/>
  <c r="I971" i="1"/>
  <c r="H971" i="1"/>
  <c r="G971" i="1"/>
  <c r="F971" i="1"/>
  <c r="E971" i="1"/>
  <c r="D971" i="1"/>
  <c r="C971" i="1"/>
  <c r="B971" i="1"/>
  <c r="A971" i="1"/>
  <c r="J970" i="1"/>
  <c r="I970" i="1"/>
  <c r="H970" i="1"/>
  <c r="G970" i="1"/>
  <c r="F970" i="1"/>
  <c r="E970" i="1"/>
  <c r="D970" i="1"/>
  <c r="C970" i="1"/>
  <c r="B970" i="1"/>
  <c r="A970" i="1"/>
  <c r="J969" i="1"/>
  <c r="I969" i="1"/>
  <c r="H969" i="1"/>
  <c r="G969" i="1"/>
  <c r="F969" i="1"/>
  <c r="E969" i="1"/>
  <c r="D969" i="1"/>
  <c r="C969" i="1"/>
  <c r="B969" i="1"/>
  <c r="A969" i="1"/>
  <c r="J968" i="1"/>
  <c r="I968" i="1"/>
  <c r="H968" i="1"/>
  <c r="G968" i="1"/>
  <c r="F968" i="1"/>
  <c r="E968" i="1"/>
  <c r="D968" i="1"/>
  <c r="C968" i="1"/>
  <c r="B968" i="1"/>
  <c r="A968" i="1"/>
  <c r="J967" i="1"/>
  <c r="H967" i="1"/>
  <c r="G967" i="1"/>
  <c r="F967" i="1"/>
  <c r="E967" i="1"/>
  <c r="D967" i="1"/>
  <c r="C967" i="1"/>
  <c r="B967" i="1"/>
  <c r="A967" i="1"/>
  <c r="J966" i="1"/>
  <c r="H966" i="1"/>
  <c r="G966" i="1"/>
  <c r="F966" i="1"/>
  <c r="E966" i="1"/>
  <c r="D966" i="1"/>
  <c r="C966" i="1"/>
  <c r="B966" i="1"/>
  <c r="A966" i="1"/>
  <c r="J965" i="1"/>
  <c r="H965" i="1"/>
  <c r="G965" i="1"/>
  <c r="F965" i="1"/>
  <c r="E965" i="1"/>
  <c r="D965" i="1"/>
  <c r="C965" i="1"/>
  <c r="B965" i="1"/>
  <c r="A965" i="1"/>
  <c r="J964" i="1"/>
  <c r="H964" i="1"/>
  <c r="G964" i="1"/>
  <c r="F964" i="1"/>
  <c r="E964" i="1"/>
  <c r="D964" i="1"/>
  <c r="C964" i="1"/>
  <c r="B964" i="1"/>
  <c r="A964" i="1"/>
  <c r="J963" i="1"/>
  <c r="H963" i="1"/>
  <c r="G963" i="1"/>
  <c r="F963" i="1"/>
  <c r="E963" i="1"/>
  <c r="D963" i="1"/>
  <c r="C963" i="1"/>
  <c r="B963" i="1"/>
  <c r="A963" i="1"/>
  <c r="J962" i="1"/>
  <c r="H962" i="1"/>
  <c r="G962" i="1"/>
  <c r="F962" i="1"/>
  <c r="E962" i="1"/>
  <c r="D962" i="1"/>
  <c r="C962" i="1"/>
  <c r="B962" i="1"/>
  <c r="A962" i="1"/>
  <c r="J961" i="1"/>
  <c r="H961" i="1"/>
  <c r="G961" i="1"/>
  <c r="F961" i="1"/>
  <c r="E961" i="1"/>
  <c r="D961" i="1"/>
  <c r="C961" i="1"/>
  <c r="B961" i="1"/>
  <c r="A961" i="1"/>
  <c r="J960" i="1"/>
  <c r="I960" i="1"/>
  <c r="H960" i="1"/>
  <c r="G960" i="1"/>
  <c r="F960" i="1"/>
  <c r="E960" i="1"/>
  <c r="D960" i="1"/>
  <c r="C960" i="1"/>
  <c r="B960" i="1"/>
  <c r="A960" i="1"/>
  <c r="J959" i="1"/>
  <c r="I959" i="1"/>
  <c r="H959" i="1"/>
  <c r="G959" i="1"/>
  <c r="F959" i="1"/>
  <c r="E959" i="1"/>
  <c r="D959" i="1"/>
  <c r="C959" i="1"/>
  <c r="B959" i="1"/>
  <c r="A959" i="1"/>
  <c r="J958" i="1"/>
  <c r="I958" i="1"/>
  <c r="H958" i="1"/>
  <c r="G958" i="1"/>
  <c r="F958" i="1"/>
  <c r="E958" i="1"/>
  <c r="D958" i="1"/>
  <c r="C958" i="1"/>
  <c r="B958" i="1"/>
  <c r="A958" i="1"/>
  <c r="J957" i="1"/>
  <c r="I957" i="1"/>
  <c r="H957" i="1"/>
  <c r="G957" i="1"/>
  <c r="F957" i="1"/>
  <c r="E957" i="1"/>
  <c r="D957" i="1"/>
  <c r="C957" i="1"/>
  <c r="B957" i="1"/>
  <c r="A957" i="1"/>
  <c r="J956" i="1"/>
  <c r="I956" i="1"/>
  <c r="H956" i="1"/>
  <c r="G956" i="1"/>
  <c r="F956" i="1"/>
  <c r="E956" i="1"/>
  <c r="D956" i="1"/>
  <c r="C956" i="1"/>
  <c r="B956" i="1"/>
  <c r="A956" i="1"/>
  <c r="J955" i="1"/>
  <c r="I955" i="1"/>
  <c r="H955" i="1"/>
  <c r="G955" i="1"/>
  <c r="F955" i="1"/>
  <c r="E955" i="1"/>
  <c r="D955" i="1"/>
  <c r="C955" i="1"/>
  <c r="B955" i="1"/>
  <c r="A955" i="1"/>
  <c r="J954" i="1"/>
  <c r="I954" i="1"/>
  <c r="H954" i="1"/>
  <c r="G954" i="1"/>
  <c r="F954" i="1"/>
  <c r="E954" i="1"/>
  <c r="D954" i="1"/>
  <c r="C954" i="1"/>
  <c r="B954" i="1"/>
  <c r="A954" i="1"/>
  <c r="J953" i="1"/>
  <c r="I953" i="1"/>
  <c r="H953" i="1"/>
  <c r="G953" i="1"/>
  <c r="F953" i="1"/>
  <c r="E953" i="1"/>
  <c r="D953" i="1"/>
  <c r="C953" i="1"/>
  <c r="B953" i="1"/>
  <c r="A953" i="1"/>
  <c r="J952" i="1"/>
  <c r="I952" i="1"/>
  <c r="H952" i="1"/>
  <c r="G952" i="1"/>
  <c r="F952" i="1"/>
  <c r="E952" i="1"/>
  <c r="D952" i="1"/>
  <c r="C952" i="1"/>
  <c r="B952" i="1"/>
  <c r="A952" i="1"/>
  <c r="J951" i="1"/>
  <c r="I951" i="1"/>
  <c r="H951" i="1"/>
  <c r="G951" i="1"/>
  <c r="F951" i="1"/>
  <c r="E951" i="1"/>
  <c r="D951" i="1"/>
  <c r="C951" i="1"/>
  <c r="B951" i="1"/>
  <c r="A951" i="1"/>
  <c r="J950" i="1"/>
  <c r="I950" i="1"/>
  <c r="H950" i="1"/>
  <c r="G950" i="1"/>
  <c r="F950" i="1"/>
  <c r="E950" i="1"/>
  <c r="D950" i="1"/>
  <c r="C950" i="1"/>
  <c r="B950" i="1"/>
  <c r="A950" i="1"/>
  <c r="J949" i="1"/>
  <c r="I949" i="1"/>
  <c r="H949" i="1"/>
  <c r="G949" i="1"/>
  <c r="F949" i="1"/>
  <c r="E949" i="1"/>
  <c r="D949" i="1"/>
  <c r="C949" i="1"/>
  <c r="B949" i="1"/>
  <c r="A949" i="1"/>
  <c r="J948" i="1"/>
  <c r="I948" i="1"/>
  <c r="H948" i="1"/>
  <c r="G948" i="1"/>
  <c r="F948" i="1"/>
  <c r="E948" i="1"/>
  <c r="D948" i="1"/>
  <c r="C948" i="1"/>
  <c r="B948" i="1"/>
  <c r="A948" i="1"/>
  <c r="J947" i="1"/>
  <c r="I947" i="1"/>
  <c r="H947" i="1"/>
  <c r="G947" i="1"/>
  <c r="F947" i="1"/>
  <c r="E947" i="1"/>
  <c r="D947" i="1"/>
  <c r="C947" i="1"/>
  <c r="B947" i="1"/>
  <c r="A947" i="1"/>
  <c r="J946" i="1"/>
  <c r="I946" i="1"/>
  <c r="H946" i="1"/>
  <c r="G946" i="1"/>
  <c r="F946" i="1"/>
  <c r="E946" i="1"/>
  <c r="D946" i="1"/>
  <c r="C946" i="1"/>
  <c r="B946" i="1"/>
  <c r="A946" i="1"/>
  <c r="J945" i="1"/>
  <c r="I945" i="1"/>
  <c r="H945" i="1"/>
  <c r="G945" i="1"/>
  <c r="F945" i="1"/>
  <c r="E945" i="1"/>
  <c r="D945" i="1"/>
  <c r="C945" i="1"/>
  <c r="B945" i="1"/>
  <c r="A945" i="1"/>
  <c r="J944" i="1"/>
  <c r="I944" i="1"/>
  <c r="H944" i="1"/>
  <c r="G944" i="1"/>
  <c r="F944" i="1"/>
  <c r="E944" i="1"/>
  <c r="D944" i="1"/>
  <c r="C944" i="1"/>
  <c r="B944" i="1"/>
  <c r="A944" i="1"/>
  <c r="J943" i="1"/>
  <c r="I943" i="1"/>
  <c r="H943" i="1"/>
  <c r="G943" i="1"/>
  <c r="F943" i="1"/>
  <c r="E943" i="1"/>
  <c r="D943" i="1"/>
  <c r="C943" i="1"/>
  <c r="B943" i="1"/>
  <c r="A943" i="1"/>
  <c r="J942" i="1"/>
  <c r="I942" i="1"/>
  <c r="H942" i="1"/>
  <c r="G942" i="1"/>
  <c r="F942" i="1"/>
  <c r="E942" i="1"/>
  <c r="D942" i="1"/>
  <c r="C942" i="1"/>
  <c r="B942" i="1"/>
  <c r="A942" i="1"/>
  <c r="J941" i="1"/>
  <c r="I941" i="1"/>
  <c r="H941" i="1"/>
  <c r="G941" i="1"/>
  <c r="F941" i="1"/>
  <c r="E941" i="1"/>
  <c r="D941" i="1"/>
  <c r="C941" i="1"/>
  <c r="B941" i="1"/>
  <c r="A941" i="1"/>
  <c r="J940" i="1"/>
  <c r="I940" i="1"/>
  <c r="H940" i="1"/>
  <c r="G940" i="1"/>
  <c r="F940" i="1"/>
  <c r="E940" i="1"/>
  <c r="D940" i="1"/>
  <c r="C940" i="1"/>
  <c r="B940" i="1"/>
  <c r="A940" i="1"/>
  <c r="J939" i="1"/>
  <c r="I939" i="1"/>
  <c r="H939" i="1"/>
  <c r="G939" i="1"/>
  <c r="F939" i="1"/>
  <c r="E939" i="1"/>
  <c r="D939" i="1"/>
  <c r="C939" i="1"/>
  <c r="B939" i="1"/>
  <c r="A939" i="1"/>
  <c r="J938" i="1"/>
  <c r="I938" i="1"/>
  <c r="H938" i="1"/>
  <c r="G938" i="1"/>
  <c r="F938" i="1"/>
  <c r="E938" i="1"/>
  <c r="D938" i="1"/>
  <c r="C938" i="1"/>
  <c r="B938" i="1"/>
  <c r="A938" i="1"/>
  <c r="J937" i="1"/>
  <c r="I937" i="1"/>
  <c r="H937" i="1"/>
  <c r="G937" i="1"/>
  <c r="F937" i="1"/>
  <c r="E937" i="1"/>
  <c r="D937" i="1"/>
  <c r="C937" i="1"/>
  <c r="B937" i="1"/>
  <c r="A937" i="1"/>
  <c r="J936" i="1"/>
  <c r="I936" i="1"/>
  <c r="H936" i="1"/>
  <c r="G936" i="1"/>
  <c r="F936" i="1"/>
  <c r="E936" i="1"/>
  <c r="D936" i="1"/>
  <c r="C936" i="1"/>
  <c r="B936" i="1"/>
  <c r="A936" i="1"/>
  <c r="J935" i="1"/>
  <c r="I935" i="1"/>
  <c r="H935" i="1"/>
  <c r="G935" i="1"/>
  <c r="F935" i="1"/>
  <c r="E935" i="1"/>
  <c r="D935" i="1"/>
  <c r="C935" i="1"/>
  <c r="B935" i="1"/>
  <c r="A935" i="1"/>
  <c r="J934" i="1"/>
  <c r="I934" i="1"/>
  <c r="H934" i="1"/>
  <c r="G934" i="1"/>
  <c r="F934" i="1"/>
  <c r="E934" i="1"/>
  <c r="D934" i="1"/>
  <c r="C934" i="1"/>
  <c r="B934" i="1"/>
  <c r="A934" i="1"/>
  <c r="J933" i="1"/>
  <c r="I933" i="1"/>
  <c r="H933" i="1"/>
  <c r="G933" i="1"/>
  <c r="F933" i="1"/>
  <c r="E933" i="1"/>
  <c r="D933" i="1"/>
  <c r="C933" i="1"/>
  <c r="B933" i="1"/>
  <c r="A933" i="1"/>
  <c r="J932" i="1"/>
  <c r="I932" i="1"/>
  <c r="H932" i="1"/>
  <c r="G932" i="1"/>
  <c r="F932" i="1"/>
  <c r="E932" i="1"/>
  <c r="D932" i="1"/>
  <c r="C932" i="1"/>
  <c r="B932" i="1"/>
  <c r="A932" i="1"/>
  <c r="J931" i="1"/>
  <c r="I931" i="1"/>
  <c r="H931" i="1"/>
  <c r="G931" i="1"/>
  <c r="F931" i="1"/>
  <c r="E931" i="1"/>
  <c r="D931" i="1"/>
  <c r="C931" i="1"/>
  <c r="B931" i="1"/>
  <c r="A931" i="1"/>
  <c r="J930" i="1"/>
  <c r="I930" i="1"/>
  <c r="H930" i="1"/>
  <c r="G930" i="1"/>
  <c r="F930" i="1"/>
  <c r="E930" i="1"/>
  <c r="D930" i="1"/>
  <c r="C930" i="1"/>
  <c r="B930" i="1"/>
  <c r="A930" i="1"/>
  <c r="J929" i="1"/>
  <c r="I929" i="1"/>
  <c r="H929" i="1"/>
  <c r="G929" i="1"/>
  <c r="F929" i="1"/>
  <c r="E929" i="1"/>
  <c r="D929" i="1"/>
  <c r="C929" i="1"/>
  <c r="B929" i="1"/>
  <c r="A929" i="1"/>
  <c r="J928" i="1"/>
  <c r="I928" i="1"/>
  <c r="H928" i="1"/>
  <c r="G928" i="1"/>
  <c r="F928" i="1"/>
  <c r="E928" i="1"/>
  <c r="D928" i="1"/>
  <c r="C928" i="1"/>
  <c r="B928" i="1"/>
  <c r="A928" i="1"/>
  <c r="J927" i="1"/>
  <c r="I927" i="1"/>
  <c r="H927" i="1"/>
  <c r="G927" i="1"/>
  <c r="F927" i="1"/>
  <c r="E927" i="1"/>
  <c r="D927" i="1"/>
  <c r="C927" i="1"/>
  <c r="B927" i="1"/>
  <c r="A927" i="1"/>
  <c r="J926" i="1"/>
  <c r="I926" i="1"/>
  <c r="H926" i="1"/>
  <c r="G926" i="1"/>
  <c r="F926" i="1"/>
  <c r="E926" i="1"/>
  <c r="D926" i="1"/>
  <c r="C926" i="1"/>
  <c r="B926" i="1"/>
  <c r="A926" i="1"/>
  <c r="J925" i="1"/>
  <c r="I925" i="1"/>
  <c r="H925" i="1"/>
  <c r="G925" i="1"/>
  <c r="F925" i="1"/>
  <c r="E925" i="1"/>
  <c r="D925" i="1"/>
  <c r="C925" i="1"/>
  <c r="B925" i="1"/>
  <c r="A925" i="1"/>
  <c r="J924" i="1"/>
  <c r="I924" i="1"/>
  <c r="H924" i="1"/>
  <c r="G924" i="1"/>
  <c r="F924" i="1"/>
  <c r="E924" i="1"/>
  <c r="D924" i="1"/>
  <c r="C924" i="1"/>
  <c r="B924" i="1"/>
  <c r="A924" i="1"/>
  <c r="J923" i="1"/>
  <c r="I923" i="1"/>
  <c r="H923" i="1"/>
  <c r="G923" i="1"/>
  <c r="F923" i="1"/>
  <c r="E923" i="1"/>
  <c r="D923" i="1"/>
  <c r="C923" i="1"/>
  <c r="B923" i="1"/>
  <c r="A923" i="1"/>
  <c r="J922" i="1"/>
  <c r="I922" i="1"/>
  <c r="H922" i="1"/>
  <c r="G922" i="1"/>
  <c r="F922" i="1"/>
  <c r="E922" i="1"/>
  <c r="D922" i="1"/>
  <c r="C922" i="1"/>
  <c r="B922" i="1"/>
  <c r="A922" i="1"/>
  <c r="J921" i="1"/>
  <c r="I921" i="1"/>
  <c r="H921" i="1"/>
  <c r="G921" i="1"/>
  <c r="F921" i="1"/>
  <c r="E921" i="1"/>
  <c r="D921" i="1"/>
  <c r="C921" i="1"/>
  <c r="B921" i="1"/>
  <c r="A921" i="1"/>
  <c r="J920" i="1"/>
  <c r="I920" i="1"/>
  <c r="H920" i="1"/>
  <c r="G920" i="1"/>
  <c r="F920" i="1"/>
  <c r="E920" i="1"/>
  <c r="D920" i="1"/>
  <c r="C920" i="1"/>
  <c r="B920" i="1"/>
  <c r="A920" i="1"/>
  <c r="J919" i="1"/>
  <c r="I919" i="1"/>
  <c r="H919" i="1"/>
  <c r="G919" i="1"/>
  <c r="F919" i="1"/>
  <c r="E919" i="1"/>
  <c r="D919" i="1"/>
  <c r="C919" i="1"/>
  <c r="B919" i="1"/>
  <c r="A919" i="1"/>
  <c r="J918" i="1"/>
  <c r="I918" i="1"/>
  <c r="H918" i="1"/>
  <c r="G918" i="1"/>
  <c r="F918" i="1"/>
  <c r="E918" i="1"/>
  <c r="D918" i="1"/>
  <c r="C918" i="1"/>
  <c r="B918" i="1"/>
  <c r="A918" i="1"/>
  <c r="J917" i="1"/>
  <c r="I917" i="1"/>
  <c r="H917" i="1"/>
  <c r="G917" i="1"/>
  <c r="F917" i="1"/>
  <c r="E917" i="1"/>
  <c r="D917" i="1"/>
  <c r="C917" i="1"/>
  <c r="B917" i="1"/>
  <c r="A917" i="1"/>
  <c r="J916" i="1"/>
  <c r="I916" i="1"/>
  <c r="H916" i="1"/>
  <c r="G916" i="1"/>
  <c r="F916" i="1"/>
  <c r="E916" i="1"/>
  <c r="D916" i="1"/>
  <c r="C916" i="1"/>
  <c r="B916" i="1"/>
  <c r="A916" i="1"/>
  <c r="J915" i="1"/>
  <c r="I915" i="1"/>
  <c r="H915" i="1"/>
  <c r="G915" i="1"/>
  <c r="F915" i="1"/>
  <c r="E915" i="1"/>
  <c r="D915" i="1"/>
  <c r="C915" i="1"/>
  <c r="B915" i="1"/>
  <c r="A915" i="1"/>
  <c r="J914" i="1"/>
  <c r="I914" i="1"/>
  <c r="H914" i="1"/>
  <c r="G914" i="1"/>
  <c r="F914" i="1"/>
  <c r="E914" i="1"/>
  <c r="D914" i="1"/>
  <c r="C914" i="1"/>
  <c r="B914" i="1"/>
  <c r="A914" i="1"/>
  <c r="J913" i="1"/>
  <c r="I913" i="1"/>
  <c r="H913" i="1"/>
  <c r="G913" i="1"/>
  <c r="F913" i="1"/>
  <c r="E913" i="1"/>
  <c r="D913" i="1"/>
  <c r="C913" i="1"/>
  <c r="B913" i="1"/>
  <c r="A913" i="1"/>
  <c r="J912" i="1"/>
  <c r="I912" i="1"/>
  <c r="H912" i="1"/>
  <c r="G912" i="1"/>
  <c r="F912" i="1"/>
  <c r="E912" i="1"/>
  <c r="D912" i="1"/>
  <c r="C912" i="1"/>
  <c r="B912" i="1"/>
  <c r="A912" i="1"/>
  <c r="J911" i="1"/>
  <c r="I911" i="1"/>
  <c r="H911" i="1"/>
  <c r="G911" i="1"/>
  <c r="F911" i="1"/>
  <c r="E911" i="1"/>
  <c r="D911" i="1"/>
  <c r="C911" i="1"/>
  <c r="B911" i="1"/>
  <c r="A911" i="1"/>
  <c r="J910" i="1"/>
  <c r="I910" i="1"/>
  <c r="H910" i="1"/>
  <c r="G910" i="1"/>
  <c r="F910" i="1"/>
  <c r="E910" i="1"/>
  <c r="D910" i="1"/>
  <c r="C910" i="1"/>
  <c r="B910" i="1"/>
  <c r="A910" i="1"/>
  <c r="J909" i="1"/>
  <c r="I909" i="1"/>
  <c r="H909" i="1"/>
  <c r="G909" i="1"/>
  <c r="F909" i="1"/>
  <c r="E909" i="1"/>
  <c r="D909" i="1"/>
  <c r="C909" i="1"/>
  <c r="B909" i="1"/>
  <c r="A909" i="1"/>
  <c r="J908" i="1"/>
  <c r="I908" i="1"/>
  <c r="H908" i="1"/>
  <c r="G908" i="1"/>
  <c r="F908" i="1"/>
  <c r="E908" i="1"/>
  <c r="D908" i="1"/>
  <c r="C908" i="1"/>
  <c r="B908" i="1"/>
  <c r="A908" i="1"/>
  <c r="J907" i="1"/>
  <c r="I907" i="1"/>
  <c r="H907" i="1"/>
  <c r="G907" i="1"/>
  <c r="F907" i="1"/>
  <c r="E907" i="1"/>
  <c r="D907" i="1"/>
  <c r="C907" i="1"/>
  <c r="B907" i="1"/>
  <c r="A907" i="1"/>
  <c r="J906" i="1"/>
  <c r="I906" i="1"/>
  <c r="H906" i="1"/>
  <c r="G906" i="1"/>
  <c r="F906" i="1"/>
  <c r="E906" i="1"/>
  <c r="D906" i="1"/>
  <c r="C906" i="1"/>
  <c r="B906" i="1"/>
  <c r="A906" i="1"/>
  <c r="J905" i="1"/>
  <c r="I905" i="1"/>
  <c r="H905" i="1"/>
  <c r="G905" i="1"/>
  <c r="F905" i="1"/>
  <c r="E905" i="1"/>
  <c r="D905" i="1"/>
  <c r="C905" i="1"/>
  <c r="B905" i="1"/>
  <c r="A905" i="1"/>
  <c r="J904" i="1"/>
  <c r="I904" i="1"/>
  <c r="H904" i="1"/>
  <c r="G904" i="1"/>
  <c r="F904" i="1"/>
  <c r="E904" i="1"/>
  <c r="D904" i="1"/>
  <c r="C904" i="1"/>
  <c r="B904" i="1"/>
  <c r="A904" i="1"/>
  <c r="J903" i="1"/>
  <c r="I903" i="1"/>
  <c r="H903" i="1"/>
  <c r="G903" i="1"/>
  <c r="F903" i="1"/>
  <c r="E903" i="1"/>
  <c r="D903" i="1"/>
  <c r="C903" i="1"/>
  <c r="B903" i="1"/>
  <c r="A903" i="1"/>
  <c r="J902" i="1"/>
  <c r="I902" i="1"/>
  <c r="H902" i="1"/>
  <c r="G902" i="1"/>
  <c r="F902" i="1"/>
  <c r="E902" i="1"/>
  <c r="D902" i="1"/>
  <c r="C902" i="1"/>
  <c r="B902" i="1"/>
  <c r="A902" i="1"/>
  <c r="J901" i="1"/>
  <c r="I901" i="1"/>
  <c r="H901" i="1"/>
  <c r="G901" i="1"/>
  <c r="F901" i="1"/>
  <c r="E901" i="1"/>
  <c r="D901" i="1"/>
  <c r="C901" i="1"/>
  <c r="B901" i="1"/>
  <c r="A901" i="1"/>
  <c r="J900" i="1"/>
  <c r="I900" i="1"/>
  <c r="H900" i="1"/>
  <c r="G900" i="1"/>
  <c r="F900" i="1"/>
  <c r="E900" i="1"/>
  <c r="D900" i="1"/>
  <c r="C900" i="1"/>
  <c r="B900" i="1"/>
  <c r="A900" i="1"/>
  <c r="J899" i="1"/>
  <c r="I899" i="1"/>
  <c r="H899" i="1"/>
  <c r="G899" i="1"/>
  <c r="F899" i="1"/>
  <c r="E899" i="1"/>
  <c r="D899" i="1"/>
  <c r="C899" i="1"/>
  <c r="B899" i="1"/>
  <c r="A899" i="1"/>
  <c r="J898" i="1"/>
  <c r="I898" i="1"/>
  <c r="H898" i="1"/>
  <c r="G898" i="1"/>
  <c r="F898" i="1"/>
  <c r="E898" i="1"/>
  <c r="D898" i="1"/>
  <c r="C898" i="1"/>
  <c r="B898" i="1"/>
  <c r="A898" i="1"/>
  <c r="J897" i="1"/>
  <c r="I897" i="1"/>
  <c r="H897" i="1"/>
  <c r="G897" i="1"/>
  <c r="F897" i="1"/>
  <c r="E897" i="1"/>
  <c r="D897" i="1"/>
  <c r="C897" i="1"/>
  <c r="B897" i="1"/>
  <c r="A897" i="1"/>
  <c r="J896" i="1"/>
  <c r="I896" i="1"/>
  <c r="H896" i="1"/>
  <c r="G896" i="1"/>
  <c r="F896" i="1"/>
  <c r="E896" i="1"/>
  <c r="D896" i="1"/>
  <c r="C896" i="1"/>
  <c r="B896" i="1"/>
  <c r="A896" i="1"/>
  <c r="J895" i="1"/>
  <c r="I895" i="1"/>
  <c r="H895" i="1"/>
  <c r="G895" i="1"/>
  <c r="F895" i="1"/>
  <c r="E895" i="1"/>
  <c r="D895" i="1"/>
  <c r="C895" i="1"/>
  <c r="B895" i="1"/>
  <c r="A895" i="1"/>
  <c r="J894" i="1"/>
  <c r="I894" i="1"/>
  <c r="H894" i="1"/>
  <c r="G894" i="1"/>
  <c r="F894" i="1"/>
  <c r="E894" i="1"/>
  <c r="D894" i="1"/>
  <c r="C894" i="1"/>
  <c r="B894" i="1"/>
  <c r="A894" i="1"/>
  <c r="J893" i="1"/>
  <c r="I893" i="1"/>
  <c r="H893" i="1"/>
  <c r="G893" i="1"/>
  <c r="F893" i="1"/>
  <c r="E893" i="1"/>
  <c r="D893" i="1"/>
  <c r="C893" i="1"/>
  <c r="B893" i="1"/>
  <c r="A893" i="1"/>
  <c r="J892" i="1"/>
  <c r="I892" i="1"/>
  <c r="H892" i="1"/>
  <c r="G892" i="1"/>
  <c r="F892" i="1"/>
  <c r="E892" i="1"/>
  <c r="D892" i="1"/>
  <c r="C892" i="1"/>
  <c r="B892" i="1"/>
  <c r="A892" i="1"/>
  <c r="J891" i="1"/>
  <c r="I891" i="1"/>
  <c r="H891" i="1"/>
  <c r="G891" i="1"/>
  <c r="F891" i="1"/>
  <c r="E891" i="1"/>
  <c r="D891" i="1"/>
  <c r="C891" i="1"/>
  <c r="B891" i="1"/>
  <c r="A891" i="1"/>
  <c r="J890" i="1"/>
  <c r="H890" i="1"/>
  <c r="G890" i="1"/>
  <c r="F890" i="1"/>
  <c r="E890" i="1"/>
  <c r="D890" i="1"/>
  <c r="C890" i="1"/>
  <c r="B890" i="1"/>
  <c r="A890" i="1"/>
  <c r="J889" i="1"/>
  <c r="H889" i="1"/>
  <c r="G889" i="1"/>
  <c r="F889" i="1"/>
  <c r="E889" i="1"/>
  <c r="D889" i="1"/>
  <c r="C889" i="1"/>
  <c r="B889" i="1"/>
  <c r="A889" i="1"/>
  <c r="J888" i="1"/>
  <c r="H888" i="1"/>
  <c r="G888" i="1"/>
  <c r="F888" i="1"/>
  <c r="E888" i="1"/>
  <c r="D888" i="1"/>
  <c r="C888" i="1"/>
  <c r="B888" i="1"/>
  <c r="A888" i="1"/>
  <c r="J887" i="1"/>
  <c r="H887" i="1"/>
  <c r="G887" i="1"/>
  <c r="F887" i="1"/>
  <c r="E887" i="1"/>
  <c r="D887" i="1"/>
  <c r="C887" i="1"/>
  <c r="B887" i="1"/>
  <c r="A887" i="1"/>
  <c r="J886" i="1"/>
  <c r="H886" i="1"/>
  <c r="G886" i="1"/>
  <c r="F886" i="1"/>
  <c r="E886" i="1"/>
  <c r="D886" i="1"/>
  <c r="C886" i="1"/>
  <c r="B886" i="1"/>
  <c r="A886" i="1"/>
  <c r="J885" i="1"/>
  <c r="H885" i="1"/>
  <c r="G885" i="1"/>
  <c r="F885" i="1"/>
  <c r="E885" i="1"/>
  <c r="D885" i="1"/>
  <c r="C885" i="1"/>
  <c r="B885" i="1"/>
  <c r="A885" i="1"/>
  <c r="J884" i="1"/>
  <c r="H884" i="1"/>
  <c r="G884" i="1"/>
  <c r="F884" i="1"/>
  <c r="E884" i="1"/>
  <c r="D884" i="1"/>
  <c r="C884" i="1"/>
  <c r="B884" i="1"/>
  <c r="A884" i="1"/>
  <c r="J883" i="1"/>
  <c r="I883" i="1"/>
  <c r="H883" i="1"/>
  <c r="G883" i="1"/>
  <c r="F883" i="1"/>
  <c r="E883" i="1"/>
  <c r="D883" i="1"/>
  <c r="C883" i="1"/>
  <c r="B883" i="1"/>
  <c r="A883" i="1"/>
  <c r="J882" i="1"/>
  <c r="I882" i="1"/>
  <c r="H882" i="1"/>
  <c r="G882" i="1"/>
  <c r="F882" i="1"/>
  <c r="E882" i="1"/>
  <c r="D882" i="1"/>
  <c r="C882" i="1"/>
  <c r="B882" i="1"/>
  <c r="A882" i="1"/>
  <c r="J881" i="1"/>
  <c r="I881" i="1"/>
  <c r="H881" i="1"/>
  <c r="G881" i="1"/>
  <c r="F881" i="1"/>
  <c r="E881" i="1"/>
  <c r="D881" i="1"/>
  <c r="C881" i="1"/>
  <c r="B881" i="1"/>
  <c r="A881" i="1"/>
  <c r="J880" i="1"/>
  <c r="I880" i="1"/>
  <c r="H880" i="1"/>
  <c r="G880" i="1"/>
  <c r="F880" i="1"/>
  <c r="E880" i="1"/>
  <c r="D880" i="1"/>
  <c r="C880" i="1"/>
  <c r="B880" i="1"/>
  <c r="A880" i="1"/>
  <c r="J879" i="1"/>
  <c r="I879" i="1"/>
  <c r="H879" i="1"/>
  <c r="G879" i="1"/>
  <c r="F879" i="1"/>
  <c r="E879" i="1"/>
  <c r="D879" i="1"/>
  <c r="C879" i="1"/>
  <c r="B879" i="1"/>
  <c r="A879" i="1"/>
  <c r="J878" i="1"/>
  <c r="I878" i="1"/>
  <c r="H878" i="1"/>
  <c r="G878" i="1"/>
  <c r="F878" i="1"/>
  <c r="E878" i="1"/>
  <c r="D878" i="1"/>
  <c r="C878" i="1"/>
  <c r="B878" i="1"/>
  <c r="A878" i="1"/>
  <c r="J877" i="1"/>
  <c r="I877" i="1"/>
  <c r="H877" i="1"/>
  <c r="G877" i="1"/>
  <c r="F877" i="1"/>
  <c r="E877" i="1"/>
  <c r="D877" i="1"/>
  <c r="C877" i="1"/>
  <c r="B877" i="1"/>
  <c r="A877" i="1"/>
  <c r="J876" i="1"/>
  <c r="I876" i="1"/>
  <c r="H876" i="1"/>
  <c r="G876" i="1"/>
  <c r="F876" i="1"/>
  <c r="E876" i="1"/>
  <c r="D876" i="1"/>
  <c r="C876" i="1"/>
  <c r="B876" i="1"/>
  <c r="A876" i="1"/>
  <c r="J875" i="1"/>
  <c r="I875" i="1"/>
  <c r="H875" i="1"/>
  <c r="G875" i="1"/>
  <c r="F875" i="1"/>
  <c r="E875" i="1"/>
  <c r="D875" i="1"/>
  <c r="C875" i="1"/>
  <c r="B875" i="1"/>
  <c r="A875" i="1"/>
  <c r="J874" i="1"/>
  <c r="I874" i="1"/>
  <c r="H874" i="1"/>
  <c r="G874" i="1"/>
  <c r="F874" i="1"/>
  <c r="E874" i="1"/>
  <c r="D874" i="1"/>
  <c r="C874" i="1"/>
  <c r="B874" i="1"/>
  <c r="A874" i="1"/>
  <c r="J873" i="1"/>
  <c r="I873" i="1"/>
  <c r="H873" i="1"/>
  <c r="G873" i="1"/>
  <c r="F873" i="1"/>
  <c r="E873" i="1"/>
  <c r="D873" i="1"/>
  <c r="C873" i="1"/>
  <c r="B873" i="1"/>
  <c r="A873" i="1"/>
  <c r="J872" i="1"/>
  <c r="I872" i="1"/>
  <c r="H872" i="1"/>
  <c r="G872" i="1"/>
  <c r="F872" i="1"/>
  <c r="E872" i="1"/>
  <c r="D872" i="1"/>
  <c r="C872" i="1"/>
  <c r="B872" i="1"/>
  <c r="A872" i="1"/>
  <c r="J871" i="1"/>
  <c r="I871" i="1"/>
  <c r="H871" i="1"/>
  <c r="G871" i="1"/>
  <c r="F871" i="1"/>
  <c r="E871" i="1"/>
  <c r="D871" i="1"/>
  <c r="C871" i="1"/>
  <c r="B871" i="1"/>
  <c r="A871" i="1"/>
  <c r="J870" i="1"/>
  <c r="I870" i="1"/>
  <c r="H870" i="1"/>
  <c r="G870" i="1"/>
  <c r="F870" i="1"/>
  <c r="E870" i="1"/>
  <c r="D870" i="1"/>
  <c r="C870" i="1"/>
  <c r="B870" i="1"/>
  <c r="A870" i="1"/>
  <c r="J869" i="1"/>
  <c r="I869" i="1"/>
  <c r="H869" i="1"/>
  <c r="G869" i="1"/>
  <c r="F869" i="1"/>
  <c r="E869" i="1"/>
  <c r="D869" i="1"/>
  <c r="C869" i="1"/>
  <c r="B869" i="1"/>
  <c r="A869" i="1"/>
  <c r="J868" i="1"/>
  <c r="I868" i="1"/>
  <c r="H868" i="1"/>
  <c r="G868" i="1"/>
  <c r="F868" i="1"/>
  <c r="E868" i="1"/>
  <c r="D868" i="1"/>
  <c r="C868" i="1"/>
  <c r="B868" i="1"/>
  <c r="A868" i="1"/>
  <c r="J867" i="1"/>
  <c r="I867" i="1"/>
  <c r="H867" i="1"/>
  <c r="G867" i="1"/>
  <c r="F867" i="1"/>
  <c r="E867" i="1"/>
  <c r="D867" i="1"/>
  <c r="C867" i="1"/>
  <c r="B867" i="1"/>
  <c r="A867" i="1"/>
  <c r="J866" i="1"/>
  <c r="I866" i="1"/>
  <c r="H866" i="1"/>
  <c r="G866" i="1"/>
  <c r="F866" i="1"/>
  <c r="E866" i="1"/>
  <c r="D866" i="1"/>
  <c r="C866" i="1"/>
  <c r="B866" i="1"/>
  <c r="A866" i="1"/>
  <c r="J865" i="1"/>
  <c r="I865" i="1"/>
  <c r="H865" i="1"/>
  <c r="G865" i="1"/>
  <c r="F865" i="1"/>
  <c r="E865" i="1"/>
  <c r="D865" i="1"/>
  <c r="C865" i="1"/>
  <c r="B865" i="1"/>
  <c r="A865" i="1"/>
  <c r="J864" i="1"/>
  <c r="I864" i="1"/>
  <c r="H864" i="1"/>
  <c r="G864" i="1"/>
  <c r="F864" i="1"/>
  <c r="E864" i="1"/>
  <c r="D864" i="1"/>
  <c r="C864" i="1"/>
  <c r="B864" i="1"/>
  <c r="A864" i="1"/>
  <c r="J863" i="1"/>
  <c r="I863" i="1"/>
  <c r="H863" i="1"/>
  <c r="G863" i="1"/>
  <c r="F863" i="1"/>
  <c r="E863" i="1"/>
  <c r="D863" i="1"/>
  <c r="C863" i="1"/>
  <c r="B863" i="1"/>
  <c r="A863" i="1"/>
  <c r="J862" i="1"/>
  <c r="I862" i="1"/>
  <c r="H862" i="1"/>
  <c r="G862" i="1"/>
  <c r="F862" i="1"/>
  <c r="E862" i="1"/>
  <c r="D862" i="1"/>
  <c r="C862" i="1"/>
  <c r="B862" i="1"/>
  <c r="A862" i="1"/>
  <c r="J861" i="1"/>
  <c r="I861" i="1"/>
  <c r="H861" i="1"/>
  <c r="G861" i="1"/>
  <c r="F861" i="1"/>
  <c r="E861" i="1"/>
  <c r="D861" i="1"/>
  <c r="C861" i="1"/>
  <c r="B861" i="1"/>
  <c r="A861" i="1"/>
  <c r="J860" i="1"/>
  <c r="I860" i="1"/>
  <c r="H860" i="1"/>
  <c r="G860" i="1"/>
  <c r="F860" i="1"/>
  <c r="E860" i="1"/>
  <c r="D860" i="1"/>
  <c r="C860" i="1"/>
  <c r="B860" i="1"/>
  <c r="A860" i="1"/>
  <c r="J859" i="1"/>
  <c r="I859" i="1"/>
  <c r="H859" i="1"/>
  <c r="G859" i="1"/>
  <c r="F859" i="1"/>
  <c r="E859" i="1"/>
  <c r="D859" i="1"/>
  <c r="C859" i="1"/>
  <c r="B859" i="1"/>
  <c r="A859" i="1"/>
  <c r="J858" i="1"/>
  <c r="I858" i="1"/>
  <c r="H858" i="1"/>
  <c r="G858" i="1"/>
  <c r="F858" i="1"/>
  <c r="E858" i="1"/>
  <c r="D858" i="1"/>
  <c r="C858" i="1"/>
  <c r="B858" i="1"/>
  <c r="A858" i="1"/>
  <c r="J857" i="1"/>
  <c r="I857" i="1"/>
  <c r="H857" i="1"/>
  <c r="G857" i="1"/>
  <c r="F857" i="1"/>
  <c r="E857" i="1"/>
  <c r="D857" i="1"/>
  <c r="C857" i="1"/>
  <c r="B857" i="1"/>
  <c r="A857" i="1"/>
  <c r="J856" i="1"/>
  <c r="I856" i="1"/>
  <c r="H856" i="1"/>
  <c r="G856" i="1"/>
  <c r="F856" i="1"/>
  <c r="E856" i="1"/>
  <c r="D856" i="1"/>
  <c r="C856" i="1"/>
  <c r="B856" i="1"/>
  <c r="A856" i="1"/>
  <c r="J855" i="1"/>
  <c r="I855" i="1"/>
  <c r="H855" i="1"/>
  <c r="G855" i="1"/>
  <c r="F855" i="1"/>
  <c r="E855" i="1"/>
  <c r="D855" i="1"/>
  <c r="C855" i="1"/>
  <c r="B855" i="1"/>
  <c r="A855" i="1"/>
  <c r="J854" i="1"/>
  <c r="I854" i="1"/>
  <c r="H854" i="1"/>
  <c r="G854" i="1"/>
  <c r="F854" i="1"/>
  <c r="E854" i="1"/>
  <c r="D854" i="1"/>
  <c r="C854" i="1"/>
  <c r="B854" i="1"/>
  <c r="A854" i="1"/>
  <c r="J853" i="1"/>
  <c r="I853" i="1"/>
  <c r="H853" i="1"/>
  <c r="G853" i="1"/>
  <c r="F853" i="1"/>
  <c r="E853" i="1"/>
  <c r="D853" i="1"/>
  <c r="C853" i="1"/>
  <c r="B853" i="1"/>
  <c r="A853" i="1"/>
  <c r="J852" i="1"/>
  <c r="I852" i="1"/>
  <c r="H852" i="1"/>
  <c r="G852" i="1"/>
  <c r="F852" i="1"/>
  <c r="E852" i="1"/>
  <c r="D852" i="1"/>
  <c r="C852" i="1"/>
  <c r="B852" i="1"/>
  <c r="A852" i="1"/>
  <c r="J851" i="1"/>
  <c r="I851" i="1"/>
  <c r="H851" i="1"/>
  <c r="G851" i="1"/>
  <c r="F851" i="1"/>
  <c r="E851" i="1"/>
  <c r="D851" i="1"/>
  <c r="C851" i="1"/>
  <c r="B851" i="1"/>
  <c r="A851" i="1"/>
  <c r="J850" i="1"/>
  <c r="I850" i="1"/>
  <c r="H850" i="1"/>
  <c r="G850" i="1"/>
  <c r="F850" i="1"/>
  <c r="E850" i="1"/>
  <c r="D850" i="1"/>
  <c r="C850" i="1"/>
  <c r="B850" i="1"/>
  <c r="A850" i="1"/>
  <c r="J849" i="1"/>
  <c r="I849" i="1"/>
  <c r="H849" i="1"/>
  <c r="G849" i="1"/>
  <c r="F849" i="1"/>
  <c r="E849" i="1"/>
  <c r="D849" i="1"/>
  <c r="C849" i="1"/>
  <c r="B849" i="1"/>
  <c r="A849" i="1"/>
  <c r="J848" i="1"/>
  <c r="I848" i="1"/>
  <c r="H848" i="1"/>
  <c r="G848" i="1"/>
  <c r="F848" i="1"/>
  <c r="E848" i="1"/>
  <c r="D848" i="1"/>
  <c r="C848" i="1"/>
  <c r="B848" i="1"/>
  <c r="A848" i="1"/>
  <c r="J847" i="1"/>
  <c r="I847" i="1"/>
  <c r="H847" i="1"/>
  <c r="G847" i="1"/>
  <c r="F847" i="1"/>
  <c r="E847" i="1"/>
  <c r="D847" i="1"/>
  <c r="C847" i="1"/>
  <c r="B847" i="1"/>
  <c r="A847" i="1"/>
  <c r="J846" i="1"/>
  <c r="I846" i="1"/>
  <c r="H846" i="1"/>
  <c r="G846" i="1"/>
  <c r="F846" i="1"/>
  <c r="E846" i="1"/>
  <c r="D846" i="1"/>
  <c r="C846" i="1"/>
  <c r="B846" i="1"/>
  <c r="A846" i="1"/>
  <c r="J845" i="1"/>
  <c r="I845" i="1"/>
  <c r="H845" i="1"/>
  <c r="G845" i="1"/>
  <c r="F845" i="1"/>
  <c r="E845" i="1"/>
  <c r="D845" i="1"/>
  <c r="C845" i="1"/>
  <c r="B845" i="1"/>
  <c r="A845" i="1"/>
  <c r="J844" i="1"/>
  <c r="I844" i="1"/>
  <c r="H844" i="1"/>
  <c r="G844" i="1"/>
  <c r="F844" i="1"/>
  <c r="E844" i="1"/>
  <c r="D844" i="1"/>
  <c r="C844" i="1"/>
  <c r="B844" i="1"/>
  <c r="A844" i="1"/>
  <c r="J843" i="1"/>
  <c r="I843" i="1"/>
  <c r="H843" i="1"/>
  <c r="G843" i="1"/>
  <c r="F843" i="1"/>
  <c r="E843" i="1"/>
  <c r="D843" i="1"/>
  <c r="C843" i="1"/>
  <c r="B843" i="1"/>
  <c r="A843" i="1"/>
  <c r="J842" i="1"/>
  <c r="I842" i="1"/>
  <c r="H842" i="1"/>
  <c r="G842" i="1"/>
  <c r="F842" i="1"/>
  <c r="E842" i="1"/>
  <c r="D842" i="1"/>
  <c r="C842" i="1"/>
  <c r="B842" i="1"/>
  <c r="A842" i="1"/>
  <c r="J841" i="1"/>
  <c r="I841" i="1"/>
  <c r="H841" i="1"/>
  <c r="G841" i="1"/>
  <c r="F841" i="1"/>
  <c r="E841" i="1"/>
  <c r="D841" i="1"/>
  <c r="C841" i="1"/>
  <c r="B841" i="1"/>
  <c r="A841" i="1"/>
  <c r="J840" i="1"/>
  <c r="I840" i="1"/>
  <c r="H840" i="1"/>
  <c r="G840" i="1"/>
  <c r="F840" i="1"/>
  <c r="E840" i="1"/>
  <c r="D840" i="1"/>
  <c r="C840" i="1"/>
  <c r="B840" i="1"/>
  <c r="A840" i="1"/>
  <c r="J839" i="1"/>
  <c r="I839" i="1"/>
  <c r="H839" i="1"/>
  <c r="G839" i="1"/>
  <c r="F839" i="1"/>
  <c r="E839" i="1"/>
  <c r="D839" i="1"/>
  <c r="C839" i="1"/>
  <c r="B839" i="1"/>
  <c r="A839" i="1"/>
  <c r="J838" i="1"/>
  <c r="I838" i="1"/>
  <c r="H838" i="1"/>
  <c r="G838" i="1"/>
  <c r="F838" i="1"/>
  <c r="E838" i="1"/>
  <c r="D838" i="1"/>
  <c r="C838" i="1"/>
  <c r="B838" i="1"/>
  <c r="A838" i="1"/>
  <c r="J837" i="1"/>
  <c r="I837" i="1"/>
  <c r="H837" i="1"/>
  <c r="G837" i="1"/>
  <c r="F837" i="1"/>
  <c r="E837" i="1"/>
  <c r="D837" i="1"/>
  <c r="C837" i="1"/>
  <c r="B837" i="1"/>
  <c r="A837" i="1"/>
  <c r="J836" i="1"/>
  <c r="I836" i="1"/>
  <c r="H836" i="1"/>
  <c r="G836" i="1"/>
  <c r="F836" i="1"/>
  <c r="E836" i="1"/>
  <c r="D836" i="1"/>
  <c r="C836" i="1"/>
  <c r="B836" i="1"/>
  <c r="A836" i="1"/>
  <c r="J835" i="1"/>
  <c r="I835" i="1"/>
  <c r="H835" i="1"/>
  <c r="G835" i="1"/>
  <c r="F835" i="1"/>
  <c r="E835" i="1"/>
  <c r="D835" i="1"/>
  <c r="C835" i="1"/>
  <c r="B835" i="1"/>
  <c r="A835" i="1"/>
  <c r="J834" i="1"/>
  <c r="I834" i="1"/>
  <c r="H834" i="1"/>
  <c r="G834" i="1"/>
  <c r="F834" i="1"/>
  <c r="E834" i="1"/>
  <c r="D834" i="1"/>
  <c r="C834" i="1"/>
  <c r="B834" i="1"/>
  <c r="A834" i="1"/>
  <c r="J833" i="1"/>
  <c r="I833" i="1"/>
  <c r="H833" i="1"/>
  <c r="G833" i="1"/>
  <c r="F833" i="1"/>
  <c r="E833" i="1"/>
  <c r="D833" i="1"/>
  <c r="C833" i="1"/>
  <c r="B833" i="1"/>
  <c r="A833" i="1"/>
  <c r="J832" i="1"/>
  <c r="I832" i="1"/>
  <c r="H832" i="1"/>
  <c r="G832" i="1"/>
  <c r="F832" i="1"/>
  <c r="E832" i="1"/>
  <c r="D832" i="1"/>
  <c r="C832" i="1"/>
  <c r="B832" i="1"/>
  <c r="A832" i="1"/>
  <c r="J831" i="1"/>
  <c r="I831" i="1"/>
  <c r="H831" i="1"/>
  <c r="G831" i="1"/>
  <c r="F831" i="1"/>
  <c r="E831" i="1"/>
  <c r="D831" i="1"/>
  <c r="C831" i="1"/>
  <c r="B831" i="1"/>
  <c r="A831" i="1"/>
  <c r="J830" i="1"/>
  <c r="I830" i="1"/>
  <c r="H830" i="1"/>
  <c r="G830" i="1"/>
  <c r="F830" i="1"/>
  <c r="E830" i="1"/>
  <c r="D830" i="1"/>
  <c r="C830" i="1"/>
  <c r="B830" i="1"/>
  <c r="A830" i="1"/>
  <c r="J829" i="1"/>
  <c r="I829" i="1"/>
  <c r="H829" i="1"/>
  <c r="G829" i="1"/>
  <c r="F829" i="1"/>
  <c r="E829" i="1"/>
  <c r="D829" i="1"/>
  <c r="C829" i="1"/>
  <c r="B829" i="1"/>
  <c r="A829" i="1"/>
  <c r="J828" i="1"/>
  <c r="I828" i="1"/>
  <c r="H828" i="1"/>
  <c r="G828" i="1"/>
  <c r="F828" i="1"/>
  <c r="E828" i="1"/>
  <c r="D828" i="1"/>
  <c r="C828" i="1"/>
  <c r="B828" i="1"/>
  <c r="A828" i="1"/>
  <c r="J827" i="1"/>
  <c r="I827" i="1"/>
  <c r="H827" i="1"/>
  <c r="G827" i="1"/>
  <c r="F827" i="1"/>
  <c r="E827" i="1"/>
  <c r="D827" i="1"/>
  <c r="C827" i="1"/>
  <c r="B827" i="1"/>
  <c r="A827" i="1"/>
  <c r="J826" i="1"/>
  <c r="I826" i="1"/>
  <c r="H826" i="1"/>
  <c r="G826" i="1"/>
  <c r="F826" i="1"/>
  <c r="E826" i="1"/>
  <c r="D826" i="1"/>
  <c r="C826" i="1"/>
  <c r="B826" i="1"/>
  <c r="A826" i="1"/>
  <c r="J825" i="1"/>
  <c r="I825" i="1"/>
  <c r="H825" i="1"/>
  <c r="G825" i="1"/>
  <c r="F825" i="1"/>
  <c r="E825" i="1"/>
  <c r="D825" i="1"/>
  <c r="C825" i="1"/>
  <c r="B825" i="1"/>
  <c r="A825" i="1"/>
  <c r="J824" i="1"/>
  <c r="I824" i="1"/>
  <c r="H824" i="1"/>
  <c r="G824" i="1"/>
  <c r="F824" i="1"/>
  <c r="E824" i="1"/>
  <c r="D824" i="1"/>
  <c r="C824" i="1"/>
  <c r="B824" i="1"/>
  <c r="A824" i="1"/>
  <c r="J823" i="1"/>
  <c r="I823" i="1"/>
  <c r="H823" i="1"/>
  <c r="G823" i="1"/>
  <c r="F823" i="1"/>
  <c r="E823" i="1"/>
  <c r="D823" i="1"/>
  <c r="C823" i="1"/>
  <c r="B823" i="1"/>
  <c r="A823" i="1"/>
  <c r="J822" i="1"/>
  <c r="I822" i="1"/>
  <c r="H822" i="1"/>
  <c r="G822" i="1"/>
  <c r="F822" i="1"/>
  <c r="E822" i="1"/>
  <c r="D822" i="1"/>
  <c r="C822" i="1"/>
  <c r="B822" i="1"/>
  <c r="A822" i="1"/>
  <c r="J821" i="1"/>
  <c r="I821" i="1"/>
  <c r="H821" i="1"/>
  <c r="G821" i="1"/>
  <c r="F821" i="1"/>
  <c r="E821" i="1"/>
  <c r="D821" i="1"/>
  <c r="C821" i="1"/>
  <c r="B821" i="1"/>
  <c r="A821" i="1"/>
  <c r="J820" i="1"/>
  <c r="H820" i="1"/>
  <c r="G820" i="1"/>
  <c r="F820" i="1"/>
  <c r="E820" i="1"/>
  <c r="D820" i="1"/>
  <c r="C820" i="1"/>
  <c r="B820" i="1"/>
  <c r="A820" i="1"/>
  <c r="J819" i="1"/>
  <c r="H819" i="1"/>
  <c r="G819" i="1"/>
  <c r="F819" i="1"/>
  <c r="E819" i="1"/>
  <c r="D819" i="1"/>
  <c r="C819" i="1"/>
  <c r="B819" i="1"/>
  <c r="A819" i="1"/>
  <c r="J818" i="1"/>
  <c r="H818" i="1"/>
  <c r="G818" i="1"/>
  <c r="F818" i="1"/>
  <c r="E818" i="1"/>
  <c r="D818" i="1"/>
  <c r="C818" i="1"/>
  <c r="B818" i="1"/>
  <c r="A818" i="1"/>
  <c r="J817" i="1"/>
  <c r="H817" i="1"/>
  <c r="G817" i="1"/>
  <c r="F817" i="1"/>
  <c r="E817" i="1"/>
  <c r="D817" i="1"/>
  <c r="C817" i="1"/>
  <c r="B817" i="1"/>
  <c r="A817" i="1"/>
  <c r="J816" i="1"/>
  <c r="H816" i="1"/>
  <c r="G816" i="1"/>
  <c r="F816" i="1"/>
  <c r="E816" i="1"/>
  <c r="D816" i="1"/>
  <c r="C816" i="1"/>
  <c r="B816" i="1"/>
  <c r="A816" i="1"/>
  <c r="J815" i="1"/>
  <c r="H815" i="1"/>
  <c r="G815" i="1"/>
  <c r="F815" i="1"/>
  <c r="E815" i="1"/>
  <c r="D815" i="1"/>
  <c r="C815" i="1"/>
  <c r="B815" i="1"/>
  <c r="A815" i="1"/>
  <c r="J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H743" i="1"/>
  <c r="G743" i="1"/>
  <c r="F743" i="1"/>
  <c r="E743" i="1"/>
  <c r="D743" i="1"/>
  <c r="C743" i="1"/>
  <c r="B743" i="1"/>
  <c r="A743" i="1"/>
  <c r="J742" i="1"/>
  <c r="H742" i="1"/>
  <c r="G742" i="1"/>
  <c r="F742" i="1"/>
  <c r="E742" i="1"/>
  <c r="D742" i="1"/>
  <c r="C742" i="1"/>
  <c r="B742" i="1"/>
  <c r="A742" i="1"/>
  <c r="J741" i="1"/>
  <c r="H741" i="1"/>
  <c r="G741" i="1"/>
  <c r="F741" i="1"/>
  <c r="E741" i="1"/>
  <c r="D741" i="1"/>
  <c r="C741" i="1"/>
  <c r="B741" i="1"/>
  <c r="A741" i="1"/>
  <c r="J740" i="1"/>
  <c r="H740" i="1"/>
  <c r="G740" i="1"/>
  <c r="F740" i="1"/>
  <c r="E740" i="1"/>
  <c r="D740" i="1"/>
  <c r="C740" i="1"/>
  <c r="B740" i="1"/>
  <c r="A740" i="1"/>
  <c r="J739" i="1"/>
  <c r="H739" i="1"/>
  <c r="G739" i="1"/>
  <c r="F739" i="1"/>
  <c r="E739" i="1"/>
  <c r="D739" i="1"/>
  <c r="C739" i="1"/>
  <c r="B739" i="1"/>
  <c r="A739" i="1"/>
  <c r="J738" i="1"/>
  <c r="H738" i="1"/>
  <c r="G738" i="1"/>
  <c r="F738" i="1"/>
  <c r="E738" i="1"/>
  <c r="D738" i="1"/>
  <c r="C738" i="1"/>
  <c r="B738" i="1"/>
  <c r="A738" i="1"/>
  <c r="J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H659" i="1"/>
  <c r="G659" i="1"/>
  <c r="F659" i="1"/>
  <c r="E659" i="1"/>
  <c r="D659" i="1"/>
  <c r="C659" i="1"/>
  <c r="B659" i="1"/>
  <c r="A659" i="1"/>
  <c r="J658" i="1"/>
  <c r="H658" i="1"/>
  <c r="G658" i="1"/>
  <c r="F658" i="1"/>
  <c r="E658" i="1"/>
  <c r="D658" i="1"/>
  <c r="C658" i="1"/>
  <c r="B658" i="1"/>
  <c r="A658" i="1"/>
  <c r="J657" i="1"/>
  <c r="H657" i="1"/>
  <c r="G657" i="1"/>
  <c r="F657" i="1"/>
  <c r="E657" i="1"/>
  <c r="D657" i="1"/>
  <c r="C657" i="1"/>
  <c r="B657" i="1"/>
  <c r="A657" i="1"/>
  <c r="J656" i="1"/>
  <c r="H656" i="1"/>
  <c r="G656" i="1"/>
  <c r="F656" i="1"/>
  <c r="E656" i="1"/>
  <c r="D656" i="1"/>
  <c r="C656" i="1"/>
  <c r="B656" i="1"/>
  <c r="A656" i="1"/>
  <c r="J655" i="1"/>
  <c r="H655" i="1"/>
  <c r="G655" i="1"/>
  <c r="F655" i="1"/>
  <c r="E655" i="1"/>
  <c r="D655" i="1"/>
  <c r="C655" i="1"/>
  <c r="B655" i="1"/>
  <c r="A655" i="1"/>
  <c r="J654" i="1"/>
  <c r="H654" i="1"/>
  <c r="G654" i="1"/>
  <c r="F654" i="1"/>
  <c r="E654" i="1"/>
  <c r="D654" i="1"/>
  <c r="C654" i="1"/>
  <c r="B654" i="1"/>
  <c r="A654" i="1"/>
  <c r="J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H582" i="1"/>
  <c r="G582" i="1"/>
  <c r="F582" i="1"/>
  <c r="E582" i="1"/>
  <c r="D582" i="1"/>
  <c r="C582" i="1"/>
  <c r="B582" i="1"/>
  <c r="A582" i="1"/>
  <c r="J581" i="1"/>
  <c r="H581" i="1"/>
  <c r="G581" i="1"/>
  <c r="F581" i="1"/>
  <c r="E581" i="1"/>
  <c r="D581" i="1"/>
  <c r="C581" i="1"/>
  <c r="B581" i="1"/>
  <c r="A581" i="1"/>
  <c r="J580" i="1"/>
  <c r="H580" i="1"/>
  <c r="G580" i="1"/>
  <c r="F580" i="1"/>
  <c r="E580" i="1"/>
  <c r="D580" i="1"/>
  <c r="C580" i="1"/>
  <c r="B580" i="1"/>
  <c r="A580" i="1"/>
  <c r="J579" i="1"/>
  <c r="H579" i="1"/>
  <c r="G579" i="1"/>
  <c r="F579" i="1"/>
  <c r="E579" i="1"/>
  <c r="D579" i="1"/>
  <c r="C579" i="1"/>
  <c r="B579" i="1"/>
  <c r="A579" i="1"/>
  <c r="J578" i="1"/>
  <c r="H578" i="1"/>
  <c r="G578" i="1"/>
  <c r="F578" i="1"/>
  <c r="E578" i="1"/>
  <c r="D578" i="1"/>
  <c r="C578" i="1"/>
  <c r="B578" i="1"/>
  <c r="A578" i="1"/>
  <c r="J577" i="1"/>
  <c r="H577" i="1"/>
  <c r="G577" i="1"/>
  <c r="F577" i="1"/>
  <c r="E577" i="1"/>
  <c r="D577" i="1"/>
  <c r="C577" i="1"/>
  <c r="B577" i="1"/>
  <c r="A577" i="1"/>
  <c r="J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H505" i="1"/>
  <c r="G505" i="1"/>
  <c r="F505" i="1"/>
  <c r="E505" i="1"/>
  <c r="D505" i="1"/>
  <c r="C505" i="1"/>
  <c r="B505" i="1"/>
  <c r="A505" i="1"/>
  <c r="J504" i="1"/>
  <c r="H504" i="1"/>
  <c r="G504" i="1"/>
  <c r="F504" i="1"/>
  <c r="E504" i="1"/>
  <c r="D504" i="1"/>
  <c r="C504" i="1"/>
  <c r="B504" i="1"/>
  <c r="A504" i="1"/>
  <c r="J503" i="1"/>
  <c r="H503" i="1"/>
  <c r="G503" i="1"/>
  <c r="F503" i="1"/>
  <c r="E503" i="1"/>
  <c r="D503" i="1"/>
  <c r="C503" i="1"/>
  <c r="B503" i="1"/>
  <c r="A503" i="1"/>
  <c r="J502" i="1"/>
  <c r="H502" i="1"/>
  <c r="G502" i="1"/>
  <c r="F502" i="1"/>
  <c r="E502" i="1"/>
  <c r="D502" i="1"/>
  <c r="C502" i="1"/>
  <c r="B502" i="1"/>
  <c r="A502" i="1"/>
  <c r="J501" i="1"/>
  <c r="H501" i="1"/>
  <c r="G501" i="1"/>
  <c r="F501" i="1"/>
  <c r="E501" i="1"/>
  <c r="D501" i="1"/>
  <c r="C501" i="1"/>
  <c r="B501" i="1"/>
  <c r="A501" i="1"/>
  <c r="J500" i="1"/>
  <c r="H500" i="1"/>
  <c r="G500" i="1"/>
  <c r="F500" i="1"/>
  <c r="E500" i="1"/>
  <c r="D500" i="1"/>
  <c r="C500" i="1"/>
  <c r="B500" i="1"/>
  <c r="A500" i="1"/>
  <c r="J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  <c r="O95" i="8"/>
  <c r="N95" i="8"/>
  <c r="M95" i="8"/>
  <c r="L95" i="8"/>
  <c r="K95" i="8"/>
  <c r="J95" i="8"/>
  <c r="I95" i="8"/>
  <c r="H95" i="8"/>
  <c r="G95" i="8"/>
  <c r="O94" i="8"/>
  <c r="N94" i="8"/>
  <c r="M94" i="8"/>
  <c r="L94" i="8"/>
  <c r="K94" i="8"/>
  <c r="J94" i="8"/>
  <c r="I94" i="8"/>
  <c r="H94" i="8"/>
  <c r="G94" i="8"/>
  <c r="O93" i="8"/>
  <c r="N93" i="8"/>
  <c r="M93" i="8"/>
  <c r="L93" i="8"/>
  <c r="K93" i="8"/>
  <c r="J93" i="8"/>
  <c r="I93" i="8"/>
  <c r="H93" i="8"/>
  <c r="G93" i="8"/>
  <c r="O92" i="8"/>
  <c r="N92" i="8"/>
  <c r="M92" i="8"/>
  <c r="L92" i="8"/>
  <c r="K92" i="8"/>
  <c r="J92" i="8"/>
  <c r="I92" i="8"/>
  <c r="H92" i="8"/>
  <c r="G92" i="8"/>
  <c r="O91" i="8"/>
  <c r="N91" i="8"/>
  <c r="M91" i="8"/>
  <c r="L91" i="8"/>
  <c r="K91" i="8"/>
  <c r="J91" i="8"/>
  <c r="I91" i="8"/>
  <c r="H91" i="8"/>
  <c r="G91" i="8"/>
  <c r="O89" i="8"/>
  <c r="N89" i="8"/>
  <c r="M89" i="8"/>
  <c r="L89" i="8"/>
  <c r="K89" i="8"/>
  <c r="J89" i="8"/>
  <c r="I89" i="8"/>
  <c r="H89" i="8"/>
  <c r="G89" i="8"/>
  <c r="O88" i="8"/>
  <c r="N88" i="8"/>
  <c r="M88" i="8"/>
  <c r="L88" i="8"/>
  <c r="K88" i="8"/>
  <c r="J88" i="8"/>
  <c r="I88" i="8"/>
  <c r="H88" i="8"/>
  <c r="G88" i="8"/>
  <c r="O84" i="8"/>
  <c r="N84" i="8"/>
  <c r="M84" i="8"/>
  <c r="L84" i="8"/>
  <c r="K84" i="8"/>
  <c r="J84" i="8"/>
  <c r="I84" i="8"/>
  <c r="H84" i="8"/>
  <c r="G84" i="8"/>
  <c r="O83" i="8"/>
  <c r="N83" i="8"/>
  <c r="M83" i="8"/>
  <c r="L83" i="8"/>
  <c r="K83" i="8"/>
  <c r="J83" i="8"/>
  <c r="I83" i="8"/>
  <c r="H83" i="8"/>
  <c r="G83" i="8"/>
  <c r="O82" i="8"/>
  <c r="N82" i="8"/>
  <c r="M82" i="8"/>
  <c r="L82" i="8"/>
  <c r="K82" i="8"/>
  <c r="J82" i="8"/>
  <c r="I82" i="8"/>
  <c r="H82" i="8"/>
  <c r="G82" i="8"/>
  <c r="O81" i="8"/>
  <c r="N81" i="8"/>
  <c r="M81" i="8"/>
  <c r="L81" i="8"/>
  <c r="K81" i="8"/>
  <c r="J81" i="8"/>
  <c r="I81" i="8"/>
  <c r="H81" i="8"/>
  <c r="G81" i="8"/>
  <c r="O80" i="8"/>
  <c r="N80" i="8"/>
  <c r="M80" i="8"/>
  <c r="L80" i="8"/>
  <c r="K80" i="8"/>
  <c r="J80" i="8"/>
  <c r="I80" i="8"/>
  <c r="H80" i="8"/>
  <c r="G80" i="8"/>
  <c r="O73" i="8"/>
  <c r="N73" i="8"/>
  <c r="M73" i="8"/>
  <c r="L73" i="8"/>
  <c r="K73" i="8"/>
  <c r="J73" i="8"/>
  <c r="I73" i="8"/>
  <c r="H73" i="8"/>
  <c r="G73" i="8"/>
  <c r="O72" i="8"/>
  <c r="N72" i="8"/>
  <c r="M72" i="8"/>
  <c r="L72" i="8"/>
  <c r="K72" i="8"/>
  <c r="J72" i="8"/>
  <c r="I72" i="8"/>
  <c r="H72" i="8"/>
  <c r="G72" i="8"/>
  <c r="O71" i="8"/>
  <c r="N71" i="8"/>
  <c r="M71" i="8"/>
  <c r="L71" i="8"/>
  <c r="K71" i="8"/>
  <c r="J71" i="8"/>
  <c r="I71" i="8"/>
  <c r="H71" i="8"/>
  <c r="G71" i="8"/>
  <c r="O70" i="8"/>
  <c r="N70" i="8"/>
  <c r="M70" i="8"/>
  <c r="L70" i="8"/>
  <c r="K70" i="8"/>
  <c r="J70" i="8"/>
  <c r="I70" i="8"/>
  <c r="H70" i="8"/>
  <c r="G70" i="8"/>
  <c r="O69" i="8"/>
  <c r="N69" i="8"/>
  <c r="M69" i="8"/>
  <c r="L69" i="8"/>
  <c r="K69" i="8"/>
  <c r="J69" i="8"/>
  <c r="I69" i="8"/>
  <c r="H69" i="8"/>
  <c r="G69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K158" i="7"/>
  <c r="J158" i="7"/>
  <c r="I158" i="7"/>
  <c r="H158" i="7"/>
  <c r="G158" i="7"/>
  <c r="F158" i="7"/>
  <c r="E158" i="7"/>
  <c r="D158" i="7"/>
  <c r="C158" i="7"/>
  <c r="B158" i="7"/>
  <c r="K147" i="7"/>
  <c r="J147" i="7"/>
  <c r="I147" i="7"/>
  <c r="H147" i="7"/>
  <c r="G147" i="7"/>
  <c r="F147" i="7"/>
  <c r="E147" i="7"/>
  <c r="D147" i="7"/>
  <c r="C147" i="7"/>
  <c r="B147" i="7"/>
  <c r="K136" i="7"/>
  <c r="J136" i="7"/>
  <c r="I136" i="7"/>
  <c r="H136" i="7"/>
  <c r="G136" i="7"/>
  <c r="F136" i="7"/>
  <c r="E136" i="7"/>
  <c r="D136" i="7"/>
  <c r="C136" i="7"/>
  <c r="B136" i="7"/>
  <c r="K125" i="7"/>
  <c r="J125" i="7"/>
  <c r="I125" i="7"/>
  <c r="H125" i="7"/>
  <c r="G125" i="7"/>
  <c r="F125" i="7"/>
  <c r="E125" i="7"/>
  <c r="D125" i="7"/>
  <c r="C125" i="7"/>
  <c r="B125" i="7"/>
  <c r="K114" i="7"/>
  <c r="J114" i="7"/>
  <c r="I114" i="7"/>
  <c r="H114" i="7"/>
  <c r="G114" i="7"/>
  <c r="F114" i="7"/>
  <c r="E114" i="7"/>
  <c r="D114" i="7"/>
  <c r="C114" i="7"/>
  <c r="B114" i="7"/>
  <c r="K103" i="7"/>
  <c r="J103" i="7"/>
  <c r="I103" i="7"/>
  <c r="H103" i="7"/>
  <c r="G103" i="7"/>
  <c r="F103" i="7"/>
  <c r="E103" i="7"/>
  <c r="D103" i="7"/>
  <c r="C103" i="7"/>
  <c r="B103" i="7"/>
  <c r="K92" i="7"/>
  <c r="J92" i="7"/>
  <c r="I92" i="7"/>
  <c r="H92" i="7"/>
  <c r="G92" i="7"/>
  <c r="F92" i="7"/>
  <c r="E92" i="7"/>
  <c r="D92" i="7"/>
  <c r="C92" i="7"/>
  <c r="B92" i="7"/>
  <c r="K81" i="7"/>
  <c r="J81" i="7"/>
  <c r="I81" i="7"/>
  <c r="H81" i="7"/>
  <c r="G81" i="7"/>
  <c r="F81" i="7"/>
  <c r="E81" i="7"/>
  <c r="D81" i="7"/>
  <c r="C81" i="7"/>
  <c r="B81" i="7"/>
  <c r="K70" i="7"/>
  <c r="J70" i="7"/>
  <c r="I70" i="7"/>
  <c r="H70" i="7"/>
  <c r="G70" i="7"/>
  <c r="F70" i="7"/>
  <c r="E70" i="7"/>
  <c r="D70" i="7"/>
  <c r="C70" i="7"/>
  <c r="B70" i="7"/>
  <c r="K59" i="7"/>
  <c r="J59" i="7"/>
  <c r="I59" i="7"/>
  <c r="H59" i="7"/>
  <c r="G59" i="7"/>
  <c r="F59" i="7"/>
  <c r="E59" i="7"/>
  <c r="D59" i="7"/>
  <c r="C59" i="7"/>
  <c r="B59" i="7"/>
  <c r="K48" i="7"/>
  <c r="J48" i="7"/>
  <c r="I48" i="7"/>
  <c r="H48" i="7"/>
  <c r="G48" i="7"/>
  <c r="F48" i="7"/>
  <c r="E48" i="7"/>
  <c r="D48" i="7"/>
  <c r="C48" i="7"/>
  <c r="B48" i="7"/>
  <c r="K37" i="7"/>
  <c r="J37" i="7"/>
  <c r="I37" i="7"/>
  <c r="H37" i="7"/>
  <c r="G37" i="7"/>
  <c r="F37" i="7"/>
  <c r="E37" i="7"/>
  <c r="D37" i="7"/>
  <c r="C37" i="7"/>
  <c r="B37" i="7"/>
  <c r="K26" i="7"/>
  <c r="J26" i="7"/>
  <c r="I26" i="7"/>
  <c r="H26" i="7"/>
  <c r="G26" i="7"/>
  <c r="F26" i="7"/>
  <c r="E26" i="7"/>
  <c r="D26" i="7"/>
  <c r="C26" i="7"/>
  <c r="B26" i="7"/>
  <c r="K15" i="7"/>
  <c r="J15" i="7"/>
  <c r="I15" i="7"/>
  <c r="H15" i="7"/>
  <c r="G15" i="7"/>
  <c r="F15" i="7"/>
  <c r="E15" i="7"/>
  <c r="D15" i="7"/>
  <c r="C15" i="7"/>
  <c r="B15" i="7"/>
  <c r="K4" i="7"/>
  <c r="J4" i="7"/>
  <c r="I4" i="7"/>
  <c r="H4" i="7"/>
  <c r="G4" i="7"/>
  <c r="F4" i="7"/>
  <c r="E4" i="7"/>
  <c r="D4" i="7"/>
  <c r="C4" i="7"/>
  <c r="B4" i="7"/>
  <c r="J169" i="7" l="1"/>
  <c r="I169" i="7"/>
  <c r="K169" i="7"/>
  <c r="D169" i="20" l="1"/>
  <c r="C169" i="20"/>
  <c r="G169" i="20"/>
  <c r="H169" i="20"/>
  <c r="B169" i="20"/>
  <c r="F169" i="20"/>
  <c r="E169" i="20"/>
  <c r="B169" i="7" l="1"/>
  <c r="B1073" i="2" l="1"/>
  <c r="B1072" i="2"/>
  <c r="B1071" i="2"/>
  <c r="B1070" i="2"/>
  <c r="B1069" i="2"/>
  <c r="B1068" i="2"/>
  <c r="B1066" i="2"/>
  <c r="B1065" i="2"/>
  <c r="B1064" i="2"/>
  <c r="B1063" i="2"/>
  <c r="B1062" i="2"/>
  <c r="B1061" i="2"/>
  <c r="B1060" i="2"/>
  <c r="B1059" i="2"/>
  <c r="B1058" i="2"/>
  <c r="B1056" i="2"/>
  <c r="B1055" i="2"/>
  <c r="B1054" i="2"/>
  <c r="B1053" i="2"/>
  <c r="B1052" i="2"/>
  <c r="B1051" i="2"/>
  <c r="B1050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0" i="2"/>
  <c r="B1029" i="2"/>
  <c r="B1028" i="2"/>
  <c r="B1027" i="2"/>
  <c r="B1026" i="2"/>
  <c r="B1025" i="2"/>
  <c r="B1024" i="2"/>
  <c r="B1023" i="2"/>
  <c r="B1022" i="2"/>
  <c r="B1020" i="2"/>
  <c r="B1019" i="2"/>
  <c r="B1018" i="2"/>
  <c r="B1017" i="2"/>
  <c r="B1016" i="2"/>
  <c r="B1015" i="2"/>
  <c r="B1014" i="2"/>
  <c r="B1013" i="2"/>
  <c r="B1012" i="2"/>
  <c r="B1010" i="2"/>
  <c r="B1009" i="2"/>
  <c r="B1008" i="2"/>
  <c r="B1007" i="2"/>
  <c r="B1006" i="2"/>
  <c r="B1005" i="2"/>
  <c r="B1004" i="2"/>
  <c r="B1002" i="2"/>
  <c r="B1001" i="2"/>
  <c r="B1000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6" i="2"/>
  <c r="B965" i="2"/>
  <c r="B964" i="2"/>
  <c r="B963" i="2"/>
  <c r="B962" i="2"/>
  <c r="B961" i="2"/>
  <c r="B960" i="2"/>
  <c r="B959" i="2"/>
  <c r="B958" i="2"/>
  <c r="B956" i="2"/>
  <c r="B955" i="2"/>
  <c r="B954" i="2"/>
  <c r="B953" i="2"/>
  <c r="B952" i="2"/>
  <c r="B951" i="2"/>
  <c r="B950" i="2"/>
  <c r="B949" i="2"/>
  <c r="B948" i="2"/>
  <c r="B946" i="2"/>
  <c r="B945" i="2"/>
  <c r="B944" i="2"/>
  <c r="B943" i="2"/>
  <c r="B942" i="2"/>
  <c r="B941" i="2"/>
  <c r="B940" i="2"/>
  <c r="B938" i="2"/>
  <c r="B937" i="2"/>
  <c r="B936" i="2"/>
  <c r="B935" i="2"/>
  <c r="B934" i="2"/>
  <c r="B933" i="2"/>
  <c r="B932" i="2"/>
  <c r="B931" i="2"/>
  <c r="B930" i="2"/>
  <c r="B928" i="2"/>
  <c r="B927" i="2"/>
  <c r="B926" i="2"/>
  <c r="B925" i="2"/>
  <c r="B924" i="2"/>
  <c r="B923" i="2"/>
  <c r="B922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2" i="2"/>
  <c r="B901" i="2"/>
  <c r="B900" i="2"/>
  <c r="B899" i="2"/>
  <c r="B898" i="2"/>
  <c r="B897" i="2"/>
  <c r="B896" i="2"/>
  <c r="B895" i="2"/>
  <c r="B894" i="2"/>
  <c r="B892" i="2"/>
  <c r="B891" i="2"/>
  <c r="B890" i="2"/>
  <c r="B889" i="2"/>
  <c r="B888" i="2"/>
  <c r="B887" i="2"/>
  <c r="B886" i="2"/>
  <c r="B885" i="2"/>
  <c r="B884" i="2"/>
  <c r="B882" i="2"/>
  <c r="B881" i="2"/>
  <c r="B880" i="2"/>
  <c r="B879" i="2"/>
  <c r="B878" i="2"/>
  <c r="B877" i="2"/>
  <c r="B876" i="2"/>
  <c r="B874" i="2"/>
  <c r="B873" i="2"/>
  <c r="B872" i="2"/>
  <c r="B871" i="2"/>
  <c r="B870" i="2"/>
  <c r="B869" i="2"/>
  <c r="B868" i="2"/>
  <c r="B867" i="2"/>
  <c r="B866" i="2"/>
  <c r="B864" i="2"/>
  <c r="B863" i="2"/>
  <c r="B862" i="2"/>
  <c r="B861" i="2"/>
  <c r="B860" i="2"/>
  <c r="B859" i="2"/>
  <c r="B858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8" i="2"/>
  <c r="B837" i="2"/>
  <c r="B836" i="2"/>
  <c r="B835" i="2"/>
  <c r="B834" i="2"/>
  <c r="B833" i="2"/>
  <c r="B832" i="2"/>
  <c r="B831" i="2"/>
  <c r="B830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4" i="2"/>
  <c r="B773" i="2"/>
  <c r="B772" i="2"/>
  <c r="B771" i="2"/>
  <c r="B770" i="2"/>
  <c r="B769" i="2"/>
  <c r="B768" i="2"/>
  <c r="B767" i="2"/>
  <c r="B766" i="2"/>
  <c r="B764" i="2"/>
  <c r="B763" i="2"/>
  <c r="B762" i="2"/>
  <c r="B761" i="2"/>
  <c r="B760" i="2"/>
  <c r="B759" i="2"/>
  <c r="B758" i="2"/>
  <c r="B757" i="2"/>
  <c r="B756" i="2"/>
  <c r="B754" i="2"/>
  <c r="B753" i="2"/>
  <c r="B752" i="2"/>
  <c r="B751" i="2"/>
  <c r="B750" i="2"/>
  <c r="B749" i="2"/>
  <c r="B748" i="2"/>
  <c r="B746" i="2"/>
  <c r="B745" i="2"/>
  <c r="B744" i="2"/>
  <c r="B743" i="2"/>
  <c r="B742" i="2"/>
  <c r="B741" i="2"/>
  <c r="B740" i="2"/>
  <c r="B739" i="2"/>
  <c r="B738" i="2"/>
  <c r="B736" i="2"/>
  <c r="B735" i="2"/>
  <c r="B734" i="2"/>
  <c r="B733" i="2"/>
  <c r="B732" i="2"/>
  <c r="B731" i="2"/>
  <c r="B730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0" i="2"/>
  <c r="B709" i="2"/>
  <c r="B708" i="2"/>
  <c r="B707" i="2"/>
  <c r="B706" i="2"/>
  <c r="B705" i="2"/>
  <c r="B704" i="2"/>
  <c r="B703" i="2"/>
  <c r="B702" i="2"/>
  <c r="B700" i="2"/>
  <c r="B699" i="2"/>
  <c r="B698" i="2"/>
  <c r="B697" i="2"/>
  <c r="B696" i="2"/>
  <c r="B695" i="2"/>
  <c r="B694" i="2"/>
  <c r="B693" i="2"/>
  <c r="B692" i="2"/>
  <c r="B690" i="2"/>
  <c r="B689" i="2"/>
  <c r="B688" i="2"/>
  <c r="B687" i="2"/>
  <c r="B686" i="2"/>
  <c r="B685" i="2"/>
  <c r="B684" i="2"/>
  <c r="B682" i="2"/>
  <c r="B681" i="2"/>
  <c r="B680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6" i="2"/>
  <c r="B625" i="2"/>
  <c r="B624" i="2"/>
  <c r="B623" i="2"/>
  <c r="B622" i="2"/>
  <c r="B621" i="2"/>
  <c r="B620" i="2"/>
  <c r="B618" i="2"/>
  <c r="B617" i="2"/>
  <c r="B616" i="2"/>
  <c r="B615" i="2"/>
  <c r="B614" i="2"/>
  <c r="B613" i="2"/>
  <c r="B612" i="2"/>
  <c r="B611" i="2"/>
  <c r="B610" i="2"/>
  <c r="B608" i="2"/>
  <c r="B607" i="2"/>
  <c r="B606" i="2"/>
  <c r="B605" i="2"/>
  <c r="B604" i="2"/>
  <c r="B603" i="2"/>
  <c r="B602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2" i="2"/>
  <c r="B581" i="2"/>
  <c r="B580" i="2"/>
  <c r="B579" i="2"/>
  <c r="B578" i="2"/>
  <c r="B577" i="2"/>
  <c r="B576" i="2"/>
  <c r="B575" i="2"/>
  <c r="B574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4" i="2"/>
  <c r="B543" i="2"/>
  <c r="B542" i="2"/>
  <c r="B541" i="2"/>
  <c r="B540" i="2"/>
  <c r="B539" i="2"/>
  <c r="B538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8" i="2"/>
  <c r="B507" i="2"/>
  <c r="B506" i="2"/>
  <c r="B505" i="2"/>
  <c r="B504" i="2"/>
  <c r="B503" i="2"/>
  <c r="B502" i="2"/>
  <c r="B501" i="2"/>
  <c r="B500" i="2"/>
  <c r="B498" i="2"/>
  <c r="B497" i="2"/>
  <c r="B496" i="2"/>
  <c r="B495" i="2"/>
  <c r="B494" i="2"/>
  <c r="B493" i="2"/>
  <c r="B492" i="2"/>
  <c r="B490" i="2"/>
  <c r="B489" i="2"/>
  <c r="B488" i="2"/>
  <c r="B487" i="2"/>
  <c r="B486" i="2"/>
  <c r="B485" i="2"/>
  <c r="B484" i="2"/>
  <c r="B483" i="2"/>
  <c r="B482" i="2"/>
  <c r="B480" i="2"/>
  <c r="B479" i="2"/>
  <c r="B478" i="2"/>
  <c r="B477" i="2"/>
  <c r="B476" i="2"/>
  <c r="B475" i="2"/>
  <c r="B474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4" i="2"/>
  <c r="B453" i="2"/>
  <c r="B452" i="2"/>
  <c r="B451" i="2"/>
  <c r="B450" i="2"/>
  <c r="B449" i="2"/>
  <c r="B448" i="2"/>
  <c r="B447" i="2"/>
  <c r="B446" i="2"/>
  <c r="B444" i="2"/>
  <c r="B443" i="2"/>
  <c r="B442" i="2"/>
  <c r="B441" i="2"/>
  <c r="B440" i="2"/>
  <c r="B439" i="2"/>
  <c r="B438" i="2"/>
  <c r="B437" i="2"/>
  <c r="B436" i="2"/>
  <c r="B434" i="2"/>
  <c r="B433" i="2"/>
  <c r="B432" i="2"/>
  <c r="B431" i="2"/>
  <c r="B430" i="2"/>
  <c r="B429" i="2"/>
  <c r="B428" i="2"/>
  <c r="B426" i="2"/>
  <c r="B425" i="2"/>
  <c r="B424" i="2"/>
  <c r="B423" i="2"/>
  <c r="B422" i="2"/>
  <c r="B421" i="2"/>
  <c r="B420" i="2"/>
  <c r="B419" i="2"/>
  <c r="B418" i="2"/>
  <c r="B416" i="2"/>
  <c r="B415" i="2"/>
  <c r="B414" i="2"/>
  <c r="B413" i="2"/>
  <c r="B412" i="2"/>
  <c r="B411" i="2"/>
  <c r="B410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0" i="2"/>
  <c r="B389" i="2"/>
  <c r="B388" i="2"/>
  <c r="B387" i="2"/>
  <c r="B386" i="2"/>
  <c r="B385" i="2"/>
  <c r="B384" i="2"/>
  <c r="B383" i="2"/>
  <c r="B382" i="2"/>
  <c r="B380" i="2"/>
  <c r="B379" i="2"/>
  <c r="B378" i="2"/>
  <c r="B377" i="2"/>
  <c r="B376" i="2"/>
  <c r="B375" i="2"/>
  <c r="B374" i="2"/>
  <c r="B373" i="2"/>
  <c r="B372" i="2"/>
  <c r="B370" i="2"/>
  <c r="B369" i="2"/>
  <c r="B368" i="2"/>
  <c r="B367" i="2"/>
  <c r="B366" i="2"/>
  <c r="B365" i="2"/>
  <c r="B364" i="2"/>
  <c r="B362" i="2"/>
  <c r="B361" i="2"/>
  <c r="B360" i="2"/>
  <c r="B359" i="2"/>
  <c r="B358" i="2"/>
  <c r="B357" i="2"/>
  <c r="B356" i="2"/>
  <c r="B355" i="2"/>
  <c r="B354" i="2"/>
  <c r="B352" i="2"/>
  <c r="B351" i="2"/>
  <c r="B350" i="2"/>
  <c r="B349" i="2"/>
  <c r="B348" i="2"/>
  <c r="B347" i="2"/>
  <c r="B346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6" i="2"/>
  <c r="B325" i="2"/>
  <c r="B324" i="2"/>
  <c r="B323" i="2"/>
  <c r="B322" i="2"/>
  <c r="B321" i="2"/>
  <c r="B320" i="2"/>
  <c r="B319" i="2"/>
  <c r="A319" i="2"/>
  <c r="A48" i="20" s="1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8" i="2"/>
  <c r="B297" i="2"/>
  <c r="B296" i="2"/>
  <c r="B295" i="2"/>
  <c r="B294" i="2"/>
  <c r="B293" i="2"/>
  <c r="B292" i="2"/>
  <c r="B291" i="2"/>
  <c r="B290" i="2"/>
  <c r="B288" i="2"/>
  <c r="B287" i="2"/>
  <c r="B286" i="2"/>
  <c r="B285" i="2"/>
  <c r="B284" i="2"/>
  <c r="B283" i="2"/>
  <c r="B282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2" i="2"/>
  <c r="B241" i="2"/>
  <c r="B240" i="2"/>
  <c r="B239" i="2"/>
  <c r="B238" i="2"/>
  <c r="B237" i="2"/>
  <c r="B236" i="2"/>
  <c r="B234" i="2"/>
  <c r="B233" i="2"/>
  <c r="B232" i="2"/>
  <c r="B231" i="2"/>
  <c r="B230" i="2"/>
  <c r="B229" i="2"/>
  <c r="B228" i="2"/>
  <c r="B227" i="2"/>
  <c r="B226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8" i="2"/>
  <c r="B197" i="2"/>
  <c r="B196" i="2"/>
  <c r="B195" i="2"/>
  <c r="B194" i="2"/>
  <c r="B193" i="2"/>
  <c r="B192" i="2"/>
  <c r="B191" i="2"/>
  <c r="B190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3" i="20" s="1"/>
  <c r="B9" i="2"/>
  <c r="G3" i="20" s="1"/>
  <c r="B8" i="2"/>
  <c r="F3" i="20" s="1"/>
  <c r="B7" i="2"/>
  <c r="E3" i="20" s="1"/>
  <c r="B6" i="2"/>
  <c r="D3" i="20" s="1"/>
  <c r="B5" i="2"/>
  <c r="C3" i="20" s="1"/>
  <c r="B4" i="2"/>
  <c r="B3" i="20" s="1"/>
  <c r="B1074" i="2"/>
  <c r="B1021" i="2"/>
  <c r="B957" i="2"/>
  <c r="B893" i="2"/>
  <c r="B829" i="2"/>
  <c r="B765" i="2"/>
  <c r="B701" i="2"/>
  <c r="B637" i="2"/>
  <c r="B573" i="2"/>
  <c r="B509" i="2"/>
  <c r="B445" i="2"/>
  <c r="B381" i="2"/>
  <c r="B253" i="2"/>
  <c r="B189" i="2"/>
  <c r="B125" i="2"/>
  <c r="B61" i="2"/>
  <c r="B1067" i="2"/>
  <c r="B1057" i="2"/>
  <c r="B1049" i="2"/>
  <c r="B1031" i="2"/>
  <c r="B1011" i="2"/>
  <c r="B1003" i="2"/>
  <c r="B993" i="2"/>
  <c r="B985" i="2"/>
  <c r="B967" i="2"/>
  <c r="B947" i="2"/>
  <c r="B939" i="2"/>
  <c r="B929" i="2"/>
  <c r="B921" i="2"/>
  <c r="B903" i="2"/>
  <c r="B883" i="2"/>
  <c r="B875" i="2"/>
  <c r="B865" i="2"/>
  <c r="B857" i="2"/>
  <c r="B839" i="2"/>
  <c r="B819" i="2"/>
  <c r="B811" i="2"/>
  <c r="B801" i="2"/>
  <c r="B793" i="2"/>
  <c r="B775" i="2"/>
  <c r="B755" i="2"/>
  <c r="B747" i="2"/>
  <c r="B737" i="2"/>
  <c r="B729" i="2"/>
  <c r="B711" i="2"/>
  <c r="B691" i="2"/>
  <c r="B683" i="2"/>
  <c r="B673" i="2"/>
  <c r="B665" i="2"/>
  <c r="B647" i="2"/>
  <c r="B627" i="2"/>
  <c r="B619" i="2"/>
  <c r="B609" i="2"/>
  <c r="B601" i="2"/>
  <c r="B583" i="2"/>
  <c r="B563" i="2"/>
  <c r="B555" i="2"/>
  <c r="B545" i="2"/>
  <c r="B537" i="2"/>
  <c r="B519" i="2"/>
  <c r="B499" i="2"/>
  <c r="B491" i="2"/>
  <c r="B481" i="2"/>
  <c r="B473" i="2"/>
  <c r="B455" i="2"/>
  <c r="B435" i="2"/>
  <c r="B427" i="2"/>
  <c r="B417" i="2"/>
  <c r="B409" i="2"/>
  <c r="B391" i="2"/>
  <c r="B371" i="2"/>
  <c r="B363" i="2"/>
  <c r="B353" i="2"/>
  <c r="B345" i="2"/>
  <c r="B327" i="2"/>
  <c r="B299" i="2"/>
  <c r="B289" i="2"/>
  <c r="B281" i="2"/>
  <c r="B243" i="2"/>
  <c r="B235" i="2"/>
  <c r="B225" i="2"/>
  <c r="B199" i="2"/>
  <c r="B179" i="2"/>
  <c r="B171" i="2"/>
  <c r="B153" i="2"/>
  <c r="B135" i="2"/>
  <c r="B115" i="2"/>
  <c r="B97" i="2"/>
  <c r="B89" i="2"/>
  <c r="B71" i="2"/>
  <c r="B43" i="2"/>
  <c r="B25" i="2"/>
  <c r="E3" i="17" l="1"/>
  <c r="E3" i="18"/>
  <c r="H3" i="18"/>
  <c r="H3" i="17"/>
  <c r="C3" i="18"/>
  <c r="C3" i="17"/>
  <c r="G3" i="18"/>
  <c r="G3" i="17"/>
  <c r="D3" i="17"/>
  <c r="D3" i="18"/>
  <c r="A48" i="17"/>
  <c r="A48" i="18"/>
  <c r="B3" i="18"/>
  <c r="B3" i="17"/>
  <c r="F3" i="18"/>
  <c r="F3" i="17"/>
  <c r="E3" i="16"/>
  <c r="E3" i="10"/>
  <c r="D3" i="16"/>
  <c r="D3" i="10"/>
  <c r="H3" i="16"/>
  <c r="H3" i="10"/>
  <c r="A48" i="16"/>
  <c r="A48" i="10"/>
  <c r="C3" i="16"/>
  <c r="C3" i="10"/>
  <c r="G3" i="16"/>
  <c r="G3" i="10"/>
  <c r="B3" i="16"/>
  <c r="B3" i="10"/>
  <c r="F3" i="16"/>
  <c r="F3" i="10"/>
  <c r="D3" i="9"/>
  <c r="D3" i="13"/>
  <c r="D3" i="12"/>
  <c r="D3" i="11"/>
  <c r="H3" i="9"/>
  <c r="H3" i="13"/>
  <c r="H3" i="12"/>
  <c r="H3" i="11"/>
  <c r="A48" i="9"/>
  <c r="A48" i="12"/>
  <c r="A48" i="11"/>
  <c r="A48" i="13"/>
  <c r="C3" i="9"/>
  <c r="C3" i="12"/>
  <c r="C3" i="11"/>
  <c r="C3" i="13"/>
  <c r="G3" i="9"/>
  <c r="G3" i="12"/>
  <c r="G3" i="13"/>
  <c r="G3" i="11"/>
  <c r="E3" i="9"/>
  <c r="E3" i="11"/>
  <c r="E3" i="13"/>
  <c r="E3" i="12"/>
  <c r="B3" i="9"/>
  <c r="B3" i="11"/>
  <c r="B3" i="13"/>
  <c r="B3" i="12"/>
  <c r="F3" i="9"/>
  <c r="F3" i="11"/>
  <c r="F3" i="12"/>
  <c r="F3" i="13"/>
  <c r="D3" i="6"/>
  <c r="D3" i="7"/>
  <c r="H3" i="6"/>
  <c r="H3" i="7"/>
  <c r="F3" i="6"/>
  <c r="F3" i="7"/>
  <c r="G3" i="6"/>
  <c r="G3" i="7"/>
  <c r="C3" i="6"/>
  <c r="C3" i="7"/>
  <c r="E3" i="6"/>
  <c r="E3" i="7"/>
  <c r="A48" i="6"/>
  <c r="A48" i="7"/>
  <c r="B3" i="6"/>
  <c r="B3" i="7"/>
  <c r="F1074" i="2"/>
  <c r="A1074" i="2"/>
  <c r="C1073" i="2"/>
  <c r="H1073" i="2"/>
  <c r="G1073" i="2"/>
  <c r="A1073" i="2"/>
  <c r="C1072" i="2"/>
  <c r="H1072" i="2"/>
  <c r="G1072" i="2"/>
  <c r="A1072" i="2"/>
  <c r="C1071" i="2"/>
  <c r="H1071" i="2"/>
  <c r="D1071" i="2"/>
  <c r="A1071" i="2"/>
  <c r="E1070" i="2"/>
  <c r="D1070" i="2"/>
  <c r="F1069" i="2"/>
  <c r="E1069" i="2"/>
  <c r="D1069" i="2"/>
  <c r="G1068" i="2"/>
  <c r="F1068" i="2"/>
  <c r="E1068" i="2"/>
  <c r="D1068" i="2"/>
  <c r="G1067" i="2"/>
  <c r="F1067" i="2"/>
  <c r="E1067" i="2"/>
  <c r="C1066" i="2"/>
  <c r="H1066" i="2"/>
  <c r="G1066" i="2"/>
  <c r="F1066" i="2"/>
  <c r="E1066" i="2"/>
  <c r="A1066" i="2"/>
  <c r="C1065" i="2"/>
  <c r="H1065" i="2"/>
  <c r="G1065" i="2"/>
  <c r="A1065" i="2"/>
  <c r="C1064" i="2"/>
  <c r="H1064" i="2"/>
  <c r="G1064" i="2"/>
  <c r="A1064" i="2"/>
  <c r="C1063" i="2"/>
  <c r="H1063" i="2"/>
  <c r="D1063" i="2"/>
  <c r="A1063" i="2"/>
  <c r="C1062" i="2"/>
  <c r="E1062" i="2"/>
  <c r="D1062" i="2"/>
  <c r="A1062" i="2"/>
  <c r="F1061" i="2"/>
  <c r="E1061" i="2"/>
  <c r="D1061" i="2"/>
  <c r="G1060" i="2"/>
  <c r="H157" i="4" s="1"/>
  <c r="F1060" i="2"/>
  <c r="H157" i="3" s="1"/>
  <c r="E1060" i="2"/>
  <c r="D1060" i="2"/>
  <c r="H1059" i="2"/>
  <c r="G157" i="5" s="1"/>
  <c r="G1059" i="2"/>
  <c r="G157" i="4" s="1"/>
  <c r="F1059" i="2"/>
  <c r="G157" i="3" s="1"/>
  <c r="E1059" i="2"/>
  <c r="D1059" i="2"/>
  <c r="C1058" i="2"/>
  <c r="H1058" i="2"/>
  <c r="F157" i="5" s="1"/>
  <c r="G1058" i="2"/>
  <c r="F157" i="4" s="1"/>
  <c r="F1058" i="2"/>
  <c r="F157" i="3" s="1"/>
  <c r="E1058" i="2"/>
  <c r="A1058" i="2"/>
  <c r="C1057" i="2"/>
  <c r="H1057" i="2"/>
  <c r="E157" i="5" s="1"/>
  <c r="G1057" i="2"/>
  <c r="E157" i="4" s="1"/>
  <c r="F1057" i="2"/>
  <c r="E157" i="3" s="1"/>
  <c r="A1057" i="2"/>
  <c r="C1056" i="2"/>
  <c r="H1056" i="2"/>
  <c r="D157" i="5" s="1"/>
  <c r="A1056" i="2"/>
  <c r="C1055" i="2"/>
  <c r="D1055" i="2"/>
  <c r="A1055" i="2"/>
  <c r="C1054" i="2"/>
  <c r="A157" i="20" s="1"/>
  <c r="E1054" i="2"/>
  <c r="D1054" i="2"/>
  <c r="F1053" i="2"/>
  <c r="H155" i="3" s="1"/>
  <c r="E1053" i="2"/>
  <c r="D1053" i="2"/>
  <c r="F1052" i="2"/>
  <c r="G155" i="3" s="1"/>
  <c r="E1052" i="2"/>
  <c r="D1052" i="2"/>
  <c r="H1051" i="2"/>
  <c r="F155" i="5" s="1"/>
  <c r="G1051" i="2"/>
  <c r="F155" i="4" s="1"/>
  <c r="F1051" i="2"/>
  <c r="F155" i="3" s="1"/>
  <c r="E1051" i="2"/>
  <c r="C1050" i="2"/>
  <c r="H1050" i="2"/>
  <c r="E155" i="5" s="1"/>
  <c r="G1050" i="2"/>
  <c r="E155" i="4" s="1"/>
  <c r="F1050" i="2"/>
  <c r="E155" i="3" s="1"/>
  <c r="A1050" i="2"/>
  <c r="C1049" i="2"/>
  <c r="H1049" i="2"/>
  <c r="D155" i="5" s="1"/>
  <c r="G1049" i="2"/>
  <c r="D155" i="4" s="1"/>
  <c r="F1049" i="2"/>
  <c r="D155" i="3" s="1"/>
  <c r="A1049" i="2"/>
  <c r="C1048" i="2"/>
  <c r="H1048" i="2"/>
  <c r="C155" i="5" s="1"/>
  <c r="G1048" i="2"/>
  <c r="C155" i="4" s="1"/>
  <c r="A1048" i="2"/>
  <c r="C1047" i="2"/>
  <c r="A155" i="20" s="1"/>
  <c r="D1047" i="2"/>
  <c r="A1047" i="2"/>
  <c r="E1046" i="2"/>
  <c r="D1046" i="2"/>
  <c r="A1046" i="2"/>
  <c r="F1045" i="2"/>
  <c r="G153" i="3" s="1"/>
  <c r="E1045" i="2"/>
  <c r="D1045" i="2"/>
  <c r="G1044" i="2"/>
  <c r="F153" i="4" s="1"/>
  <c r="F1044" i="2"/>
  <c r="F153" i="3" s="1"/>
  <c r="E1044" i="2"/>
  <c r="D1044" i="2"/>
  <c r="H1043" i="2"/>
  <c r="E153" i="5" s="1"/>
  <c r="G1043" i="2"/>
  <c r="E153" i="4" s="1"/>
  <c r="F1043" i="2"/>
  <c r="E153" i="3" s="1"/>
  <c r="E1043" i="2"/>
  <c r="D1043" i="2"/>
  <c r="C1042" i="2"/>
  <c r="H1042" i="2"/>
  <c r="D153" i="5" s="1"/>
  <c r="G1042" i="2"/>
  <c r="D153" i="4" s="1"/>
  <c r="F1042" i="2"/>
  <c r="D153" i="3" s="1"/>
  <c r="E1042" i="2"/>
  <c r="A1042" i="2"/>
  <c r="C1041" i="2"/>
  <c r="H1041" i="2"/>
  <c r="C153" i="5" s="1"/>
  <c r="G1041" i="2"/>
  <c r="C153" i="4" s="1"/>
  <c r="A1041" i="2"/>
  <c r="C1040" i="2"/>
  <c r="A153" i="20" s="1"/>
  <c r="H1040" i="2"/>
  <c r="A1040" i="2"/>
  <c r="C1039" i="2"/>
  <c r="D1039" i="2"/>
  <c r="A1039" i="2"/>
  <c r="C1038" i="2"/>
  <c r="E1038" i="2"/>
  <c r="D1038" i="2"/>
  <c r="A1038" i="2"/>
  <c r="F1037" i="2"/>
  <c r="F152" i="3" s="1"/>
  <c r="E1037" i="2"/>
  <c r="D1037" i="2"/>
  <c r="G1036" i="2"/>
  <c r="E152" i="4" s="1"/>
  <c r="F1036" i="2"/>
  <c r="E152" i="3" s="1"/>
  <c r="E1036" i="2"/>
  <c r="D1036" i="2"/>
  <c r="H1035" i="2"/>
  <c r="D152" i="5" s="1"/>
  <c r="G1035" i="2"/>
  <c r="D152" i="4" s="1"/>
  <c r="F1035" i="2"/>
  <c r="D152" i="3" s="1"/>
  <c r="E1035" i="2"/>
  <c r="D1035" i="2"/>
  <c r="C1034" i="2"/>
  <c r="H1034" i="2"/>
  <c r="C152" i="5" s="1"/>
  <c r="G1034" i="2"/>
  <c r="C152" i="4" s="1"/>
  <c r="F1034" i="2"/>
  <c r="C152" i="3" s="1"/>
  <c r="A1034" i="2"/>
  <c r="C1033" i="2"/>
  <c r="A152" i="20" s="1"/>
  <c r="H1033" i="2"/>
  <c r="G1033" i="2"/>
  <c r="B152" i="10" s="1"/>
  <c r="F1033" i="2"/>
  <c r="B152" i="9" s="1"/>
  <c r="A1033" i="2"/>
  <c r="C1032" i="2"/>
  <c r="H1032" i="2"/>
  <c r="H151" i="5" s="1"/>
  <c r="G1032" i="2"/>
  <c r="H151" i="4" s="1"/>
  <c r="A1032" i="2"/>
  <c r="C1031" i="2"/>
  <c r="H1031" i="2"/>
  <c r="G151" i="5" s="1"/>
  <c r="D1031" i="2"/>
  <c r="A1031" i="2"/>
  <c r="C1030" i="2"/>
  <c r="E1030" i="2"/>
  <c r="D1030" i="2"/>
  <c r="F1029" i="2"/>
  <c r="E151" i="3" s="1"/>
  <c r="E1029" i="2"/>
  <c r="D1029" i="2"/>
  <c r="G1028" i="2"/>
  <c r="D151" i="4" s="1"/>
  <c r="F1028" i="2"/>
  <c r="D151" i="3" s="1"/>
  <c r="E1028" i="2"/>
  <c r="D1028" i="2"/>
  <c r="H1027" i="2"/>
  <c r="C151" i="5" s="1"/>
  <c r="G1027" i="2"/>
  <c r="C151" i="4" s="1"/>
  <c r="F1027" i="2"/>
  <c r="C151" i="3" s="1"/>
  <c r="E1027" i="2"/>
  <c r="C1026" i="2"/>
  <c r="A151" i="20" s="1"/>
  <c r="H1026" i="2"/>
  <c r="G1026" i="2"/>
  <c r="B151" i="10" s="1"/>
  <c r="F1026" i="2"/>
  <c r="B151" i="9" s="1"/>
  <c r="A1026" i="2"/>
  <c r="C1025" i="2"/>
  <c r="H1025" i="2"/>
  <c r="H150" i="5" s="1"/>
  <c r="G1025" i="2"/>
  <c r="H150" i="4" s="1"/>
  <c r="F1025" i="2"/>
  <c r="H150" i="3" s="1"/>
  <c r="A1025" i="2"/>
  <c r="C1024" i="2"/>
  <c r="H1024" i="2"/>
  <c r="G150" i="5" s="1"/>
  <c r="G1024" i="2"/>
  <c r="G150" i="4" s="1"/>
  <c r="A1024" i="2"/>
  <c r="C1023" i="2"/>
  <c r="H1023" i="2"/>
  <c r="F150" i="5" s="1"/>
  <c r="D1023" i="2"/>
  <c r="A1023" i="2"/>
  <c r="E1022" i="2"/>
  <c r="D1022" i="2"/>
  <c r="A1022" i="2"/>
  <c r="F1021" i="2"/>
  <c r="D150" i="3" s="1"/>
  <c r="E1021" i="2"/>
  <c r="D1021" i="2"/>
  <c r="G1020" i="2"/>
  <c r="C150" i="4" s="1"/>
  <c r="F1020" i="2"/>
  <c r="C150" i="3" s="1"/>
  <c r="E1020" i="2"/>
  <c r="D1020" i="2"/>
  <c r="H1019" i="2"/>
  <c r="G1019" i="2"/>
  <c r="B150" i="10" s="1"/>
  <c r="F1019" i="2"/>
  <c r="B150" i="9" s="1"/>
  <c r="E1019" i="2"/>
  <c r="D1019" i="2"/>
  <c r="C1018" i="2"/>
  <c r="H1018" i="2"/>
  <c r="H149" i="5" s="1"/>
  <c r="G1018" i="2"/>
  <c r="H149" i="4" s="1"/>
  <c r="F1018" i="2"/>
  <c r="H149" i="3" s="1"/>
  <c r="A1018" i="2"/>
  <c r="C1017" i="2"/>
  <c r="H1017" i="2"/>
  <c r="G149" i="5" s="1"/>
  <c r="G1017" i="2"/>
  <c r="G149" i="4" s="1"/>
  <c r="A1017" i="2"/>
  <c r="C1016" i="2"/>
  <c r="H1016" i="2"/>
  <c r="F149" i="5" s="1"/>
  <c r="A1016" i="2"/>
  <c r="C1015" i="2"/>
  <c r="H1015" i="2"/>
  <c r="E149" i="5" s="1"/>
  <c r="D1015" i="2"/>
  <c r="A1015" i="2"/>
  <c r="C1014" i="2"/>
  <c r="E1014" i="2"/>
  <c r="D1014" i="2"/>
  <c r="A1014" i="2"/>
  <c r="F1013" i="2"/>
  <c r="C149" i="3" s="1"/>
  <c r="E1013" i="2"/>
  <c r="D1013" i="2"/>
  <c r="G1012" i="2"/>
  <c r="B149" i="10" s="1"/>
  <c r="F1012" i="2"/>
  <c r="B149" i="9" s="1"/>
  <c r="E1012" i="2"/>
  <c r="D1012" i="2"/>
  <c r="H1011" i="2"/>
  <c r="H148" i="5" s="1"/>
  <c r="G1011" i="2"/>
  <c r="H148" i="4" s="1"/>
  <c r="F1011" i="2"/>
  <c r="H148" i="3" s="1"/>
  <c r="E1011" i="2"/>
  <c r="D1011" i="2"/>
  <c r="C1010" i="2"/>
  <c r="H1010" i="2"/>
  <c r="G148" i="5" s="1"/>
  <c r="G1010" i="2"/>
  <c r="G148" i="4" s="1"/>
  <c r="F1010" i="2"/>
  <c r="G148" i="3" s="1"/>
  <c r="E1010" i="2"/>
  <c r="A1010" i="2"/>
  <c r="C1009" i="2"/>
  <c r="H1009" i="2"/>
  <c r="F148" i="5" s="1"/>
  <c r="G1009" i="2"/>
  <c r="F148" i="4" s="1"/>
  <c r="F1009" i="2"/>
  <c r="F148" i="3" s="1"/>
  <c r="A1009" i="2"/>
  <c r="C1008" i="2"/>
  <c r="H1008" i="2"/>
  <c r="E148" i="5" s="1"/>
  <c r="G1008" i="2"/>
  <c r="E148" i="4" s="1"/>
  <c r="A1008" i="2"/>
  <c r="C1007" i="2"/>
  <c r="D1007" i="2"/>
  <c r="A1007" i="2"/>
  <c r="C1006" i="2"/>
  <c r="E1006" i="2"/>
  <c r="D1006" i="2"/>
  <c r="A1006" i="2"/>
  <c r="F1005" i="2"/>
  <c r="B148" i="9" s="1"/>
  <c r="E1005" i="2"/>
  <c r="D1005" i="2"/>
  <c r="G1004" i="2"/>
  <c r="F1004" i="2"/>
  <c r="E1004" i="2"/>
  <c r="D1004" i="2"/>
  <c r="H1003" i="2"/>
  <c r="G1003" i="2"/>
  <c r="F1003" i="2"/>
  <c r="E1003" i="2"/>
  <c r="D1003" i="2"/>
  <c r="C1002" i="2"/>
  <c r="H1002" i="2"/>
  <c r="G1002" i="2"/>
  <c r="F1002" i="2"/>
  <c r="E1002" i="2"/>
  <c r="A1002" i="2"/>
  <c r="C1001" i="2"/>
  <c r="H1001" i="2"/>
  <c r="G1001" i="2"/>
  <c r="A1001" i="2"/>
  <c r="C1000" i="2"/>
  <c r="H1000" i="2"/>
  <c r="G1000" i="2"/>
  <c r="A1000" i="2"/>
  <c r="C999" i="2"/>
  <c r="D999" i="2"/>
  <c r="A999" i="2"/>
  <c r="E998" i="2"/>
  <c r="D998" i="2"/>
  <c r="A998" i="2"/>
  <c r="F997" i="2"/>
  <c r="E997" i="2"/>
  <c r="D997" i="2"/>
  <c r="G996" i="2"/>
  <c r="F996" i="2"/>
  <c r="E996" i="2"/>
  <c r="D996" i="2"/>
  <c r="H995" i="2"/>
  <c r="G995" i="2"/>
  <c r="F995" i="2"/>
  <c r="E995" i="2"/>
  <c r="D995" i="2"/>
  <c r="C994" i="2"/>
  <c r="H994" i="2"/>
  <c r="G994" i="2"/>
  <c r="A994" i="2"/>
  <c r="C993" i="2"/>
  <c r="H993" i="2"/>
  <c r="G993" i="2"/>
  <c r="A993" i="2"/>
  <c r="C992" i="2"/>
  <c r="H992" i="2"/>
  <c r="G992" i="2"/>
  <c r="A992" i="2"/>
  <c r="C991" i="2"/>
  <c r="H991" i="2"/>
  <c r="D991" i="2"/>
  <c r="A991" i="2"/>
  <c r="E990" i="2"/>
  <c r="D990" i="2"/>
  <c r="F989" i="2"/>
  <c r="G146" i="3" s="1"/>
  <c r="E989" i="2"/>
  <c r="D989" i="2"/>
  <c r="G988" i="2"/>
  <c r="F146" i="4" s="1"/>
  <c r="F988" i="2"/>
  <c r="F146" i="3" s="1"/>
  <c r="E988" i="2"/>
  <c r="D988" i="2"/>
  <c r="H987" i="2"/>
  <c r="E146" i="5" s="1"/>
  <c r="G987" i="2"/>
  <c r="E146" i="4" s="1"/>
  <c r="F987" i="2"/>
  <c r="E146" i="3" s="1"/>
  <c r="D987" i="2"/>
  <c r="C986" i="2"/>
  <c r="H986" i="2"/>
  <c r="D146" i="5" s="1"/>
  <c r="G986" i="2"/>
  <c r="D146" i="4" s="1"/>
  <c r="F986" i="2"/>
  <c r="D146" i="3" s="1"/>
  <c r="E986" i="2"/>
  <c r="A986" i="2"/>
  <c r="C985" i="2"/>
  <c r="H985" i="2"/>
  <c r="C146" i="5" s="1"/>
  <c r="G985" i="2"/>
  <c r="C146" i="4" s="1"/>
  <c r="A985" i="2"/>
  <c r="C984" i="2"/>
  <c r="A146" i="20" s="1"/>
  <c r="H984" i="2"/>
  <c r="A984" i="2"/>
  <c r="C983" i="2"/>
  <c r="H983" i="2"/>
  <c r="H144" i="5" s="1"/>
  <c r="D983" i="2"/>
  <c r="A983" i="2"/>
  <c r="C982" i="2"/>
  <c r="E982" i="2"/>
  <c r="D982" i="2"/>
  <c r="A982" i="2"/>
  <c r="F981" i="2"/>
  <c r="F144" i="3" s="1"/>
  <c r="E981" i="2"/>
  <c r="D981" i="2"/>
  <c r="G980" i="2"/>
  <c r="E144" i="4" s="1"/>
  <c r="F980" i="2"/>
  <c r="E144" i="3" s="1"/>
  <c r="E980" i="2"/>
  <c r="D980" i="2"/>
  <c r="H979" i="2"/>
  <c r="D144" i="5" s="1"/>
  <c r="G979" i="2"/>
  <c r="D144" i="4" s="1"/>
  <c r="F979" i="2"/>
  <c r="D144" i="3" s="1"/>
  <c r="E979" i="2"/>
  <c r="C978" i="2"/>
  <c r="H978" i="2"/>
  <c r="C144" i="5" s="1"/>
  <c r="G978" i="2"/>
  <c r="C144" i="4" s="1"/>
  <c r="F978" i="2"/>
  <c r="C144" i="3" s="1"/>
  <c r="A978" i="2"/>
  <c r="C977" i="2"/>
  <c r="A144" i="20" s="1"/>
  <c r="H977" i="2"/>
  <c r="G977" i="2"/>
  <c r="B144" i="10" s="1"/>
  <c r="F977" i="2"/>
  <c r="B144" i="9" s="1"/>
  <c r="A977" i="2"/>
  <c r="C976" i="2"/>
  <c r="H976" i="2"/>
  <c r="H142" i="5" s="1"/>
  <c r="G976" i="2"/>
  <c r="H142" i="4" s="1"/>
  <c r="A976" i="2"/>
  <c r="C975" i="2"/>
  <c r="D975" i="2"/>
  <c r="A975" i="2"/>
  <c r="E974" i="2"/>
  <c r="D974" i="2"/>
  <c r="F973" i="2"/>
  <c r="E142" i="3" s="1"/>
  <c r="E973" i="2"/>
  <c r="D973" i="2"/>
  <c r="G972" i="2"/>
  <c r="D142" i="4" s="1"/>
  <c r="F972" i="2"/>
  <c r="D142" i="3" s="1"/>
  <c r="E972" i="2"/>
  <c r="D972" i="2"/>
  <c r="H971" i="2"/>
  <c r="C142" i="5" s="1"/>
  <c r="G971" i="2"/>
  <c r="C142" i="4" s="1"/>
  <c r="F971" i="2"/>
  <c r="C142" i="3" s="1"/>
  <c r="E971" i="2"/>
  <c r="D971" i="2"/>
  <c r="C970" i="2"/>
  <c r="A142" i="20" s="1"/>
  <c r="H970" i="2"/>
  <c r="G970" i="2"/>
  <c r="B142" i="10" s="1"/>
  <c r="F970" i="2"/>
  <c r="B142" i="9" s="1"/>
  <c r="E970" i="2"/>
  <c r="A970" i="2"/>
  <c r="C969" i="2"/>
  <c r="H969" i="2"/>
  <c r="H141" i="5" s="1"/>
  <c r="G969" i="2"/>
  <c r="H141" i="4" s="1"/>
  <c r="A969" i="2"/>
  <c r="C968" i="2"/>
  <c r="H968" i="2"/>
  <c r="G141" i="5" s="1"/>
  <c r="G968" i="2"/>
  <c r="G141" i="4" s="1"/>
  <c r="A968" i="2"/>
  <c r="C967" i="2"/>
  <c r="H967" i="2"/>
  <c r="F141" i="5" s="1"/>
  <c r="D967" i="2"/>
  <c r="A967" i="2"/>
  <c r="C966" i="2"/>
  <c r="E966" i="2"/>
  <c r="D966" i="2"/>
  <c r="F965" i="2"/>
  <c r="D141" i="3" s="1"/>
  <c r="E965" i="2"/>
  <c r="D965" i="2"/>
  <c r="G964" i="2"/>
  <c r="C141" i="4" s="1"/>
  <c r="F964" i="2"/>
  <c r="C141" i="3" s="1"/>
  <c r="E964" i="2"/>
  <c r="D964" i="2"/>
  <c r="H963" i="2"/>
  <c r="G963" i="2"/>
  <c r="B141" i="10" s="1"/>
  <c r="F963" i="2"/>
  <c r="B141" i="9" s="1"/>
  <c r="E963" i="2"/>
  <c r="D963" i="2"/>
  <c r="C962" i="2"/>
  <c r="H962" i="2"/>
  <c r="H140" i="5" s="1"/>
  <c r="G962" i="2"/>
  <c r="H140" i="4" s="1"/>
  <c r="F962" i="2"/>
  <c r="H140" i="3" s="1"/>
  <c r="E962" i="2"/>
  <c r="A962" i="2"/>
  <c r="C961" i="2"/>
  <c r="H961" i="2"/>
  <c r="G140" i="5" s="1"/>
  <c r="G961" i="2"/>
  <c r="G140" i="4" s="1"/>
  <c r="F961" i="2"/>
  <c r="G140" i="3" s="1"/>
  <c r="A961" i="2"/>
  <c r="C960" i="2"/>
  <c r="H960" i="2"/>
  <c r="F140" i="5" s="1"/>
  <c r="A960" i="2"/>
  <c r="C959" i="2"/>
  <c r="D959" i="2"/>
  <c r="A959" i="2"/>
  <c r="C958" i="2"/>
  <c r="E958" i="2"/>
  <c r="D958" i="2"/>
  <c r="A958" i="2"/>
  <c r="F957" i="2"/>
  <c r="C140" i="3" s="1"/>
  <c r="E957" i="2"/>
  <c r="D957" i="2"/>
  <c r="G956" i="2"/>
  <c r="B140" i="10" s="1"/>
  <c r="F956" i="2"/>
  <c r="B140" i="9" s="1"/>
  <c r="E956" i="2"/>
  <c r="D956" i="2"/>
  <c r="H955" i="2"/>
  <c r="H139" i="5" s="1"/>
  <c r="G955" i="2"/>
  <c r="H139" i="4" s="1"/>
  <c r="F955" i="2"/>
  <c r="H139" i="3" s="1"/>
  <c r="E955" i="2"/>
  <c r="C954" i="2"/>
  <c r="H954" i="2"/>
  <c r="G139" i="5" s="1"/>
  <c r="G954" i="2"/>
  <c r="G139" i="4" s="1"/>
  <c r="F954" i="2"/>
  <c r="G139" i="3" s="1"/>
  <c r="A954" i="2"/>
  <c r="C953" i="2"/>
  <c r="H953" i="2"/>
  <c r="F139" i="5" s="1"/>
  <c r="G953" i="2"/>
  <c r="F139" i="4" s="1"/>
  <c r="A953" i="2"/>
  <c r="C952" i="2"/>
  <c r="H952" i="2"/>
  <c r="E139" i="5" s="1"/>
  <c r="A952" i="2"/>
  <c r="H951" i="2"/>
  <c r="D139" i="5" s="1"/>
  <c r="D951" i="2"/>
  <c r="A951" i="2"/>
  <c r="C950" i="2"/>
  <c r="E950" i="2"/>
  <c r="D950" i="2"/>
  <c r="A950" i="2"/>
  <c r="F949" i="2"/>
  <c r="B139" i="9" s="1"/>
  <c r="E949" i="2"/>
  <c r="D949" i="2"/>
  <c r="G948" i="2"/>
  <c r="H138" i="4" s="1"/>
  <c r="F948" i="2"/>
  <c r="H138" i="3" s="1"/>
  <c r="E948" i="2"/>
  <c r="D948" i="2"/>
  <c r="H947" i="2"/>
  <c r="G138" i="5" s="1"/>
  <c r="G947" i="2"/>
  <c r="G138" i="4" s="1"/>
  <c r="F947" i="2"/>
  <c r="G138" i="3" s="1"/>
  <c r="E947" i="2"/>
  <c r="D947" i="2"/>
  <c r="C946" i="2"/>
  <c r="H946" i="2"/>
  <c r="F138" i="5" s="1"/>
  <c r="G946" i="2"/>
  <c r="F138" i="4" s="1"/>
  <c r="F946" i="2"/>
  <c r="F138" i="3" s="1"/>
  <c r="E946" i="2"/>
  <c r="A946" i="2"/>
  <c r="C945" i="2"/>
  <c r="H945" i="2"/>
  <c r="E138" i="5" s="1"/>
  <c r="G945" i="2"/>
  <c r="E138" i="4" s="1"/>
  <c r="F945" i="2"/>
  <c r="E138" i="3" s="1"/>
  <c r="A945" i="2"/>
  <c r="C944" i="2"/>
  <c r="H944" i="2"/>
  <c r="D138" i="5" s="1"/>
  <c r="G944" i="2"/>
  <c r="D138" i="4" s="1"/>
  <c r="A944" i="2"/>
  <c r="C943" i="2"/>
  <c r="H943" i="2"/>
  <c r="C138" i="5" s="1"/>
  <c r="D943" i="2"/>
  <c r="A943" i="2"/>
  <c r="C942" i="2"/>
  <c r="A138" i="20" s="1"/>
  <c r="E942" i="2"/>
  <c r="D942" i="2"/>
  <c r="A942" i="2"/>
  <c r="F941" i="2"/>
  <c r="H137" i="3" s="1"/>
  <c r="E941" i="2"/>
  <c r="D941" i="2"/>
  <c r="G940" i="2"/>
  <c r="G137" i="4" s="1"/>
  <c r="F940" i="2"/>
  <c r="G137" i="3" s="1"/>
  <c r="E940" i="2"/>
  <c r="D940" i="2"/>
  <c r="H939" i="2"/>
  <c r="F137" i="5" s="1"/>
  <c r="G939" i="2"/>
  <c r="F137" i="4" s="1"/>
  <c r="F939" i="2"/>
  <c r="F137" i="3" s="1"/>
  <c r="E939" i="2"/>
  <c r="C938" i="2"/>
  <c r="H938" i="2"/>
  <c r="E137" i="5" s="1"/>
  <c r="G938" i="2"/>
  <c r="E137" i="4" s="1"/>
  <c r="F938" i="2"/>
  <c r="E137" i="3" s="1"/>
  <c r="E938" i="2"/>
  <c r="A938" i="2"/>
  <c r="C937" i="2"/>
  <c r="H937" i="2"/>
  <c r="D137" i="5" s="1"/>
  <c r="G937" i="2"/>
  <c r="D137" i="4" s="1"/>
  <c r="A937" i="2"/>
  <c r="C936" i="2"/>
  <c r="H936" i="2"/>
  <c r="C137" i="5" s="1"/>
  <c r="G936" i="2"/>
  <c r="C137" i="4" s="1"/>
  <c r="A936" i="2"/>
  <c r="C935" i="2"/>
  <c r="A137" i="20" s="1"/>
  <c r="H935" i="2"/>
  <c r="D935" i="2"/>
  <c r="A935" i="2"/>
  <c r="A136" i="20" s="1"/>
  <c r="E934" i="2"/>
  <c r="D934" i="2"/>
  <c r="A934" i="2"/>
  <c r="F933" i="2"/>
  <c r="E933" i="2"/>
  <c r="D933" i="2"/>
  <c r="G932" i="2"/>
  <c r="F932" i="2"/>
  <c r="E932" i="2"/>
  <c r="D932" i="2"/>
  <c r="H931" i="2"/>
  <c r="G931" i="2"/>
  <c r="F931" i="2"/>
  <c r="E931" i="2"/>
  <c r="D931" i="2"/>
  <c r="C930" i="2"/>
  <c r="H930" i="2"/>
  <c r="G930" i="2"/>
  <c r="F930" i="2"/>
  <c r="E930" i="2"/>
  <c r="A930" i="2"/>
  <c r="C929" i="2"/>
  <c r="H929" i="2"/>
  <c r="G929" i="2"/>
  <c r="F929" i="2"/>
  <c r="A929" i="2"/>
  <c r="C928" i="2"/>
  <c r="H928" i="2"/>
  <c r="G928" i="2"/>
  <c r="A928" i="2"/>
  <c r="C927" i="2"/>
  <c r="H927" i="2"/>
  <c r="D927" i="2"/>
  <c r="A927" i="2"/>
  <c r="E926" i="2"/>
  <c r="D926" i="2"/>
  <c r="A926" i="2"/>
  <c r="F925" i="2"/>
  <c r="E925" i="2"/>
  <c r="D925" i="2"/>
  <c r="G924" i="2"/>
  <c r="F924" i="2"/>
  <c r="E924" i="2"/>
  <c r="D924" i="2"/>
  <c r="H923" i="2"/>
  <c r="G923" i="2"/>
  <c r="F923" i="2"/>
  <c r="E923" i="2"/>
  <c r="D923" i="2"/>
  <c r="C922" i="2"/>
  <c r="H922" i="2"/>
  <c r="G922" i="2"/>
  <c r="F922" i="2"/>
  <c r="A922" i="2"/>
  <c r="C921" i="2"/>
  <c r="H921" i="2"/>
  <c r="G921" i="2"/>
  <c r="F921" i="2"/>
  <c r="A921" i="2"/>
  <c r="C920" i="2"/>
  <c r="H920" i="2"/>
  <c r="H135" i="5" s="1"/>
  <c r="A920" i="2"/>
  <c r="C919" i="2"/>
  <c r="H919" i="2"/>
  <c r="G135" i="5" s="1"/>
  <c r="D919" i="2"/>
  <c r="A919" i="2"/>
  <c r="C918" i="2"/>
  <c r="E918" i="2"/>
  <c r="D918" i="2"/>
  <c r="A918" i="2"/>
  <c r="F917" i="2"/>
  <c r="E135" i="3" s="1"/>
  <c r="E917" i="2"/>
  <c r="D917" i="2"/>
  <c r="G916" i="2"/>
  <c r="D135" i="4" s="1"/>
  <c r="F916" i="2"/>
  <c r="D135" i="3" s="1"/>
  <c r="E916" i="2"/>
  <c r="D916" i="2"/>
  <c r="H915" i="2"/>
  <c r="C135" i="5" s="1"/>
  <c r="G915" i="2"/>
  <c r="C135" i="4" s="1"/>
  <c r="F915" i="2"/>
  <c r="C135" i="3" s="1"/>
  <c r="E915" i="2"/>
  <c r="D915" i="2"/>
  <c r="C914" i="2"/>
  <c r="A135" i="20" s="1"/>
  <c r="H914" i="2"/>
  <c r="G914" i="2"/>
  <c r="B135" i="10" s="1"/>
  <c r="E914" i="2"/>
  <c r="A914" i="2"/>
  <c r="C913" i="2"/>
  <c r="H913" i="2"/>
  <c r="G913" i="2"/>
  <c r="A913" i="2"/>
  <c r="C912" i="2"/>
  <c r="H912" i="2"/>
  <c r="A912" i="2"/>
  <c r="C911" i="2"/>
  <c r="H911" i="2"/>
  <c r="D911" i="2"/>
  <c r="A911" i="2"/>
  <c r="C910" i="2"/>
  <c r="E910" i="2"/>
  <c r="D910" i="2"/>
  <c r="F909" i="2"/>
  <c r="D133" i="9" s="1"/>
  <c r="D133" i="18" s="1"/>
  <c r="E909" i="2"/>
  <c r="D909" i="2"/>
  <c r="G908" i="2"/>
  <c r="C133" i="10" s="1"/>
  <c r="C133" i="16" s="1"/>
  <c r="F908" i="2"/>
  <c r="C133" i="9" s="1"/>
  <c r="C133" i="18" s="1"/>
  <c r="E908" i="2"/>
  <c r="D908" i="2"/>
  <c r="H907" i="2"/>
  <c r="G907" i="2"/>
  <c r="F907" i="2"/>
  <c r="E907" i="2"/>
  <c r="C906" i="2"/>
  <c r="H906" i="2"/>
  <c r="G906" i="2"/>
  <c r="F906" i="2"/>
  <c r="E906" i="2"/>
  <c r="A906" i="2"/>
  <c r="C905" i="2"/>
  <c r="H905" i="2"/>
  <c r="G905" i="2"/>
  <c r="G132" i="10" s="1"/>
  <c r="F905" i="2"/>
  <c r="G132" i="9" s="1"/>
  <c r="G132" i="18" s="1"/>
  <c r="A905" i="2"/>
  <c r="C904" i="2"/>
  <c r="H904" i="2"/>
  <c r="A904" i="2"/>
  <c r="C903" i="2"/>
  <c r="D903" i="2"/>
  <c r="A903" i="2"/>
  <c r="E902" i="2"/>
  <c r="D902" i="2"/>
  <c r="A902" i="2"/>
  <c r="F901" i="2"/>
  <c r="C132" i="9" s="1"/>
  <c r="C132" i="18" s="1"/>
  <c r="E901" i="2"/>
  <c r="D901" i="2"/>
  <c r="G900" i="2"/>
  <c r="B132" i="10" s="1"/>
  <c r="F900" i="2"/>
  <c r="B132" i="9" s="1"/>
  <c r="B132" i="18" s="1"/>
  <c r="B132" i="6" s="1"/>
  <c r="E900" i="2"/>
  <c r="D900" i="2"/>
  <c r="H899" i="2"/>
  <c r="H131" i="5" s="1"/>
  <c r="G899" i="2"/>
  <c r="H131" i="4" s="1"/>
  <c r="F899" i="2"/>
  <c r="H131" i="3" s="1"/>
  <c r="E899" i="2"/>
  <c r="D899" i="2"/>
  <c r="C898" i="2"/>
  <c r="H898" i="2"/>
  <c r="G131" i="5" s="1"/>
  <c r="G898" i="2"/>
  <c r="G131" i="4" s="1"/>
  <c r="F898" i="2"/>
  <c r="G131" i="3" s="1"/>
  <c r="A898" i="2"/>
  <c r="C897" i="2"/>
  <c r="H897" i="2"/>
  <c r="F131" i="5" s="1"/>
  <c r="G897" i="2"/>
  <c r="F131" i="4" s="1"/>
  <c r="A897" i="2"/>
  <c r="C896" i="2"/>
  <c r="H896" i="2"/>
  <c r="E131" i="5" s="1"/>
  <c r="G896" i="2"/>
  <c r="E131" i="4" s="1"/>
  <c r="A896" i="2"/>
  <c r="C895" i="2"/>
  <c r="H895" i="2"/>
  <c r="D131" i="5" s="1"/>
  <c r="D895" i="2"/>
  <c r="A895" i="2"/>
  <c r="C894" i="2"/>
  <c r="E894" i="2"/>
  <c r="D894" i="2"/>
  <c r="A894" i="2"/>
  <c r="F893" i="2"/>
  <c r="B131" i="9" s="1"/>
  <c r="E893" i="2"/>
  <c r="D893" i="2"/>
  <c r="G892" i="2"/>
  <c r="H130" i="4" s="1"/>
  <c r="F892" i="2"/>
  <c r="H130" i="3" s="1"/>
  <c r="E892" i="2"/>
  <c r="D892" i="2"/>
  <c r="H891" i="2"/>
  <c r="G130" i="5" s="1"/>
  <c r="G891" i="2"/>
  <c r="G130" i="4" s="1"/>
  <c r="F891" i="2"/>
  <c r="G130" i="3" s="1"/>
  <c r="E891" i="2"/>
  <c r="D891" i="2"/>
  <c r="C890" i="2"/>
  <c r="H890" i="2"/>
  <c r="F130" i="5" s="1"/>
  <c r="G890" i="2"/>
  <c r="F130" i="4" s="1"/>
  <c r="F890" i="2"/>
  <c r="F130" i="3" s="1"/>
  <c r="A890" i="2"/>
  <c r="C889" i="2"/>
  <c r="H889" i="2"/>
  <c r="E130" i="5" s="1"/>
  <c r="G889" i="2"/>
  <c r="E130" i="4" s="1"/>
  <c r="F889" i="2"/>
  <c r="E130" i="3" s="1"/>
  <c r="A889" i="2"/>
  <c r="C888" i="2"/>
  <c r="H888" i="2"/>
  <c r="D130" i="5" s="1"/>
  <c r="A888" i="2"/>
  <c r="C887" i="2"/>
  <c r="H887" i="2"/>
  <c r="C130" i="5" s="1"/>
  <c r="D887" i="2"/>
  <c r="A887" i="2"/>
  <c r="C886" i="2"/>
  <c r="A130" i="20" s="1"/>
  <c r="E886" i="2"/>
  <c r="D886" i="2"/>
  <c r="A886" i="2"/>
  <c r="F885" i="2"/>
  <c r="H129" i="3" s="1"/>
  <c r="E885" i="2"/>
  <c r="D885" i="2"/>
  <c r="F884" i="2"/>
  <c r="G129" i="3" s="1"/>
  <c r="E884" i="2"/>
  <c r="H883" i="2"/>
  <c r="F129" i="5" s="1"/>
  <c r="G883" i="2"/>
  <c r="F129" i="4" s="1"/>
  <c r="F883" i="2"/>
  <c r="F129" i="3" s="1"/>
  <c r="E883" i="2"/>
  <c r="D883" i="2"/>
  <c r="C882" i="2"/>
  <c r="H882" i="2"/>
  <c r="E129" i="5" s="1"/>
  <c r="G882" i="2"/>
  <c r="E129" i="4" s="1"/>
  <c r="F882" i="2"/>
  <c r="E129" i="3" s="1"/>
  <c r="E882" i="2"/>
  <c r="A882" i="2"/>
  <c r="C881" i="2"/>
  <c r="H881" i="2"/>
  <c r="D129" i="5" s="1"/>
  <c r="G881" i="2"/>
  <c r="D129" i="4" s="1"/>
  <c r="A881" i="2"/>
  <c r="C880" i="2"/>
  <c r="H880" i="2"/>
  <c r="C129" i="5" s="1"/>
  <c r="G880" i="2"/>
  <c r="C129" i="4" s="1"/>
  <c r="A880" i="2"/>
  <c r="C879" i="2"/>
  <c r="A129" i="20" s="1"/>
  <c r="H879" i="2"/>
  <c r="D879" i="2"/>
  <c r="A879" i="2"/>
  <c r="E878" i="2"/>
  <c r="D878" i="2"/>
  <c r="A878" i="2"/>
  <c r="F877" i="2"/>
  <c r="G128" i="3" s="1"/>
  <c r="E877" i="2"/>
  <c r="D877" i="2"/>
  <c r="G876" i="2"/>
  <c r="F128" i="4" s="1"/>
  <c r="F876" i="2"/>
  <c r="F128" i="3" s="1"/>
  <c r="E876" i="2"/>
  <c r="D876" i="2"/>
  <c r="H875" i="2"/>
  <c r="E128" i="5" s="1"/>
  <c r="G875" i="2"/>
  <c r="E128" i="4" s="1"/>
  <c r="F875" i="2"/>
  <c r="E128" i="3" s="1"/>
  <c r="E875" i="2"/>
  <c r="D875" i="2"/>
  <c r="C874" i="2"/>
  <c r="H874" i="2"/>
  <c r="D128" i="5" s="1"/>
  <c r="G874" i="2"/>
  <c r="D128" i="4" s="1"/>
  <c r="F874" i="2"/>
  <c r="D128" i="3" s="1"/>
  <c r="E874" i="2"/>
  <c r="A874" i="2"/>
  <c r="C873" i="2"/>
  <c r="H873" i="2"/>
  <c r="C128" i="5" s="1"/>
  <c r="G873" i="2"/>
  <c r="C128" i="4" s="1"/>
  <c r="F873" i="2"/>
  <c r="C128" i="3" s="1"/>
  <c r="A873" i="2"/>
  <c r="C872" i="2"/>
  <c r="A128" i="20" s="1"/>
  <c r="H872" i="2"/>
  <c r="G872" i="2"/>
  <c r="B128" i="10" s="1"/>
  <c r="A872" i="2"/>
  <c r="C871" i="2"/>
  <c r="D871" i="2"/>
  <c r="A871" i="2"/>
  <c r="C870" i="2"/>
  <c r="E870" i="2"/>
  <c r="D870" i="2"/>
  <c r="A870" i="2"/>
  <c r="F869" i="2"/>
  <c r="F127" i="3" s="1"/>
  <c r="E869" i="2"/>
  <c r="D869" i="2"/>
  <c r="G868" i="2"/>
  <c r="E127" i="4" s="1"/>
  <c r="F868" i="2"/>
  <c r="E127" i="3" s="1"/>
  <c r="E868" i="2"/>
  <c r="D868" i="2"/>
  <c r="H867" i="2"/>
  <c r="D127" i="5" s="1"/>
  <c r="G867" i="2"/>
  <c r="D127" i="4" s="1"/>
  <c r="F867" i="2"/>
  <c r="D127" i="3" s="1"/>
  <c r="E867" i="2"/>
  <c r="D867" i="2"/>
  <c r="C866" i="2"/>
  <c r="H866" i="2"/>
  <c r="C127" i="5" s="1"/>
  <c r="G866" i="2"/>
  <c r="C127" i="4" s="1"/>
  <c r="F866" i="2"/>
  <c r="C127" i="3" s="1"/>
  <c r="E866" i="2"/>
  <c r="A866" i="2"/>
  <c r="C865" i="2"/>
  <c r="A127" i="20" s="1"/>
  <c r="H865" i="2"/>
  <c r="G865" i="2"/>
  <c r="B127" i="10" s="1"/>
  <c r="F865" i="2"/>
  <c r="B127" i="9" s="1"/>
  <c r="A865" i="2"/>
  <c r="C864" i="2"/>
  <c r="G864" i="2"/>
  <c r="H126" i="4" s="1"/>
  <c r="A864" i="2"/>
  <c r="H863" i="2"/>
  <c r="G126" i="5" s="1"/>
  <c r="D863" i="2"/>
  <c r="E862" i="2"/>
  <c r="D862" i="2"/>
  <c r="F861" i="2"/>
  <c r="E126" i="3" s="1"/>
  <c r="E861" i="2"/>
  <c r="D861" i="2"/>
  <c r="G860" i="2"/>
  <c r="D126" i="4" s="1"/>
  <c r="F860" i="2"/>
  <c r="D126" i="3" s="1"/>
  <c r="E860" i="2"/>
  <c r="D860" i="2"/>
  <c r="H859" i="2"/>
  <c r="C126" i="5" s="1"/>
  <c r="G859" i="2"/>
  <c r="C126" i="4" s="1"/>
  <c r="F859" i="2"/>
  <c r="C126" i="3" s="1"/>
  <c r="E859" i="2"/>
  <c r="D859" i="2"/>
  <c r="C858" i="2"/>
  <c r="A126" i="20" s="1"/>
  <c r="H858" i="2"/>
  <c r="G858" i="2"/>
  <c r="B126" i="10" s="1"/>
  <c r="F858" i="2"/>
  <c r="B126" i="9" s="1"/>
  <c r="A858" i="2"/>
  <c r="A125" i="20" s="1"/>
  <c r="C857" i="2"/>
  <c r="H857" i="2"/>
  <c r="G857" i="2"/>
  <c r="A857" i="2"/>
  <c r="C856" i="2"/>
  <c r="A856" i="2"/>
  <c r="C855" i="2"/>
  <c r="H855" i="2"/>
  <c r="D855" i="2"/>
  <c r="A855" i="2"/>
  <c r="C854" i="2"/>
  <c r="E854" i="2"/>
  <c r="D854" i="2"/>
  <c r="A854" i="2"/>
  <c r="F853" i="2"/>
  <c r="E853" i="2"/>
  <c r="D853" i="2"/>
  <c r="G852" i="2"/>
  <c r="F852" i="2"/>
  <c r="E852" i="2"/>
  <c r="D852" i="2"/>
  <c r="H851" i="2"/>
  <c r="G851" i="2"/>
  <c r="F851" i="2"/>
  <c r="E851" i="2"/>
  <c r="C850" i="2"/>
  <c r="H850" i="2"/>
  <c r="G850" i="2"/>
  <c r="F850" i="2"/>
  <c r="E850" i="2"/>
  <c r="A850" i="2"/>
  <c r="C849" i="2"/>
  <c r="H849" i="2"/>
  <c r="G849" i="2"/>
  <c r="F849" i="2"/>
  <c r="A849" i="2"/>
  <c r="C848" i="2"/>
  <c r="H848" i="2"/>
  <c r="A848" i="2"/>
  <c r="C847" i="2"/>
  <c r="H847" i="2"/>
  <c r="D847" i="2"/>
  <c r="A847" i="2"/>
  <c r="E846" i="2"/>
  <c r="D846" i="2"/>
  <c r="F845" i="2"/>
  <c r="E845" i="2"/>
  <c r="D845" i="2"/>
  <c r="G844" i="2"/>
  <c r="F844" i="2"/>
  <c r="E844" i="2"/>
  <c r="D844" i="2"/>
  <c r="H843" i="2"/>
  <c r="H124" i="5" s="1"/>
  <c r="G843" i="2"/>
  <c r="H124" i="4" s="1"/>
  <c r="F843" i="2"/>
  <c r="H124" i="3" s="1"/>
  <c r="E843" i="2"/>
  <c r="D843" i="2"/>
  <c r="C842" i="2"/>
  <c r="H842" i="2"/>
  <c r="G124" i="5" s="1"/>
  <c r="G842" i="2"/>
  <c r="G124" i="4" s="1"/>
  <c r="F842" i="2"/>
  <c r="G124" i="3" s="1"/>
  <c r="E842" i="2"/>
  <c r="A842" i="2"/>
  <c r="C841" i="2"/>
  <c r="H841" i="2"/>
  <c r="F124" i="5" s="1"/>
  <c r="G841" i="2"/>
  <c r="F124" i="4" s="1"/>
  <c r="A841" i="2"/>
  <c r="C840" i="2"/>
  <c r="H840" i="2"/>
  <c r="E124" i="5" s="1"/>
  <c r="A840" i="2"/>
  <c r="C839" i="2"/>
  <c r="H839" i="2"/>
  <c r="D124" i="5" s="1"/>
  <c r="D839" i="2"/>
  <c r="A839" i="2"/>
  <c r="C838" i="2"/>
  <c r="E838" i="2"/>
  <c r="D838" i="2"/>
  <c r="F837" i="2"/>
  <c r="B124" i="9" s="1"/>
  <c r="E837" i="2"/>
  <c r="D837" i="2"/>
  <c r="G836" i="2"/>
  <c r="H122" i="4" s="1"/>
  <c r="F836" i="2"/>
  <c r="H122" i="3" s="1"/>
  <c r="E836" i="2"/>
  <c r="D836" i="2"/>
  <c r="H835" i="2"/>
  <c r="G122" i="5" s="1"/>
  <c r="G835" i="2"/>
  <c r="G122" i="4" s="1"/>
  <c r="F835" i="2"/>
  <c r="G122" i="3" s="1"/>
  <c r="E835" i="2"/>
  <c r="D835" i="2"/>
  <c r="C834" i="2"/>
  <c r="H834" i="2"/>
  <c r="F122" i="5" s="1"/>
  <c r="G834" i="2"/>
  <c r="F122" i="4" s="1"/>
  <c r="F834" i="2"/>
  <c r="F122" i="3" s="1"/>
  <c r="E834" i="2"/>
  <c r="A834" i="2"/>
  <c r="C833" i="2"/>
  <c r="H833" i="2"/>
  <c r="E122" i="5" s="1"/>
  <c r="G833" i="2"/>
  <c r="E122" i="4" s="1"/>
  <c r="F833" i="2"/>
  <c r="E122" i="3" s="1"/>
  <c r="A833" i="2"/>
  <c r="C832" i="2"/>
  <c r="H832" i="2"/>
  <c r="D122" i="5" s="1"/>
  <c r="A832" i="2"/>
  <c r="C831" i="2"/>
  <c r="D831" i="2"/>
  <c r="A831" i="2"/>
  <c r="C830" i="2"/>
  <c r="A122" i="20" s="1"/>
  <c r="E830" i="2"/>
  <c r="D830" i="2"/>
  <c r="A830" i="2"/>
  <c r="F829" i="2"/>
  <c r="H120" i="3" s="1"/>
  <c r="E829" i="2"/>
  <c r="D829" i="2"/>
  <c r="G828" i="2"/>
  <c r="G120" i="4" s="1"/>
  <c r="F828" i="2"/>
  <c r="G120" i="3" s="1"/>
  <c r="E828" i="2"/>
  <c r="D828" i="2"/>
  <c r="H827" i="2"/>
  <c r="F120" i="5" s="1"/>
  <c r="G827" i="2"/>
  <c r="F120" i="4" s="1"/>
  <c r="F827" i="2"/>
  <c r="F120" i="3" s="1"/>
  <c r="E827" i="2"/>
  <c r="C826" i="2"/>
  <c r="H826" i="2"/>
  <c r="E120" i="5" s="1"/>
  <c r="G826" i="2"/>
  <c r="E120" i="4" s="1"/>
  <c r="F826" i="2"/>
  <c r="E120" i="3" s="1"/>
  <c r="A826" i="2"/>
  <c r="C825" i="2"/>
  <c r="H825" i="2"/>
  <c r="D120" i="5" s="1"/>
  <c r="G825" i="2"/>
  <c r="D120" i="4" s="1"/>
  <c r="F825" i="2"/>
  <c r="D120" i="3" s="1"/>
  <c r="A825" i="2"/>
  <c r="C824" i="2"/>
  <c r="H824" i="2"/>
  <c r="C120" i="5" s="1"/>
  <c r="G824" i="2"/>
  <c r="C120" i="4" s="1"/>
  <c r="A824" i="2"/>
  <c r="C823" i="2"/>
  <c r="A120" i="20" s="1"/>
  <c r="H823" i="2"/>
  <c r="D823" i="2"/>
  <c r="A823" i="2"/>
  <c r="C822" i="2"/>
  <c r="E822" i="2"/>
  <c r="D822" i="2"/>
  <c r="A822" i="2"/>
  <c r="F821" i="2"/>
  <c r="G119" i="3" s="1"/>
  <c r="E821" i="2"/>
  <c r="D821" i="2"/>
  <c r="G820" i="2"/>
  <c r="F119" i="4" s="1"/>
  <c r="F820" i="2"/>
  <c r="F119" i="3" s="1"/>
  <c r="E820" i="2"/>
  <c r="D820" i="2"/>
  <c r="H819" i="2"/>
  <c r="E119" i="5" s="1"/>
  <c r="G819" i="2"/>
  <c r="E119" i="4" s="1"/>
  <c r="F819" i="2"/>
  <c r="E119" i="3" s="1"/>
  <c r="E819" i="2"/>
  <c r="D819" i="2"/>
  <c r="C818" i="2"/>
  <c r="H818" i="2"/>
  <c r="D119" i="5" s="1"/>
  <c r="G818" i="2"/>
  <c r="D119" i="4" s="1"/>
  <c r="F818" i="2"/>
  <c r="D119" i="3" s="1"/>
  <c r="E818" i="2"/>
  <c r="A818" i="2"/>
  <c r="C817" i="2"/>
  <c r="H817" i="2"/>
  <c r="C119" i="5" s="1"/>
  <c r="G817" i="2"/>
  <c r="C119" i="4" s="1"/>
  <c r="F817" i="2"/>
  <c r="C119" i="3" s="1"/>
  <c r="A817" i="2"/>
  <c r="C816" i="2"/>
  <c r="A119" i="20" s="1"/>
  <c r="H816" i="2"/>
  <c r="A816" i="2"/>
  <c r="C815" i="2"/>
  <c r="H815" i="2"/>
  <c r="H118" i="5" s="1"/>
  <c r="D815" i="2"/>
  <c r="A815" i="2"/>
  <c r="C814" i="2"/>
  <c r="E814" i="2"/>
  <c r="D814" i="2"/>
  <c r="A814" i="2"/>
  <c r="F813" i="2"/>
  <c r="F118" i="3" s="1"/>
  <c r="E813" i="2"/>
  <c r="D813" i="2"/>
  <c r="G812" i="2"/>
  <c r="E118" i="4" s="1"/>
  <c r="F812" i="2"/>
  <c r="E118" i="3" s="1"/>
  <c r="E812" i="2"/>
  <c r="D812" i="2"/>
  <c r="H811" i="2"/>
  <c r="D118" i="5" s="1"/>
  <c r="G811" i="2"/>
  <c r="D118" i="4" s="1"/>
  <c r="F811" i="2"/>
  <c r="D118" i="3" s="1"/>
  <c r="E811" i="2"/>
  <c r="D811" i="2"/>
  <c r="C810" i="2"/>
  <c r="H810" i="2"/>
  <c r="C118" i="5" s="1"/>
  <c r="G810" i="2"/>
  <c r="C118" i="4" s="1"/>
  <c r="F810" i="2"/>
  <c r="C118" i="3" s="1"/>
  <c r="A810" i="2"/>
  <c r="C809" i="2"/>
  <c r="A118" i="20" s="1"/>
  <c r="H809" i="2"/>
  <c r="G809" i="2"/>
  <c r="B118" i="10" s="1"/>
  <c r="F809" i="2"/>
  <c r="B118" i="9" s="1"/>
  <c r="A809" i="2"/>
  <c r="C808" i="2"/>
  <c r="H808" i="2"/>
  <c r="H117" i="5" s="1"/>
  <c r="A808" i="2"/>
  <c r="C807" i="2"/>
  <c r="H807" i="2"/>
  <c r="G117" i="5" s="1"/>
  <c r="D807" i="2"/>
  <c r="A807" i="2"/>
  <c r="E806" i="2"/>
  <c r="D806" i="2"/>
  <c r="F805" i="2"/>
  <c r="E117" i="3" s="1"/>
  <c r="E805" i="2"/>
  <c r="D805" i="2"/>
  <c r="G804" i="2"/>
  <c r="D117" i="4" s="1"/>
  <c r="F804" i="2"/>
  <c r="D117" i="3" s="1"/>
  <c r="E804" i="2"/>
  <c r="D804" i="2"/>
  <c r="H803" i="2"/>
  <c r="C117" i="5" s="1"/>
  <c r="G803" i="2"/>
  <c r="C117" i="4" s="1"/>
  <c r="F803" i="2"/>
  <c r="C117" i="3" s="1"/>
  <c r="E803" i="2"/>
  <c r="D803" i="2"/>
  <c r="C802" i="2"/>
  <c r="A117" i="20" s="1"/>
  <c r="H802" i="2"/>
  <c r="G802" i="2"/>
  <c r="B117" i="10" s="1"/>
  <c r="F802" i="2"/>
  <c r="B117" i="9" s="1"/>
  <c r="E802" i="2"/>
  <c r="A802" i="2"/>
  <c r="C801" i="2"/>
  <c r="H801" i="2"/>
  <c r="H116" i="5" s="1"/>
  <c r="G801" i="2"/>
  <c r="H116" i="4" s="1"/>
  <c r="F801" i="2"/>
  <c r="H116" i="3" s="1"/>
  <c r="A801" i="2"/>
  <c r="C800" i="2"/>
  <c r="H800" i="2"/>
  <c r="G116" i="5" s="1"/>
  <c r="A800" i="2"/>
  <c r="C799" i="2"/>
  <c r="D799" i="2"/>
  <c r="A799" i="2"/>
  <c r="C798" i="2"/>
  <c r="E798" i="2"/>
  <c r="D798" i="2"/>
  <c r="A798" i="2"/>
  <c r="F797" i="2"/>
  <c r="D116" i="3" s="1"/>
  <c r="E797" i="2"/>
  <c r="D797" i="2"/>
  <c r="G796" i="2"/>
  <c r="C116" i="4" s="1"/>
  <c r="F796" i="2"/>
  <c r="C116" i="3" s="1"/>
  <c r="E796" i="2"/>
  <c r="D796" i="2"/>
  <c r="H795" i="2"/>
  <c r="G795" i="2"/>
  <c r="B116" i="10" s="1"/>
  <c r="F795" i="2"/>
  <c r="B116" i="9" s="1"/>
  <c r="E795" i="2"/>
  <c r="C794" i="2"/>
  <c r="H794" i="2"/>
  <c r="H115" i="5" s="1"/>
  <c r="G794" i="2"/>
  <c r="H115" i="4" s="1"/>
  <c r="F794" i="2"/>
  <c r="H115" i="3" s="1"/>
  <c r="E794" i="2"/>
  <c r="A794" i="2"/>
  <c r="C793" i="2"/>
  <c r="H793" i="2"/>
  <c r="G115" i="5" s="1"/>
  <c r="G793" i="2"/>
  <c r="G115" i="4" s="1"/>
  <c r="F793" i="2"/>
  <c r="G115" i="3" s="1"/>
  <c r="A793" i="2"/>
  <c r="C792" i="2"/>
  <c r="H792" i="2"/>
  <c r="F115" i="5" s="1"/>
  <c r="A792" i="2"/>
  <c r="C791" i="2"/>
  <c r="D791" i="2"/>
  <c r="A791" i="2"/>
  <c r="C790" i="2"/>
  <c r="E790" i="2"/>
  <c r="D790" i="2"/>
  <c r="A790" i="2"/>
  <c r="F789" i="2"/>
  <c r="C115" i="3" s="1"/>
  <c r="E789" i="2"/>
  <c r="D789" i="2"/>
  <c r="G788" i="2"/>
  <c r="B115" i="10" s="1"/>
  <c r="F788" i="2"/>
  <c r="B115" i="9" s="1"/>
  <c r="E788" i="2"/>
  <c r="D788" i="2"/>
  <c r="H787" i="2"/>
  <c r="G787" i="2"/>
  <c r="F787" i="2"/>
  <c r="E787" i="2"/>
  <c r="C786" i="2"/>
  <c r="H786" i="2"/>
  <c r="G786" i="2"/>
  <c r="F786" i="2"/>
  <c r="A786" i="2"/>
  <c r="C785" i="2"/>
  <c r="H785" i="2"/>
  <c r="G785" i="2"/>
  <c r="A785" i="2"/>
  <c r="C784" i="2"/>
  <c r="H784" i="2"/>
  <c r="G784" i="2"/>
  <c r="A784" i="2"/>
  <c r="C783" i="2"/>
  <c r="D783" i="2"/>
  <c r="A783" i="2"/>
  <c r="C782" i="2"/>
  <c r="E782" i="2"/>
  <c r="D782" i="2"/>
  <c r="F781" i="2"/>
  <c r="E781" i="2"/>
  <c r="D781" i="2"/>
  <c r="G780" i="2"/>
  <c r="F780" i="2"/>
  <c r="E780" i="2"/>
  <c r="D780" i="2"/>
  <c r="H779" i="2"/>
  <c r="G779" i="2"/>
  <c r="F779" i="2"/>
  <c r="E779" i="2"/>
  <c r="C778" i="2"/>
  <c r="H778" i="2"/>
  <c r="G778" i="2"/>
  <c r="F778" i="2"/>
  <c r="E778" i="2"/>
  <c r="A778" i="2"/>
  <c r="C777" i="2"/>
  <c r="H777" i="2"/>
  <c r="G777" i="2"/>
  <c r="F777" i="2"/>
  <c r="A777" i="2"/>
  <c r="C776" i="2"/>
  <c r="H776" i="2"/>
  <c r="G776" i="2"/>
  <c r="A776" i="2"/>
  <c r="C775" i="2"/>
  <c r="D775" i="2"/>
  <c r="A775" i="2"/>
  <c r="E774" i="2"/>
  <c r="D774" i="2"/>
  <c r="A774" i="2"/>
  <c r="F773" i="2"/>
  <c r="H113" i="3" s="1"/>
  <c r="E773" i="2"/>
  <c r="D773" i="2"/>
  <c r="G772" i="2"/>
  <c r="G113" i="4" s="1"/>
  <c r="F772" i="2"/>
  <c r="G113" i="3" s="1"/>
  <c r="E772" i="2"/>
  <c r="D772" i="2"/>
  <c r="H771" i="2"/>
  <c r="F113" i="5" s="1"/>
  <c r="G771" i="2"/>
  <c r="F113" i="4" s="1"/>
  <c r="F771" i="2"/>
  <c r="F113" i="3" s="1"/>
  <c r="E771" i="2"/>
  <c r="D771" i="2"/>
  <c r="C770" i="2"/>
  <c r="H770" i="2"/>
  <c r="E113" i="5" s="1"/>
  <c r="G770" i="2"/>
  <c r="E113" i="4" s="1"/>
  <c r="F770" i="2"/>
  <c r="E113" i="3" s="1"/>
  <c r="A770" i="2"/>
  <c r="C769" i="2"/>
  <c r="H769" i="2"/>
  <c r="D113" i="5" s="1"/>
  <c r="G769" i="2"/>
  <c r="D113" i="4" s="1"/>
  <c r="A769" i="2"/>
  <c r="C768" i="2"/>
  <c r="H768" i="2"/>
  <c r="C113" i="5" s="1"/>
  <c r="G768" i="2"/>
  <c r="C113" i="4" s="1"/>
  <c r="A768" i="2"/>
  <c r="D767" i="2"/>
  <c r="A767" i="2"/>
  <c r="E766" i="2"/>
  <c r="D766" i="2"/>
  <c r="A766" i="2"/>
  <c r="F765" i="2"/>
  <c r="G111" i="3" s="1"/>
  <c r="E765" i="2"/>
  <c r="D765" i="2"/>
  <c r="G764" i="2"/>
  <c r="F111" i="4" s="1"/>
  <c r="F764" i="2"/>
  <c r="F111" i="3" s="1"/>
  <c r="E764" i="2"/>
  <c r="D764" i="2"/>
  <c r="H763" i="2"/>
  <c r="E111" i="5" s="1"/>
  <c r="G763" i="2"/>
  <c r="E111" i="4" s="1"/>
  <c r="F763" i="2"/>
  <c r="E111" i="3" s="1"/>
  <c r="E763" i="2"/>
  <c r="D763" i="2"/>
  <c r="C762" i="2"/>
  <c r="H762" i="2"/>
  <c r="D111" i="5" s="1"/>
  <c r="G762" i="2"/>
  <c r="D111" i="4" s="1"/>
  <c r="F762" i="2"/>
  <c r="D111" i="3" s="1"/>
  <c r="E762" i="2"/>
  <c r="A762" i="2"/>
  <c r="C761" i="2"/>
  <c r="H761" i="2"/>
  <c r="C111" i="5" s="1"/>
  <c r="G761" i="2"/>
  <c r="C111" i="4" s="1"/>
  <c r="A761" i="2"/>
  <c r="C760" i="2"/>
  <c r="A111" i="20" s="1"/>
  <c r="H760" i="2"/>
  <c r="A760" i="2"/>
  <c r="C759" i="2"/>
  <c r="H759" i="2"/>
  <c r="H110" i="5" s="1"/>
  <c r="D759" i="2"/>
  <c r="A759" i="2"/>
  <c r="C758" i="2"/>
  <c r="E758" i="2"/>
  <c r="D758" i="2"/>
  <c r="A758" i="2"/>
  <c r="F757" i="2"/>
  <c r="F110" i="3" s="1"/>
  <c r="E757" i="2"/>
  <c r="D757" i="2"/>
  <c r="G756" i="2"/>
  <c r="E110" i="4" s="1"/>
  <c r="F756" i="2"/>
  <c r="E110" i="3" s="1"/>
  <c r="E756" i="2"/>
  <c r="D756" i="2"/>
  <c r="H755" i="2"/>
  <c r="D110" i="5" s="1"/>
  <c r="G755" i="2"/>
  <c r="D110" i="4" s="1"/>
  <c r="F755" i="2"/>
  <c r="D110" i="3" s="1"/>
  <c r="E755" i="2"/>
  <c r="D755" i="2"/>
  <c r="C754" i="2"/>
  <c r="H754" i="2"/>
  <c r="C110" i="5" s="1"/>
  <c r="F754" i="2"/>
  <c r="C110" i="3" s="1"/>
  <c r="A754" i="2"/>
  <c r="C753" i="2"/>
  <c r="H753" i="2"/>
  <c r="B110" i="5" s="1"/>
  <c r="G753" i="2"/>
  <c r="B110" i="4" s="1"/>
  <c r="F753" i="2"/>
  <c r="B110" i="3" s="1"/>
  <c r="A753" i="2"/>
  <c r="C752" i="2"/>
  <c r="H752" i="2"/>
  <c r="H109" i="5" s="1"/>
  <c r="G752" i="2"/>
  <c r="H109" i="4" s="1"/>
  <c r="A752" i="2"/>
  <c r="C751" i="2"/>
  <c r="D751" i="2"/>
  <c r="A751" i="2"/>
  <c r="C750" i="2"/>
  <c r="E750" i="2"/>
  <c r="D750" i="2"/>
  <c r="A750" i="2"/>
  <c r="F749" i="2"/>
  <c r="E109" i="3" s="1"/>
  <c r="E749" i="2"/>
  <c r="D749" i="2"/>
  <c r="G748" i="2"/>
  <c r="D109" i="4" s="1"/>
  <c r="F748" i="2"/>
  <c r="D109" i="3" s="1"/>
  <c r="E748" i="2"/>
  <c r="D748" i="2"/>
  <c r="H747" i="2"/>
  <c r="C109" i="5" s="1"/>
  <c r="G747" i="2"/>
  <c r="C109" i="4" s="1"/>
  <c r="F747" i="2"/>
  <c r="C109" i="3" s="1"/>
  <c r="E747" i="2"/>
  <c r="D747" i="2"/>
  <c r="C746" i="2"/>
  <c r="A109" i="20" s="1"/>
  <c r="H746" i="2"/>
  <c r="G746" i="2"/>
  <c r="B109" i="10" s="1"/>
  <c r="F746" i="2"/>
  <c r="B109" i="9" s="1"/>
  <c r="E746" i="2"/>
  <c r="A746" i="2"/>
  <c r="C745" i="2"/>
  <c r="H745" i="2"/>
  <c r="H108" i="5" s="1"/>
  <c r="G745" i="2"/>
  <c r="H108" i="4" s="1"/>
  <c r="F745" i="2"/>
  <c r="H108" i="3" s="1"/>
  <c r="A745" i="2"/>
  <c r="C744" i="2"/>
  <c r="H744" i="2"/>
  <c r="G108" i="5" s="1"/>
  <c r="G744" i="2"/>
  <c r="G108" i="4" s="1"/>
  <c r="A744" i="2"/>
  <c r="C743" i="2"/>
  <c r="H743" i="2"/>
  <c r="F108" i="5" s="1"/>
  <c r="D743" i="2"/>
  <c r="A743" i="2"/>
  <c r="C742" i="2"/>
  <c r="E742" i="2"/>
  <c r="D742" i="2"/>
  <c r="A742" i="2"/>
  <c r="F741" i="2"/>
  <c r="D108" i="3" s="1"/>
  <c r="E741" i="2"/>
  <c r="D741" i="2"/>
  <c r="G740" i="2"/>
  <c r="C108" i="4" s="1"/>
  <c r="F740" i="2"/>
  <c r="C108" i="3" s="1"/>
  <c r="E740" i="2"/>
  <c r="D740" i="2"/>
  <c r="H739" i="2"/>
  <c r="G739" i="2"/>
  <c r="B108" i="10" s="1"/>
  <c r="F739" i="2"/>
  <c r="B108" i="9" s="1"/>
  <c r="E739" i="2"/>
  <c r="D739" i="2"/>
  <c r="C738" i="2"/>
  <c r="H738" i="2"/>
  <c r="H107" i="5" s="1"/>
  <c r="G738" i="2"/>
  <c r="H107" i="4" s="1"/>
  <c r="F738" i="2"/>
  <c r="H107" i="3" s="1"/>
  <c r="A738" i="2"/>
  <c r="C737" i="2"/>
  <c r="H737" i="2"/>
  <c r="G107" i="5" s="1"/>
  <c r="G737" i="2"/>
  <c r="G107" i="4" s="1"/>
  <c r="A737" i="2"/>
  <c r="C736" i="2"/>
  <c r="H736" i="2"/>
  <c r="F107" i="5" s="1"/>
  <c r="G736" i="2"/>
  <c r="F107" i="4" s="1"/>
  <c r="A736" i="2"/>
  <c r="C735" i="2"/>
  <c r="H735" i="2"/>
  <c r="E107" i="5" s="1"/>
  <c r="D735" i="2"/>
  <c r="A735" i="2"/>
  <c r="C734" i="2"/>
  <c r="E734" i="2"/>
  <c r="D734" i="2"/>
  <c r="A734" i="2"/>
  <c r="F733" i="2"/>
  <c r="C107" i="3" s="1"/>
  <c r="E733" i="2"/>
  <c r="D733" i="2"/>
  <c r="G732" i="2"/>
  <c r="B107" i="10" s="1"/>
  <c r="F732" i="2"/>
  <c r="B107" i="9" s="1"/>
  <c r="E732" i="2"/>
  <c r="D732" i="2"/>
  <c r="H731" i="2"/>
  <c r="H106" i="5" s="1"/>
  <c r="G731" i="2"/>
  <c r="H106" i="4" s="1"/>
  <c r="F731" i="2"/>
  <c r="H106" i="3" s="1"/>
  <c r="E731" i="2"/>
  <c r="C730" i="2"/>
  <c r="H730" i="2"/>
  <c r="G106" i="5" s="1"/>
  <c r="G730" i="2"/>
  <c r="G106" i="4" s="1"/>
  <c r="F730" i="2"/>
  <c r="G106" i="3" s="1"/>
  <c r="E730" i="2"/>
  <c r="A730" i="2"/>
  <c r="C729" i="2"/>
  <c r="H729" i="2"/>
  <c r="F106" i="5" s="1"/>
  <c r="F729" i="2"/>
  <c r="F106" i="3" s="1"/>
  <c r="A729" i="2"/>
  <c r="C728" i="2"/>
  <c r="H728" i="2"/>
  <c r="E106" i="5" s="1"/>
  <c r="G728" i="2"/>
  <c r="E106" i="4" s="1"/>
  <c r="A728" i="2"/>
  <c r="C727" i="2"/>
  <c r="H727" i="2"/>
  <c r="D106" i="5" s="1"/>
  <c r="D727" i="2"/>
  <c r="A727" i="2"/>
  <c r="E726" i="2"/>
  <c r="D726" i="2"/>
  <c r="F725" i="2"/>
  <c r="B106" i="9" s="1"/>
  <c r="E725" i="2"/>
  <c r="D725" i="2"/>
  <c r="G724" i="2"/>
  <c r="H105" i="4" s="1"/>
  <c r="F724" i="2"/>
  <c r="H105" i="3" s="1"/>
  <c r="E724" i="2"/>
  <c r="D724" i="2"/>
  <c r="H723" i="2"/>
  <c r="G105" i="5" s="1"/>
  <c r="G723" i="2"/>
  <c r="G105" i="4" s="1"/>
  <c r="F723" i="2"/>
  <c r="G105" i="3" s="1"/>
  <c r="E723" i="2"/>
  <c r="D723" i="2"/>
  <c r="C722" i="2"/>
  <c r="H722" i="2"/>
  <c r="F105" i="5" s="1"/>
  <c r="G722" i="2"/>
  <c r="F105" i="4" s="1"/>
  <c r="F722" i="2"/>
  <c r="F105" i="3" s="1"/>
  <c r="E722" i="2"/>
  <c r="A722" i="2"/>
  <c r="C721" i="2"/>
  <c r="H721" i="2"/>
  <c r="E105" i="5" s="1"/>
  <c r="G721" i="2"/>
  <c r="E105" i="4" s="1"/>
  <c r="F721" i="2"/>
  <c r="E105" i="3" s="1"/>
  <c r="A721" i="2"/>
  <c r="C720" i="2"/>
  <c r="H720" i="2"/>
  <c r="D105" i="5" s="1"/>
  <c r="G720" i="2"/>
  <c r="D105" i="4" s="1"/>
  <c r="A720" i="2"/>
  <c r="C719" i="2"/>
  <c r="D719" i="2"/>
  <c r="A719" i="2"/>
  <c r="E718" i="2"/>
  <c r="D718" i="2"/>
  <c r="F717" i="2"/>
  <c r="H104" i="3" s="1"/>
  <c r="E717" i="2"/>
  <c r="D717" i="2"/>
  <c r="G716" i="2"/>
  <c r="G104" i="4" s="1"/>
  <c r="F716" i="2"/>
  <c r="G104" i="3" s="1"/>
  <c r="E716" i="2"/>
  <c r="D716" i="2"/>
  <c r="H715" i="2"/>
  <c r="F104" i="5" s="1"/>
  <c r="G715" i="2"/>
  <c r="F104" i="4" s="1"/>
  <c r="F715" i="2"/>
  <c r="F104" i="3" s="1"/>
  <c r="E715" i="2"/>
  <c r="C714" i="2"/>
  <c r="H714" i="2"/>
  <c r="E104" i="5" s="1"/>
  <c r="G714" i="2"/>
  <c r="E104" i="4" s="1"/>
  <c r="F714" i="2"/>
  <c r="E104" i="3" s="1"/>
  <c r="E714" i="2"/>
  <c r="A714" i="2"/>
  <c r="C713" i="2"/>
  <c r="H713" i="2"/>
  <c r="D104" i="5" s="1"/>
  <c r="G713" i="2"/>
  <c r="D104" i="4" s="1"/>
  <c r="F713" i="2"/>
  <c r="D104" i="3" s="1"/>
  <c r="A713" i="2"/>
  <c r="C712" i="2"/>
  <c r="H712" i="2"/>
  <c r="C104" i="5" s="1"/>
  <c r="A712" i="2"/>
  <c r="C711" i="2"/>
  <c r="A104" i="20" s="1"/>
  <c r="H711" i="2"/>
  <c r="D711" i="2"/>
  <c r="A711" i="2"/>
  <c r="A103" i="20" s="1"/>
  <c r="E710" i="2"/>
  <c r="D710" i="2"/>
  <c r="F709" i="2"/>
  <c r="E709" i="2"/>
  <c r="D709" i="2"/>
  <c r="G708" i="2"/>
  <c r="F708" i="2"/>
  <c r="E708" i="2"/>
  <c r="D708" i="2"/>
  <c r="H707" i="2"/>
  <c r="G707" i="2"/>
  <c r="F707" i="2"/>
  <c r="E707" i="2"/>
  <c r="D707" i="2"/>
  <c r="C706" i="2"/>
  <c r="H706" i="2"/>
  <c r="G706" i="2"/>
  <c r="F706" i="2"/>
  <c r="E706" i="2"/>
  <c r="A706" i="2"/>
  <c r="C705" i="2"/>
  <c r="H705" i="2"/>
  <c r="G705" i="2"/>
  <c r="A705" i="2"/>
  <c r="C704" i="2"/>
  <c r="H704" i="2"/>
  <c r="A704" i="2"/>
  <c r="C703" i="2"/>
  <c r="H703" i="2"/>
  <c r="D703" i="2"/>
  <c r="A703" i="2"/>
  <c r="C702" i="2"/>
  <c r="E702" i="2"/>
  <c r="D702" i="2"/>
  <c r="A702" i="2"/>
  <c r="F701" i="2"/>
  <c r="E701" i="2"/>
  <c r="D701" i="2"/>
  <c r="G700" i="2"/>
  <c r="F700" i="2"/>
  <c r="E700" i="2"/>
  <c r="D700" i="2"/>
  <c r="H699" i="2"/>
  <c r="G699" i="2"/>
  <c r="F699" i="2"/>
  <c r="E699" i="2"/>
  <c r="C698" i="2"/>
  <c r="H698" i="2"/>
  <c r="G698" i="2"/>
  <c r="F698" i="2"/>
  <c r="A698" i="2"/>
  <c r="C697" i="2"/>
  <c r="H697" i="2"/>
  <c r="G697" i="2"/>
  <c r="F697" i="2"/>
  <c r="A697" i="2"/>
  <c r="C696" i="2"/>
  <c r="H696" i="2"/>
  <c r="H102" i="5" s="1"/>
  <c r="G696" i="2"/>
  <c r="H102" i="4" s="1"/>
  <c r="A696" i="2"/>
  <c r="C695" i="2"/>
  <c r="H695" i="2"/>
  <c r="G102" i="5" s="1"/>
  <c r="D695" i="2"/>
  <c r="A695" i="2"/>
  <c r="C694" i="2"/>
  <c r="E694" i="2"/>
  <c r="D694" i="2"/>
  <c r="F693" i="2"/>
  <c r="E102" i="3" s="1"/>
  <c r="E693" i="2"/>
  <c r="D693" i="2"/>
  <c r="G692" i="2"/>
  <c r="D102" i="4" s="1"/>
  <c r="F692" i="2"/>
  <c r="D102" i="3" s="1"/>
  <c r="E692" i="2"/>
  <c r="D692" i="2"/>
  <c r="H691" i="2"/>
  <c r="C102" i="5" s="1"/>
  <c r="G691" i="2"/>
  <c r="C102" i="4" s="1"/>
  <c r="F691" i="2"/>
  <c r="C102" i="3" s="1"/>
  <c r="E691" i="2"/>
  <c r="D691" i="2"/>
  <c r="C690" i="2"/>
  <c r="A102" i="20" s="1"/>
  <c r="H690" i="2"/>
  <c r="G690" i="2"/>
  <c r="B102" i="10" s="1"/>
  <c r="F690" i="2"/>
  <c r="B102" i="9" s="1"/>
  <c r="E690" i="2"/>
  <c r="A690" i="2"/>
  <c r="C689" i="2"/>
  <c r="H689" i="2"/>
  <c r="H101" i="5" s="1"/>
  <c r="G689" i="2"/>
  <c r="H101" i="4" s="1"/>
  <c r="F689" i="2"/>
  <c r="H101" i="3" s="1"/>
  <c r="A689" i="2"/>
  <c r="C688" i="2"/>
  <c r="H688" i="2"/>
  <c r="G101" i="5" s="1"/>
  <c r="A688" i="2"/>
  <c r="C687" i="2"/>
  <c r="H687" i="2"/>
  <c r="F101" i="5" s="1"/>
  <c r="D687" i="2"/>
  <c r="A687" i="2"/>
  <c r="C686" i="2"/>
  <c r="E686" i="2"/>
  <c r="D686" i="2"/>
  <c r="A686" i="2"/>
  <c r="F685" i="2"/>
  <c r="D101" i="3" s="1"/>
  <c r="E685" i="2"/>
  <c r="D685" i="2"/>
  <c r="G684" i="2"/>
  <c r="C101" i="4" s="1"/>
  <c r="F684" i="2"/>
  <c r="C101" i="3" s="1"/>
  <c r="E684" i="2"/>
  <c r="D684" i="2"/>
  <c r="H683" i="2"/>
  <c r="G683" i="2"/>
  <c r="B101" i="10" s="1"/>
  <c r="F683" i="2"/>
  <c r="B101" i="9" s="1"/>
  <c r="E683" i="2"/>
  <c r="D683" i="2"/>
  <c r="C682" i="2"/>
  <c r="H682" i="2"/>
  <c r="G682" i="2"/>
  <c r="F682" i="2"/>
  <c r="A682" i="2"/>
  <c r="C681" i="2"/>
  <c r="H681" i="2"/>
  <c r="G681" i="2"/>
  <c r="G100" i="10" s="1"/>
  <c r="A681" i="2"/>
  <c r="C680" i="2"/>
  <c r="H680" i="2"/>
  <c r="A680" i="2"/>
  <c r="C679" i="2"/>
  <c r="H679" i="2"/>
  <c r="D679" i="2"/>
  <c r="A679" i="2"/>
  <c r="C678" i="2"/>
  <c r="E678" i="2"/>
  <c r="D678" i="2"/>
  <c r="A678" i="2"/>
  <c r="F677" i="2"/>
  <c r="C100" i="9" s="1"/>
  <c r="E677" i="2"/>
  <c r="D677" i="2"/>
  <c r="G676" i="2"/>
  <c r="F676" i="2"/>
  <c r="E676" i="2"/>
  <c r="D676" i="2"/>
  <c r="H675" i="2"/>
  <c r="G675" i="2"/>
  <c r="F675" i="2"/>
  <c r="E675" i="2"/>
  <c r="H674" i="2"/>
  <c r="G674" i="2"/>
  <c r="G99" i="10" s="1"/>
  <c r="F674" i="2"/>
  <c r="G99" i="9" s="1"/>
  <c r="A674" i="2"/>
  <c r="C673" i="2"/>
  <c r="H673" i="2"/>
  <c r="G673" i="2"/>
  <c r="F99" i="10" s="1"/>
  <c r="F673" i="2"/>
  <c r="F99" i="9" s="1"/>
  <c r="A673" i="2"/>
  <c r="C672" i="2"/>
  <c r="H672" i="2"/>
  <c r="A672" i="2"/>
  <c r="C671" i="2"/>
  <c r="D671" i="2"/>
  <c r="A671" i="2"/>
  <c r="E670" i="2"/>
  <c r="D670" i="2"/>
  <c r="A670" i="2"/>
  <c r="F669" i="2"/>
  <c r="E669" i="2"/>
  <c r="D669" i="2"/>
  <c r="G668" i="2"/>
  <c r="H98" i="4" s="1"/>
  <c r="F668" i="2"/>
  <c r="H98" i="3" s="1"/>
  <c r="E668" i="2"/>
  <c r="D668" i="2"/>
  <c r="H667" i="2"/>
  <c r="G98" i="5" s="1"/>
  <c r="G667" i="2"/>
  <c r="G98" i="4" s="1"/>
  <c r="F667" i="2"/>
  <c r="G98" i="3" s="1"/>
  <c r="C666" i="2"/>
  <c r="H666" i="2"/>
  <c r="F98" i="5" s="1"/>
  <c r="G666" i="2"/>
  <c r="F98" i="4" s="1"/>
  <c r="F666" i="2"/>
  <c r="F98" i="3" s="1"/>
  <c r="A666" i="2"/>
  <c r="C665" i="2"/>
  <c r="H665" i="2"/>
  <c r="E98" i="5" s="1"/>
  <c r="G665" i="2"/>
  <c r="E98" i="4" s="1"/>
  <c r="A665" i="2"/>
  <c r="C664" i="2"/>
  <c r="H664" i="2"/>
  <c r="D98" i="5" s="1"/>
  <c r="G664" i="2"/>
  <c r="D98" i="4" s="1"/>
  <c r="A664" i="2"/>
  <c r="C663" i="2"/>
  <c r="H663" i="2"/>
  <c r="C98" i="5" s="1"/>
  <c r="D663" i="2"/>
  <c r="A663" i="2"/>
  <c r="C662" i="2"/>
  <c r="A98" i="20" s="1"/>
  <c r="E662" i="2"/>
  <c r="D662" i="2"/>
  <c r="F661" i="2"/>
  <c r="H97" i="3" s="1"/>
  <c r="E661" i="2"/>
  <c r="D661" i="2"/>
  <c r="G660" i="2"/>
  <c r="G97" i="4" s="1"/>
  <c r="F660" i="2"/>
  <c r="G97" i="3" s="1"/>
  <c r="E660" i="2"/>
  <c r="D660" i="2"/>
  <c r="H659" i="2"/>
  <c r="F97" i="5" s="1"/>
  <c r="G659" i="2"/>
  <c r="F97" i="4" s="1"/>
  <c r="F659" i="2"/>
  <c r="F97" i="3" s="1"/>
  <c r="E659" i="2"/>
  <c r="D659" i="2"/>
  <c r="C658" i="2"/>
  <c r="H658" i="2"/>
  <c r="E97" i="5" s="1"/>
  <c r="G658" i="2"/>
  <c r="E97" i="4" s="1"/>
  <c r="F658" i="2"/>
  <c r="E97" i="3" s="1"/>
  <c r="E658" i="2"/>
  <c r="A658" i="2"/>
  <c r="C657" i="2"/>
  <c r="H657" i="2"/>
  <c r="D97" i="5" s="1"/>
  <c r="G657" i="2"/>
  <c r="D97" i="4" s="1"/>
  <c r="F657" i="2"/>
  <c r="D97" i="3" s="1"/>
  <c r="A657" i="2"/>
  <c r="C656" i="2"/>
  <c r="H656" i="2"/>
  <c r="C97" i="5" s="1"/>
  <c r="A656" i="2"/>
  <c r="C655" i="2"/>
  <c r="A97" i="20" s="1"/>
  <c r="H655" i="2"/>
  <c r="D655" i="2"/>
  <c r="A655" i="2"/>
  <c r="E654" i="2"/>
  <c r="D654" i="2"/>
  <c r="A654" i="2"/>
  <c r="F653" i="2"/>
  <c r="G96" i="3" s="1"/>
  <c r="E653" i="2"/>
  <c r="D653" i="2"/>
  <c r="G652" i="2"/>
  <c r="F96" i="4" s="1"/>
  <c r="F652" i="2"/>
  <c r="F96" i="3" s="1"/>
  <c r="E652" i="2"/>
  <c r="D652" i="2"/>
  <c r="H651" i="2"/>
  <c r="E96" i="5" s="1"/>
  <c r="G651" i="2"/>
  <c r="E96" i="4" s="1"/>
  <c r="F651" i="2"/>
  <c r="E96" i="3" s="1"/>
  <c r="E651" i="2"/>
  <c r="C650" i="2"/>
  <c r="H650" i="2"/>
  <c r="D96" i="5" s="1"/>
  <c r="G650" i="2"/>
  <c r="D96" i="4" s="1"/>
  <c r="F650" i="2"/>
  <c r="D96" i="3" s="1"/>
  <c r="E650" i="2"/>
  <c r="A650" i="2"/>
  <c r="C649" i="2"/>
  <c r="H649" i="2"/>
  <c r="C96" i="5" s="1"/>
  <c r="G649" i="2"/>
  <c r="C96" i="4" s="1"/>
  <c r="F649" i="2"/>
  <c r="C96" i="3" s="1"/>
  <c r="A649" i="2"/>
  <c r="C648" i="2"/>
  <c r="A96" i="20" s="1"/>
  <c r="H648" i="2"/>
  <c r="G648" i="2"/>
  <c r="B96" i="10" s="1"/>
  <c r="A648" i="2"/>
  <c r="C647" i="2"/>
  <c r="D647" i="2"/>
  <c r="A647" i="2"/>
  <c r="E646" i="2"/>
  <c r="D646" i="2"/>
  <c r="F645" i="2"/>
  <c r="F95" i="3" s="1"/>
  <c r="E645" i="2"/>
  <c r="D645" i="2"/>
  <c r="G644" i="2"/>
  <c r="E95" i="4" s="1"/>
  <c r="F644" i="2"/>
  <c r="E95" i="3" s="1"/>
  <c r="E644" i="2"/>
  <c r="D644" i="2"/>
  <c r="H643" i="2"/>
  <c r="D95" i="5" s="1"/>
  <c r="G643" i="2"/>
  <c r="D95" i="4" s="1"/>
  <c r="F643" i="2"/>
  <c r="D95" i="3" s="1"/>
  <c r="E643" i="2"/>
  <c r="D643" i="2"/>
  <c r="C642" i="2"/>
  <c r="H642" i="2"/>
  <c r="C95" i="5" s="1"/>
  <c r="G642" i="2"/>
  <c r="C95" i="4" s="1"/>
  <c r="F642" i="2"/>
  <c r="C95" i="3" s="1"/>
  <c r="E642" i="2"/>
  <c r="A642" i="2"/>
  <c r="C641" i="2"/>
  <c r="A95" i="20" s="1"/>
  <c r="H641" i="2"/>
  <c r="G641" i="2"/>
  <c r="B95" i="10" s="1"/>
  <c r="F641" i="2"/>
  <c r="B95" i="9" s="1"/>
  <c r="A641" i="2"/>
  <c r="C640" i="2"/>
  <c r="H640" i="2"/>
  <c r="H94" i="5" s="1"/>
  <c r="G640" i="2"/>
  <c r="H94" i="4" s="1"/>
  <c r="A640" i="2"/>
  <c r="C639" i="2"/>
  <c r="D639" i="2"/>
  <c r="A639" i="2"/>
  <c r="C638" i="2"/>
  <c r="E638" i="2"/>
  <c r="D638" i="2"/>
  <c r="F637" i="2"/>
  <c r="E94" i="3" s="1"/>
  <c r="E637" i="2"/>
  <c r="D637" i="2"/>
  <c r="G636" i="2"/>
  <c r="D94" i="4" s="1"/>
  <c r="F636" i="2"/>
  <c r="D94" i="3" s="1"/>
  <c r="E636" i="2"/>
  <c r="D636" i="2"/>
  <c r="H635" i="2"/>
  <c r="C94" i="5" s="1"/>
  <c r="G635" i="2"/>
  <c r="C94" i="4" s="1"/>
  <c r="F635" i="2"/>
  <c r="C94" i="3" s="1"/>
  <c r="E635" i="2"/>
  <c r="D635" i="2"/>
  <c r="C634" i="2"/>
  <c r="A94" i="20" s="1"/>
  <c r="H634" i="2"/>
  <c r="G634" i="2"/>
  <c r="B94" i="10" s="1"/>
  <c r="F634" i="2"/>
  <c r="B94" i="9" s="1"/>
  <c r="E634" i="2"/>
  <c r="A634" i="2"/>
  <c r="C633" i="2"/>
  <c r="H633" i="2"/>
  <c r="H93" i="5" s="1"/>
  <c r="G633" i="2"/>
  <c r="H93" i="4" s="1"/>
  <c r="F633" i="2"/>
  <c r="H93" i="3" s="1"/>
  <c r="A633" i="2"/>
  <c r="C632" i="2"/>
  <c r="H632" i="2"/>
  <c r="G93" i="5" s="1"/>
  <c r="G632" i="2"/>
  <c r="G93" i="4" s="1"/>
  <c r="A632" i="2"/>
  <c r="C631" i="2"/>
  <c r="H631" i="2"/>
  <c r="F93" i="5" s="1"/>
  <c r="D631" i="2"/>
  <c r="A631" i="2"/>
  <c r="C630" i="2"/>
  <c r="E630" i="2"/>
  <c r="D630" i="2"/>
  <c r="A630" i="2"/>
  <c r="F629" i="2"/>
  <c r="D93" i="3" s="1"/>
  <c r="E629" i="2"/>
  <c r="D629" i="2"/>
  <c r="G628" i="2"/>
  <c r="C93" i="4" s="1"/>
  <c r="F628" i="2"/>
  <c r="C93" i="3" s="1"/>
  <c r="E628" i="2"/>
  <c r="D628" i="2"/>
  <c r="H627" i="2"/>
  <c r="G627" i="2"/>
  <c r="B93" i="10" s="1"/>
  <c r="F627" i="2"/>
  <c r="B93" i="9" s="1"/>
  <c r="E627" i="2"/>
  <c r="D627" i="2"/>
  <c r="C626" i="2"/>
  <c r="H626" i="2"/>
  <c r="G626" i="2"/>
  <c r="F626" i="2"/>
  <c r="A626" i="2"/>
  <c r="C625" i="2"/>
  <c r="H625" i="2"/>
  <c r="G625" i="2"/>
  <c r="F625" i="2"/>
  <c r="A625" i="2"/>
  <c r="C624" i="2"/>
  <c r="H624" i="2"/>
  <c r="A624" i="2"/>
  <c r="C623" i="2"/>
  <c r="H623" i="2"/>
  <c r="D623" i="2"/>
  <c r="A623" i="2"/>
  <c r="C622" i="2"/>
  <c r="E622" i="2"/>
  <c r="D622" i="2"/>
  <c r="F621" i="2"/>
  <c r="E621" i="2"/>
  <c r="D621" i="2"/>
  <c r="G620" i="2"/>
  <c r="F620" i="2"/>
  <c r="E620" i="2"/>
  <c r="D620" i="2"/>
  <c r="H619" i="2"/>
  <c r="G619" i="2"/>
  <c r="F619" i="2"/>
  <c r="C618" i="2"/>
  <c r="H618" i="2"/>
  <c r="G618" i="2"/>
  <c r="F618" i="2"/>
  <c r="A618" i="2"/>
  <c r="C617" i="2"/>
  <c r="H617" i="2"/>
  <c r="G617" i="2"/>
  <c r="F617" i="2"/>
  <c r="A617" i="2"/>
  <c r="C616" i="2"/>
  <c r="H616" i="2"/>
  <c r="G616" i="2"/>
  <c r="A616" i="2"/>
  <c r="C615" i="2"/>
  <c r="D615" i="2"/>
  <c r="A615" i="2"/>
  <c r="E614" i="2"/>
  <c r="D614" i="2"/>
  <c r="F613" i="2"/>
  <c r="E613" i="2"/>
  <c r="D613" i="2"/>
  <c r="G612" i="2"/>
  <c r="H91" i="4" s="1"/>
  <c r="F612" i="2"/>
  <c r="H91" i="3" s="1"/>
  <c r="E612" i="2"/>
  <c r="D612" i="2"/>
  <c r="H611" i="2"/>
  <c r="G91" i="5" s="1"/>
  <c r="G611" i="2"/>
  <c r="G91" i="4" s="1"/>
  <c r="F611" i="2"/>
  <c r="G91" i="3" s="1"/>
  <c r="E611" i="2"/>
  <c r="C610" i="2"/>
  <c r="H610" i="2"/>
  <c r="F91" i="5" s="1"/>
  <c r="G610" i="2"/>
  <c r="F91" i="4" s="1"/>
  <c r="F610" i="2"/>
  <c r="F91" i="3" s="1"/>
  <c r="E610" i="2"/>
  <c r="A610" i="2"/>
  <c r="C609" i="2"/>
  <c r="H609" i="2"/>
  <c r="E91" i="5" s="1"/>
  <c r="G609" i="2"/>
  <c r="E91" i="4" s="1"/>
  <c r="F609" i="2"/>
  <c r="E91" i="3" s="1"/>
  <c r="A609" i="2"/>
  <c r="C608" i="2"/>
  <c r="H608" i="2"/>
  <c r="D91" i="5" s="1"/>
  <c r="G608" i="2"/>
  <c r="D91" i="4" s="1"/>
  <c r="A608" i="2"/>
  <c r="C607" i="2"/>
  <c r="H607" i="2"/>
  <c r="C91" i="5" s="1"/>
  <c r="D607" i="2"/>
  <c r="A607" i="2"/>
  <c r="C606" i="2"/>
  <c r="A91" i="20" s="1"/>
  <c r="E606" i="2"/>
  <c r="D606" i="2"/>
  <c r="F605" i="2"/>
  <c r="H90" i="3" s="1"/>
  <c r="E605" i="2"/>
  <c r="D605" i="2"/>
  <c r="G604" i="2"/>
  <c r="G90" i="4" s="1"/>
  <c r="F604" i="2"/>
  <c r="G90" i="3" s="1"/>
  <c r="E604" i="2"/>
  <c r="D604" i="2"/>
  <c r="H603" i="2"/>
  <c r="F90" i="5" s="1"/>
  <c r="G603" i="2"/>
  <c r="F90" i="4" s="1"/>
  <c r="F603" i="2"/>
  <c r="F90" i="3" s="1"/>
  <c r="E603" i="2"/>
  <c r="D603" i="2"/>
  <c r="C602" i="2"/>
  <c r="H602" i="2"/>
  <c r="E90" i="5" s="1"/>
  <c r="G602" i="2"/>
  <c r="E90" i="4" s="1"/>
  <c r="F602" i="2"/>
  <c r="E90" i="3" s="1"/>
  <c r="E602" i="2"/>
  <c r="A602" i="2"/>
  <c r="C601" i="2"/>
  <c r="H601" i="2"/>
  <c r="D90" i="5" s="1"/>
  <c r="G601" i="2"/>
  <c r="D90" i="4" s="1"/>
  <c r="F601" i="2"/>
  <c r="D90" i="3" s="1"/>
  <c r="A601" i="2"/>
  <c r="C600" i="2"/>
  <c r="H600" i="2"/>
  <c r="C90" i="5" s="1"/>
  <c r="G600" i="2"/>
  <c r="C90" i="4" s="1"/>
  <c r="A600" i="2"/>
  <c r="C599" i="2"/>
  <c r="A90" i="20" s="1"/>
  <c r="D599" i="2"/>
  <c r="A599" i="2"/>
  <c r="C598" i="2"/>
  <c r="E598" i="2"/>
  <c r="D598" i="2"/>
  <c r="A598" i="2"/>
  <c r="F597" i="2"/>
  <c r="G89" i="3" s="1"/>
  <c r="E597" i="2"/>
  <c r="D597" i="2"/>
  <c r="G596" i="2"/>
  <c r="F89" i="4" s="1"/>
  <c r="F596" i="2"/>
  <c r="F89" i="3" s="1"/>
  <c r="E596" i="2"/>
  <c r="D596" i="2"/>
  <c r="H595" i="2"/>
  <c r="E89" i="5" s="1"/>
  <c r="G595" i="2"/>
  <c r="E89" i="4" s="1"/>
  <c r="F595" i="2"/>
  <c r="E89" i="3" s="1"/>
  <c r="E595" i="2"/>
  <c r="D595" i="2"/>
  <c r="C594" i="2"/>
  <c r="H594" i="2"/>
  <c r="D89" i="5" s="1"/>
  <c r="G594" i="2"/>
  <c r="D89" i="4" s="1"/>
  <c r="F594" i="2"/>
  <c r="D89" i="3" s="1"/>
  <c r="E594" i="2"/>
  <c r="A594" i="2"/>
  <c r="C593" i="2"/>
  <c r="H593" i="2"/>
  <c r="C89" i="5" s="1"/>
  <c r="G593" i="2"/>
  <c r="C89" i="4" s="1"/>
  <c r="F593" i="2"/>
  <c r="C89" i="3" s="1"/>
  <c r="A593" i="2"/>
  <c r="C592" i="2"/>
  <c r="A89" i="20" s="1"/>
  <c r="H592" i="2"/>
  <c r="G592" i="2"/>
  <c r="B89" i="10" s="1"/>
  <c r="A592" i="2"/>
  <c r="D591" i="2"/>
  <c r="A591" i="2"/>
  <c r="E590" i="2"/>
  <c r="D590" i="2"/>
  <c r="A590" i="2"/>
  <c r="F589" i="2"/>
  <c r="F87" i="3" s="1"/>
  <c r="E589" i="2"/>
  <c r="D589" i="2"/>
  <c r="G588" i="2"/>
  <c r="E87" i="4" s="1"/>
  <c r="F588" i="2"/>
  <c r="E87" i="3" s="1"/>
  <c r="E588" i="2"/>
  <c r="D588" i="2"/>
  <c r="H587" i="2"/>
  <c r="D87" i="5" s="1"/>
  <c r="G587" i="2"/>
  <c r="D87" i="4" s="1"/>
  <c r="F587" i="2"/>
  <c r="D87" i="3" s="1"/>
  <c r="E587" i="2"/>
  <c r="C586" i="2"/>
  <c r="H586" i="2"/>
  <c r="C87" i="5" s="1"/>
  <c r="G586" i="2"/>
  <c r="C87" i="4" s="1"/>
  <c r="F586" i="2"/>
  <c r="C87" i="3" s="1"/>
  <c r="A586" i="2"/>
  <c r="C585" i="2"/>
  <c r="A87" i="20" s="1"/>
  <c r="H585" i="2"/>
  <c r="G585" i="2"/>
  <c r="B87" i="10" s="1"/>
  <c r="A585" i="2"/>
  <c r="C584" i="2"/>
  <c r="H584" i="2"/>
  <c r="H86" i="5" s="1"/>
  <c r="A584" i="2"/>
  <c r="C583" i="2"/>
  <c r="H583" i="2"/>
  <c r="G86" i="5" s="1"/>
  <c r="D583" i="2"/>
  <c r="A583" i="2"/>
  <c r="E582" i="2"/>
  <c r="D582" i="2"/>
  <c r="F581" i="2"/>
  <c r="E86" i="3" s="1"/>
  <c r="E581" i="2"/>
  <c r="D581" i="2"/>
  <c r="G580" i="2"/>
  <c r="D86" i="4" s="1"/>
  <c r="F580" i="2"/>
  <c r="D86" i="3" s="1"/>
  <c r="E580" i="2"/>
  <c r="D580" i="2"/>
  <c r="H579" i="2"/>
  <c r="C86" i="5" s="1"/>
  <c r="G579" i="2"/>
  <c r="C86" i="4" s="1"/>
  <c r="F579" i="2"/>
  <c r="C86" i="3" s="1"/>
  <c r="E579" i="2"/>
  <c r="C578" i="2"/>
  <c r="A86" i="20" s="1"/>
  <c r="H578" i="2"/>
  <c r="G578" i="2"/>
  <c r="B86" i="10" s="1"/>
  <c r="F578" i="2"/>
  <c r="B86" i="9" s="1"/>
  <c r="A578" i="2"/>
  <c r="C577" i="2"/>
  <c r="H577" i="2"/>
  <c r="H85" i="5" s="1"/>
  <c r="G577" i="2"/>
  <c r="H85" i="4" s="1"/>
  <c r="F577" i="2"/>
  <c r="H85" i="3" s="1"/>
  <c r="A577" i="2"/>
  <c r="C576" i="2"/>
  <c r="H576" i="2"/>
  <c r="G85" i="5" s="1"/>
  <c r="G576" i="2"/>
  <c r="G85" i="4" s="1"/>
  <c r="A576" i="2"/>
  <c r="C575" i="2"/>
  <c r="D575" i="2"/>
  <c r="A575" i="2"/>
  <c r="C574" i="2"/>
  <c r="E574" i="2"/>
  <c r="D574" i="2"/>
  <c r="A574" i="2"/>
  <c r="F573" i="2"/>
  <c r="D85" i="3" s="1"/>
  <c r="E573" i="2"/>
  <c r="D573" i="2"/>
  <c r="G572" i="2"/>
  <c r="C85" i="4" s="1"/>
  <c r="F572" i="2"/>
  <c r="C85" i="3" s="1"/>
  <c r="E572" i="2"/>
  <c r="D572" i="2"/>
  <c r="H571" i="2"/>
  <c r="G571" i="2"/>
  <c r="B85" i="10" s="1"/>
  <c r="F571" i="2"/>
  <c r="B85" i="9" s="1"/>
  <c r="E571" i="2"/>
  <c r="C570" i="2"/>
  <c r="H570" i="2"/>
  <c r="H84" i="5" s="1"/>
  <c r="G570" i="2"/>
  <c r="H84" i="4" s="1"/>
  <c r="F570" i="2"/>
  <c r="H84" i="3" s="1"/>
  <c r="A570" i="2"/>
  <c r="C569" i="2"/>
  <c r="H569" i="2"/>
  <c r="G84" i="5" s="1"/>
  <c r="G569" i="2"/>
  <c r="G84" i="4" s="1"/>
  <c r="A569" i="2"/>
  <c r="C568" i="2"/>
  <c r="H568" i="2"/>
  <c r="F84" i="5" s="1"/>
  <c r="G568" i="2"/>
  <c r="F84" i="4" s="1"/>
  <c r="A568" i="2"/>
  <c r="H567" i="2"/>
  <c r="E84" i="5" s="1"/>
  <c r="D567" i="2"/>
  <c r="A567" i="2"/>
  <c r="C566" i="2"/>
  <c r="E566" i="2"/>
  <c r="D566" i="2"/>
  <c r="A566" i="2"/>
  <c r="F565" i="2"/>
  <c r="C84" i="3" s="1"/>
  <c r="E565" i="2"/>
  <c r="D565" i="2"/>
  <c r="G564" i="2"/>
  <c r="B84" i="10" s="1"/>
  <c r="F564" i="2"/>
  <c r="B84" i="9" s="1"/>
  <c r="E564" i="2"/>
  <c r="D564" i="2"/>
  <c r="H563" i="2"/>
  <c r="H83" i="5" s="1"/>
  <c r="G563" i="2"/>
  <c r="H83" i="4" s="1"/>
  <c r="F563" i="2"/>
  <c r="H83" i="3" s="1"/>
  <c r="E563" i="2"/>
  <c r="C562" i="2"/>
  <c r="H562" i="2"/>
  <c r="G83" i="5" s="1"/>
  <c r="G562" i="2"/>
  <c r="G83" i="4" s="1"/>
  <c r="F562" i="2"/>
  <c r="G83" i="3" s="1"/>
  <c r="A562" i="2"/>
  <c r="C561" i="2"/>
  <c r="H561" i="2"/>
  <c r="F83" i="5" s="1"/>
  <c r="G561" i="2"/>
  <c r="F83" i="4" s="1"/>
  <c r="A561" i="2"/>
  <c r="C560" i="2"/>
  <c r="H560" i="2"/>
  <c r="E83" i="5" s="1"/>
  <c r="G560" i="2"/>
  <c r="E83" i="4" s="1"/>
  <c r="A560" i="2"/>
  <c r="C559" i="2"/>
  <c r="H559" i="2"/>
  <c r="D83" i="5" s="1"/>
  <c r="D559" i="2"/>
  <c r="A559" i="2"/>
  <c r="E558" i="2"/>
  <c r="D558" i="2"/>
  <c r="A558" i="2"/>
  <c r="F557" i="2"/>
  <c r="B83" i="9" s="1"/>
  <c r="E557" i="2"/>
  <c r="D557" i="2"/>
  <c r="G556" i="2"/>
  <c r="H82" i="4" s="1"/>
  <c r="F556" i="2"/>
  <c r="H82" i="3" s="1"/>
  <c r="E556" i="2"/>
  <c r="D556" i="2"/>
  <c r="H555" i="2"/>
  <c r="G82" i="5" s="1"/>
  <c r="G555" i="2"/>
  <c r="G82" i="4" s="1"/>
  <c r="F555" i="2"/>
  <c r="G82" i="3" s="1"/>
  <c r="E555" i="2"/>
  <c r="D555" i="2"/>
  <c r="C554" i="2"/>
  <c r="H554" i="2"/>
  <c r="F82" i="5" s="1"/>
  <c r="F554" i="2"/>
  <c r="F82" i="3" s="1"/>
  <c r="E554" i="2"/>
  <c r="A554" i="2"/>
  <c r="C553" i="2"/>
  <c r="H553" i="2"/>
  <c r="E82" i="5" s="1"/>
  <c r="A553" i="2"/>
  <c r="C552" i="2"/>
  <c r="H552" i="2"/>
  <c r="D82" i="5" s="1"/>
  <c r="A552" i="2"/>
  <c r="D551" i="2"/>
  <c r="A551" i="2"/>
  <c r="C550" i="2"/>
  <c r="A82" i="20" s="1"/>
  <c r="E550" i="2"/>
  <c r="D550" i="2"/>
  <c r="A550" i="2"/>
  <c r="A81" i="20" s="1"/>
  <c r="F549" i="2"/>
  <c r="E549" i="2"/>
  <c r="D549" i="2"/>
  <c r="G548" i="2"/>
  <c r="F548" i="2"/>
  <c r="E548" i="2"/>
  <c r="D548" i="2"/>
  <c r="H547" i="2"/>
  <c r="G547" i="2"/>
  <c r="F547" i="2"/>
  <c r="E547" i="2"/>
  <c r="D547" i="2"/>
  <c r="C546" i="2"/>
  <c r="H546" i="2"/>
  <c r="G546" i="2"/>
  <c r="F546" i="2"/>
  <c r="A546" i="2"/>
  <c r="C545" i="2"/>
  <c r="G545" i="2"/>
  <c r="A545" i="2"/>
  <c r="C544" i="2"/>
  <c r="H544" i="2"/>
  <c r="A544" i="2"/>
  <c r="C543" i="2"/>
  <c r="H543" i="2"/>
  <c r="D543" i="2"/>
  <c r="A543" i="2"/>
  <c r="E542" i="2"/>
  <c r="D542" i="2"/>
  <c r="A542" i="2"/>
  <c r="F541" i="2"/>
  <c r="E541" i="2"/>
  <c r="D541" i="2"/>
  <c r="G540" i="2"/>
  <c r="F540" i="2"/>
  <c r="E540" i="2"/>
  <c r="D540" i="2"/>
  <c r="H539" i="2"/>
  <c r="G539" i="2"/>
  <c r="F539" i="2"/>
  <c r="E539" i="2"/>
  <c r="C538" i="2"/>
  <c r="H538" i="2"/>
  <c r="G538" i="2"/>
  <c r="F538" i="2"/>
  <c r="A538" i="2"/>
  <c r="C537" i="2"/>
  <c r="H537" i="2"/>
  <c r="G537" i="2"/>
  <c r="F537" i="2"/>
  <c r="A537" i="2"/>
  <c r="C536" i="2"/>
  <c r="H536" i="2"/>
  <c r="G536" i="2"/>
  <c r="A536" i="2"/>
  <c r="C535" i="2"/>
  <c r="D535" i="2"/>
  <c r="A535" i="2"/>
  <c r="C534" i="2"/>
  <c r="E534" i="2"/>
  <c r="D534" i="2"/>
  <c r="F533" i="2"/>
  <c r="F80" i="3" s="1"/>
  <c r="E533" i="2"/>
  <c r="D533" i="2"/>
  <c r="G532" i="2"/>
  <c r="E80" i="4" s="1"/>
  <c r="F532" i="2"/>
  <c r="E80" i="3" s="1"/>
  <c r="E532" i="2"/>
  <c r="D532" i="2"/>
  <c r="H531" i="2"/>
  <c r="D80" i="5" s="1"/>
  <c r="G531" i="2"/>
  <c r="D80" i="4" s="1"/>
  <c r="F531" i="2"/>
  <c r="D80" i="3" s="1"/>
  <c r="E531" i="2"/>
  <c r="C530" i="2"/>
  <c r="H530" i="2"/>
  <c r="C80" i="5" s="1"/>
  <c r="G530" i="2"/>
  <c r="C80" i="4" s="1"/>
  <c r="F530" i="2"/>
  <c r="C80" i="3" s="1"/>
  <c r="E530" i="2"/>
  <c r="A530" i="2"/>
  <c r="C529" i="2"/>
  <c r="A80" i="20" s="1"/>
  <c r="H529" i="2"/>
  <c r="G529" i="2"/>
  <c r="B80" i="10" s="1"/>
  <c r="F529" i="2"/>
  <c r="B80" i="9" s="1"/>
  <c r="A529" i="2"/>
  <c r="C528" i="2"/>
  <c r="H528" i="2"/>
  <c r="H78" i="5" s="1"/>
  <c r="A528" i="2"/>
  <c r="C527" i="2"/>
  <c r="H527" i="2"/>
  <c r="G78" i="5" s="1"/>
  <c r="D527" i="2"/>
  <c r="A527" i="2"/>
  <c r="C526" i="2"/>
  <c r="E526" i="2"/>
  <c r="D526" i="2"/>
  <c r="F525" i="2"/>
  <c r="E78" i="3" s="1"/>
  <c r="E525" i="2"/>
  <c r="D525" i="2"/>
  <c r="G524" i="2"/>
  <c r="D78" i="4" s="1"/>
  <c r="F524" i="2"/>
  <c r="D78" i="3" s="1"/>
  <c r="E524" i="2"/>
  <c r="D524" i="2"/>
  <c r="H523" i="2"/>
  <c r="C78" i="5" s="1"/>
  <c r="G523" i="2"/>
  <c r="C78" i="4" s="1"/>
  <c r="F523" i="2"/>
  <c r="C78" i="3" s="1"/>
  <c r="E523" i="2"/>
  <c r="D523" i="2"/>
  <c r="C522" i="2"/>
  <c r="A78" i="20" s="1"/>
  <c r="H522" i="2"/>
  <c r="G522" i="2"/>
  <c r="B78" i="10" s="1"/>
  <c r="F522" i="2"/>
  <c r="B78" i="9" s="1"/>
  <c r="E522" i="2"/>
  <c r="A522" i="2"/>
  <c r="C521" i="2"/>
  <c r="H521" i="2"/>
  <c r="H77" i="5" s="1"/>
  <c r="G521" i="2"/>
  <c r="H77" i="4" s="1"/>
  <c r="A521" i="2"/>
  <c r="C520" i="2"/>
  <c r="H520" i="2"/>
  <c r="G77" i="5" s="1"/>
  <c r="G520" i="2"/>
  <c r="G77" i="4" s="1"/>
  <c r="A520" i="2"/>
  <c r="C519" i="2"/>
  <c r="H519" i="2"/>
  <c r="F77" i="5" s="1"/>
  <c r="D519" i="2"/>
  <c r="A519" i="2"/>
  <c r="C518" i="2"/>
  <c r="E518" i="2"/>
  <c r="D518" i="2"/>
  <c r="A518" i="2"/>
  <c r="F517" i="2"/>
  <c r="D77" i="3" s="1"/>
  <c r="E517" i="2"/>
  <c r="D517" i="2"/>
  <c r="G516" i="2"/>
  <c r="C77" i="4" s="1"/>
  <c r="F516" i="2"/>
  <c r="C77" i="3" s="1"/>
  <c r="E516" i="2"/>
  <c r="D516" i="2"/>
  <c r="H515" i="2"/>
  <c r="B77" i="5" s="1"/>
  <c r="G515" i="2"/>
  <c r="B77" i="4" s="1"/>
  <c r="F515" i="2"/>
  <c r="B77" i="3" s="1"/>
  <c r="E515" i="2"/>
  <c r="C514" i="2"/>
  <c r="H514" i="2"/>
  <c r="H76" i="5" s="1"/>
  <c r="G514" i="2"/>
  <c r="H76" i="4" s="1"/>
  <c r="F514" i="2"/>
  <c r="H76" i="3" s="1"/>
  <c r="A514" i="2"/>
  <c r="C513" i="2"/>
  <c r="H513" i="2"/>
  <c r="G76" i="5" s="1"/>
  <c r="G513" i="2"/>
  <c r="G76" i="4" s="1"/>
  <c r="A513" i="2"/>
  <c r="C512" i="2"/>
  <c r="G512" i="2"/>
  <c r="F76" i="4" s="1"/>
  <c r="A512" i="2"/>
  <c r="H511" i="2"/>
  <c r="E76" i="5" s="1"/>
  <c r="D511" i="2"/>
  <c r="C510" i="2"/>
  <c r="E510" i="2"/>
  <c r="D510" i="2"/>
  <c r="F509" i="2"/>
  <c r="C76" i="3" s="1"/>
  <c r="E509" i="2"/>
  <c r="D509" i="2"/>
  <c r="G508" i="2"/>
  <c r="B76" i="10" s="1"/>
  <c r="F508" i="2"/>
  <c r="B76" i="9" s="1"/>
  <c r="E508" i="2"/>
  <c r="D508" i="2"/>
  <c r="H507" i="2"/>
  <c r="H75" i="5" s="1"/>
  <c r="G507" i="2"/>
  <c r="H75" i="4" s="1"/>
  <c r="F507" i="2"/>
  <c r="H75" i="3" s="1"/>
  <c r="E507" i="2"/>
  <c r="C506" i="2"/>
  <c r="H506" i="2"/>
  <c r="G75" i="5" s="1"/>
  <c r="G506" i="2"/>
  <c r="G75" i="4" s="1"/>
  <c r="A506" i="2"/>
  <c r="C505" i="2"/>
  <c r="H505" i="2"/>
  <c r="F75" i="5" s="1"/>
  <c r="G505" i="2"/>
  <c r="F75" i="4" s="1"/>
  <c r="A505" i="2"/>
  <c r="C504" i="2"/>
  <c r="H504" i="2"/>
  <c r="E75" i="5" s="1"/>
  <c r="G504" i="2"/>
  <c r="E75" i="4" s="1"/>
  <c r="A504" i="2"/>
  <c r="C503" i="2"/>
  <c r="H503" i="2"/>
  <c r="D75" i="5" s="1"/>
  <c r="D503" i="2"/>
  <c r="A503" i="2"/>
  <c r="C502" i="2"/>
  <c r="E502" i="2"/>
  <c r="D502" i="2"/>
  <c r="A502" i="2"/>
  <c r="F501" i="2"/>
  <c r="B75" i="9" s="1"/>
  <c r="E501" i="2"/>
  <c r="D501" i="2"/>
  <c r="G500" i="2"/>
  <c r="H74" i="4" s="1"/>
  <c r="F500" i="2"/>
  <c r="H74" i="3" s="1"/>
  <c r="E500" i="2"/>
  <c r="D500" i="2"/>
  <c r="H499" i="2"/>
  <c r="G74" i="5" s="1"/>
  <c r="G499" i="2"/>
  <c r="G74" i="4" s="1"/>
  <c r="F499" i="2"/>
  <c r="G74" i="3" s="1"/>
  <c r="E499" i="2"/>
  <c r="D499" i="2"/>
  <c r="C498" i="2"/>
  <c r="H498" i="2"/>
  <c r="F74" i="5" s="1"/>
  <c r="G498" i="2"/>
  <c r="F74" i="4" s="1"/>
  <c r="F498" i="2"/>
  <c r="F74" i="3" s="1"/>
  <c r="A498" i="2"/>
  <c r="C497" i="2"/>
  <c r="H497" i="2"/>
  <c r="E74" i="5" s="1"/>
  <c r="G497" i="2"/>
  <c r="E74" i="4" s="1"/>
  <c r="F497" i="2"/>
  <c r="E74" i="3" s="1"/>
  <c r="A497" i="2"/>
  <c r="C496" i="2"/>
  <c r="H496" i="2"/>
  <c r="D74" i="5" s="1"/>
  <c r="G496" i="2"/>
  <c r="D74" i="4" s="1"/>
  <c r="A496" i="2"/>
  <c r="C495" i="2"/>
  <c r="H495" i="2"/>
  <c r="C74" i="5" s="1"/>
  <c r="D495" i="2"/>
  <c r="A495" i="2"/>
  <c r="E494" i="2"/>
  <c r="D494" i="2"/>
  <c r="A494" i="2"/>
  <c r="F493" i="2"/>
  <c r="H73" i="3" s="1"/>
  <c r="E493" i="2"/>
  <c r="D493" i="2"/>
  <c r="G492" i="2"/>
  <c r="G73" i="4" s="1"/>
  <c r="F492" i="2"/>
  <c r="G73" i="3" s="1"/>
  <c r="E492" i="2"/>
  <c r="D492" i="2"/>
  <c r="H491" i="2"/>
  <c r="F73" i="5" s="1"/>
  <c r="G491" i="2"/>
  <c r="F73" i="4" s="1"/>
  <c r="F491" i="2"/>
  <c r="F73" i="3" s="1"/>
  <c r="E491" i="2"/>
  <c r="D491" i="2"/>
  <c r="C490" i="2"/>
  <c r="H490" i="2"/>
  <c r="E73" i="5" s="1"/>
  <c r="G490" i="2"/>
  <c r="E73" i="4" s="1"/>
  <c r="A490" i="2"/>
  <c r="C489" i="2"/>
  <c r="H489" i="2"/>
  <c r="D73" i="5" s="1"/>
  <c r="G489" i="2"/>
  <c r="D73" i="4" s="1"/>
  <c r="F489" i="2"/>
  <c r="D73" i="3" s="1"/>
  <c r="A489" i="2"/>
  <c r="C488" i="2"/>
  <c r="H488" i="2"/>
  <c r="C73" i="5" s="1"/>
  <c r="G488" i="2"/>
  <c r="C73" i="4" s="1"/>
  <c r="A488" i="2"/>
  <c r="C487" i="2"/>
  <c r="A73" i="20" s="1"/>
  <c r="D487" i="2"/>
  <c r="A487" i="2"/>
  <c r="E486" i="2"/>
  <c r="D486" i="2"/>
  <c r="A486" i="2"/>
  <c r="F485" i="2"/>
  <c r="G72" i="3" s="1"/>
  <c r="E485" i="2"/>
  <c r="D485" i="2"/>
  <c r="G484" i="2"/>
  <c r="F72" i="4" s="1"/>
  <c r="F484" i="2"/>
  <c r="F72" i="3" s="1"/>
  <c r="E484" i="2"/>
  <c r="D484" i="2"/>
  <c r="H483" i="2"/>
  <c r="E72" i="5" s="1"/>
  <c r="G483" i="2"/>
  <c r="E72" i="4" s="1"/>
  <c r="F483" i="2"/>
  <c r="E72" i="3" s="1"/>
  <c r="E483" i="2"/>
  <c r="D483" i="2"/>
  <c r="C482" i="2"/>
  <c r="H482" i="2"/>
  <c r="D72" i="5" s="1"/>
  <c r="G482" i="2"/>
  <c r="D72" i="4" s="1"/>
  <c r="F482" i="2"/>
  <c r="D72" i="3" s="1"/>
  <c r="A482" i="2"/>
  <c r="C481" i="2"/>
  <c r="H481" i="2"/>
  <c r="C72" i="5" s="1"/>
  <c r="G481" i="2"/>
  <c r="C72" i="4" s="1"/>
  <c r="F481" i="2"/>
  <c r="C72" i="3" s="1"/>
  <c r="A481" i="2"/>
  <c r="C480" i="2"/>
  <c r="A72" i="20" s="1"/>
  <c r="H480" i="2"/>
  <c r="A480" i="2"/>
  <c r="C479" i="2"/>
  <c r="D479" i="2"/>
  <c r="A479" i="2"/>
  <c r="E478" i="2"/>
  <c r="D478" i="2"/>
  <c r="F477" i="2"/>
  <c r="F71" i="3" s="1"/>
  <c r="E477" i="2"/>
  <c r="D477" i="2"/>
  <c r="G476" i="2"/>
  <c r="E71" i="4" s="1"/>
  <c r="F476" i="2"/>
  <c r="E71" i="3" s="1"/>
  <c r="E476" i="2"/>
  <c r="D476" i="2"/>
  <c r="H475" i="2"/>
  <c r="D71" i="5" s="1"/>
  <c r="G475" i="2"/>
  <c r="D71" i="4" s="1"/>
  <c r="F475" i="2"/>
  <c r="D71" i="3" s="1"/>
  <c r="E475" i="2"/>
  <c r="D475" i="2"/>
  <c r="C474" i="2"/>
  <c r="H474" i="2"/>
  <c r="C71" i="5" s="1"/>
  <c r="G474" i="2"/>
  <c r="C71" i="4" s="1"/>
  <c r="F474" i="2"/>
  <c r="C71" i="3" s="1"/>
  <c r="E474" i="2"/>
  <c r="A474" i="2"/>
  <c r="C473" i="2"/>
  <c r="A71" i="20" s="1"/>
  <c r="H473" i="2"/>
  <c r="A473" i="2"/>
  <c r="A70" i="20" s="1"/>
  <c r="C472" i="2"/>
  <c r="H472" i="2"/>
  <c r="G472" i="2"/>
  <c r="A472" i="2"/>
  <c r="C471" i="2"/>
  <c r="H471" i="2"/>
  <c r="D471" i="2"/>
  <c r="A471" i="2"/>
  <c r="C470" i="2"/>
  <c r="E470" i="2"/>
  <c r="D470" i="2"/>
  <c r="A470" i="2"/>
  <c r="F469" i="2"/>
  <c r="E469" i="2"/>
  <c r="D469" i="2"/>
  <c r="G468" i="2"/>
  <c r="F468" i="2"/>
  <c r="E468" i="2"/>
  <c r="D468" i="2"/>
  <c r="H467" i="2"/>
  <c r="G467" i="2"/>
  <c r="F467" i="2"/>
  <c r="E467" i="2"/>
  <c r="C466" i="2"/>
  <c r="H466" i="2"/>
  <c r="G466" i="2"/>
  <c r="E466" i="2"/>
  <c r="A466" i="2"/>
  <c r="C465" i="2"/>
  <c r="H465" i="2"/>
  <c r="G465" i="2"/>
  <c r="F465" i="2"/>
  <c r="A465" i="2"/>
  <c r="C464" i="2"/>
  <c r="H464" i="2"/>
  <c r="G464" i="2"/>
  <c r="A464" i="2"/>
  <c r="C463" i="2"/>
  <c r="H463" i="2"/>
  <c r="D463" i="2"/>
  <c r="A463" i="2"/>
  <c r="C462" i="2"/>
  <c r="E462" i="2"/>
  <c r="D462" i="2"/>
  <c r="A462" i="2"/>
  <c r="F461" i="2"/>
  <c r="E461" i="2"/>
  <c r="D461" i="2"/>
  <c r="G460" i="2"/>
  <c r="F460" i="2"/>
  <c r="E460" i="2"/>
  <c r="D460" i="2"/>
  <c r="H459" i="2"/>
  <c r="G459" i="2"/>
  <c r="F459" i="2"/>
  <c r="E459" i="2"/>
  <c r="D459" i="2"/>
  <c r="C458" i="2"/>
  <c r="H458" i="2"/>
  <c r="H69" i="5" s="1"/>
  <c r="G458" i="2"/>
  <c r="H69" i="4" s="1"/>
  <c r="F458" i="2"/>
  <c r="H69" i="3" s="1"/>
  <c r="A458" i="2"/>
  <c r="C457" i="2"/>
  <c r="H457" i="2"/>
  <c r="G69" i="5" s="1"/>
  <c r="G457" i="2"/>
  <c r="G69" i="4" s="1"/>
  <c r="F457" i="2"/>
  <c r="G69" i="3" s="1"/>
  <c r="A457" i="2"/>
  <c r="C456" i="2"/>
  <c r="H456" i="2"/>
  <c r="F69" i="5" s="1"/>
  <c r="G456" i="2"/>
  <c r="F69" i="4" s="1"/>
  <c r="A456" i="2"/>
  <c r="C455" i="2"/>
  <c r="H455" i="2"/>
  <c r="E69" i="5" s="1"/>
  <c r="D455" i="2"/>
  <c r="A455" i="2"/>
  <c r="E454" i="2"/>
  <c r="D454" i="2"/>
  <c r="A454" i="2"/>
  <c r="F453" i="2"/>
  <c r="C69" i="3" s="1"/>
  <c r="E453" i="2"/>
  <c r="D453" i="2"/>
  <c r="G452" i="2"/>
  <c r="B69" i="10" s="1"/>
  <c r="F452" i="2"/>
  <c r="B69" i="9" s="1"/>
  <c r="E452" i="2"/>
  <c r="H451" i="2"/>
  <c r="H67" i="5" s="1"/>
  <c r="G451" i="2"/>
  <c r="H67" i="4" s="1"/>
  <c r="F451" i="2"/>
  <c r="H67" i="3" s="1"/>
  <c r="E451" i="2"/>
  <c r="D451" i="2"/>
  <c r="C450" i="2"/>
  <c r="H450" i="2"/>
  <c r="G67" i="5" s="1"/>
  <c r="G450" i="2"/>
  <c r="G67" i="4" s="1"/>
  <c r="F450" i="2"/>
  <c r="G67" i="3" s="1"/>
  <c r="A450" i="2"/>
  <c r="C449" i="2"/>
  <c r="H449" i="2"/>
  <c r="F67" i="5" s="1"/>
  <c r="G449" i="2"/>
  <c r="F67" i="4" s="1"/>
  <c r="F449" i="2"/>
  <c r="F67" i="3" s="1"/>
  <c r="A449" i="2"/>
  <c r="C448" i="2"/>
  <c r="H448" i="2"/>
  <c r="E67" i="5" s="1"/>
  <c r="G448" i="2"/>
  <c r="E67" i="4" s="1"/>
  <c r="A448" i="2"/>
  <c r="C447" i="2"/>
  <c r="H447" i="2"/>
  <c r="D67" i="5" s="1"/>
  <c r="D447" i="2"/>
  <c r="A447" i="2"/>
  <c r="E446" i="2"/>
  <c r="D446" i="2"/>
  <c r="F445" i="2"/>
  <c r="B67" i="9" s="1"/>
  <c r="E445" i="2"/>
  <c r="D445" i="2"/>
  <c r="G444" i="2"/>
  <c r="H65" i="4" s="1"/>
  <c r="F444" i="2"/>
  <c r="H65" i="3" s="1"/>
  <c r="E444" i="2"/>
  <c r="H443" i="2"/>
  <c r="G65" i="5" s="1"/>
  <c r="G443" i="2"/>
  <c r="G65" i="4" s="1"/>
  <c r="F443" i="2"/>
  <c r="G65" i="3" s="1"/>
  <c r="E443" i="2"/>
  <c r="D443" i="2"/>
  <c r="C442" i="2"/>
  <c r="H442" i="2"/>
  <c r="F65" i="5" s="1"/>
  <c r="G442" i="2"/>
  <c r="F65" i="4" s="1"/>
  <c r="F442" i="2"/>
  <c r="F65" i="3" s="1"/>
  <c r="E442" i="2"/>
  <c r="A442" i="2"/>
  <c r="C441" i="2"/>
  <c r="H441" i="2"/>
  <c r="E65" i="5" s="1"/>
  <c r="G441" i="2"/>
  <c r="E65" i="4" s="1"/>
  <c r="A441" i="2"/>
  <c r="C440" i="2"/>
  <c r="H440" i="2"/>
  <c r="D65" i="5" s="1"/>
  <c r="G440" i="2"/>
  <c r="D65" i="4" s="1"/>
  <c r="A440" i="2"/>
  <c r="C439" i="2"/>
  <c r="H439" i="2"/>
  <c r="C65" i="5" s="1"/>
  <c r="D439" i="2"/>
  <c r="A439" i="2"/>
  <c r="E438" i="2"/>
  <c r="D438" i="2"/>
  <c r="A438" i="2"/>
  <c r="F437" i="2"/>
  <c r="H64" i="3" s="1"/>
  <c r="E437" i="2"/>
  <c r="D437" i="2"/>
  <c r="G436" i="2"/>
  <c r="G64" i="4" s="1"/>
  <c r="F436" i="2"/>
  <c r="G64" i="3" s="1"/>
  <c r="E436" i="2"/>
  <c r="D436" i="2"/>
  <c r="H435" i="2"/>
  <c r="F64" i="5" s="1"/>
  <c r="G435" i="2"/>
  <c r="F64" i="4" s="1"/>
  <c r="F435" i="2"/>
  <c r="F64" i="3" s="1"/>
  <c r="E435" i="2"/>
  <c r="D435" i="2"/>
  <c r="C434" i="2"/>
  <c r="H434" i="2"/>
  <c r="E64" i="5" s="1"/>
  <c r="G434" i="2"/>
  <c r="E64" i="4" s="1"/>
  <c r="F434" i="2"/>
  <c r="E64" i="3" s="1"/>
  <c r="E434" i="2"/>
  <c r="A434" i="2"/>
  <c r="C433" i="2"/>
  <c r="H433" i="2"/>
  <c r="D64" i="5" s="1"/>
  <c r="G433" i="2"/>
  <c r="D64" i="4" s="1"/>
  <c r="F433" i="2"/>
  <c r="D64" i="3" s="1"/>
  <c r="A433" i="2"/>
  <c r="C432" i="2"/>
  <c r="H432" i="2"/>
  <c r="C64" i="5" s="1"/>
  <c r="G432" i="2"/>
  <c r="C64" i="4" s="1"/>
  <c r="A432" i="2"/>
  <c r="C431" i="2"/>
  <c r="A64" i="20" s="1"/>
  <c r="H431" i="2"/>
  <c r="D431" i="2"/>
  <c r="A431" i="2"/>
  <c r="E430" i="2"/>
  <c r="D430" i="2"/>
  <c r="A430" i="2"/>
  <c r="F429" i="2"/>
  <c r="G63" i="3" s="1"/>
  <c r="E429" i="2"/>
  <c r="D429" i="2"/>
  <c r="G428" i="2"/>
  <c r="F63" i="4" s="1"/>
  <c r="F428" i="2"/>
  <c r="F63" i="3" s="1"/>
  <c r="E428" i="2"/>
  <c r="D428" i="2"/>
  <c r="H427" i="2"/>
  <c r="E63" i="5" s="1"/>
  <c r="G427" i="2"/>
  <c r="E63" i="4" s="1"/>
  <c r="F427" i="2"/>
  <c r="E63" i="3" s="1"/>
  <c r="E427" i="2"/>
  <c r="C426" i="2"/>
  <c r="H426" i="2"/>
  <c r="D63" i="5" s="1"/>
  <c r="G426" i="2"/>
  <c r="D63" i="4" s="1"/>
  <c r="F426" i="2"/>
  <c r="D63" i="3" s="1"/>
  <c r="E426" i="2"/>
  <c r="A426" i="2"/>
  <c r="C425" i="2"/>
  <c r="H425" i="2"/>
  <c r="C63" i="5" s="1"/>
  <c r="G425" i="2"/>
  <c r="C63" i="4" s="1"/>
  <c r="A425" i="2"/>
  <c r="C424" i="2"/>
  <c r="A63" i="20" s="1"/>
  <c r="H424" i="2"/>
  <c r="G424" i="2"/>
  <c r="B63" i="10" s="1"/>
  <c r="A424" i="2"/>
  <c r="C423" i="2"/>
  <c r="H423" i="2"/>
  <c r="H62" i="5" s="1"/>
  <c r="D423" i="2"/>
  <c r="A423" i="2"/>
  <c r="E422" i="2"/>
  <c r="D422" i="2"/>
  <c r="A422" i="2"/>
  <c r="F421" i="2"/>
  <c r="F62" i="3" s="1"/>
  <c r="E421" i="2"/>
  <c r="D421" i="2"/>
  <c r="G420" i="2"/>
  <c r="E62" i="4" s="1"/>
  <c r="F420" i="2"/>
  <c r="E62" i="3" s="1"/>
  <c r="E420" i="2"/>
  <c r="D420" i="2"/>
  <c r="H419" i="2"/>
  <c r="D62" i="5" s="1"/>
  <c r="G419" i="2"/>
  <c r="D62" i="4" s="1"/>
  <c r="F419" i="2"/>
  <c r="D62" i="3" s="1"/>
  <c r="E419" i="2"/>
  <c r="D419" i="2"/>
  <c r="C418" i="2"/>
  <c r="H418" i="2"/>
  <c r="C62" i="5" s="1"/>
  <c r="G418" i="2"/>
  <c r="C62" i="4" s="1"/>
  <c r="F418" i="2"/>
  <c r="C62" i="3" s="1"/>
  <c r="E418" i="2"/>
  <c r="A418" i="2"/>
  <c r="C417" i="2"/>
  <c r="A62" i="20" s="1"/>
  <c r="H417" i="2"/>
  <c r="G417" i="2"/>
  <c r="B62" i="10" s="1"/>
  <c r="A417" i="2"/>
  <c r="C416" i="2"/>
  <c r="H416" i="2"/>
  <c r="H61" i="5" s="1"/>
  <c r="G416" i="2"/>
  <c r="H61" i="4" s="1"/>
  <c r="A416" i="2"/>
  <c r="C415" i="2"/>
  <c r="H415" i="2"/>
  <c r="G61" i="5" s="1"/>
  <c r="D415" i="2"/>
  <c r="A415" i="2"/>
  <c r="C414" i="2"/>
  <c r="E414" i="2"/>
  <c r="D414" i="2"/>
  <c r="A414" i="2"/>
  <c r="F413" i="2"/>
  <c r="E61" i="3" s="1"/>
  <c r="E413" i="2"/>
  <c r="D413" i="2"/>
  <c r="G412" i="2"/>
  <c r="D61" i="4" s="1"/>
  <c r="F412" i="2"/>
  <c r="D61" i="3" s="1"/>
  <c r="E412" i="2"/>
  <c r="D412" i="2"/>
  <c r="H411" i="2"/>
  <c r="C61" i="5" s="1"/>
  <c r="G411" i="2"/>
  <c r="C61" i="4" s="1"/>
  <c r="F411" i="2"/>
  <c r="C61" i="3" s="1"/>
  <c r="E411" i="2"/>
  <c r="D411" i="2"/>
  <c r="C410" i="2"/>
  <c r="A61" i="20" s="1"/>
  <c r="H410" i="2"/>
  <c r="G410" i="2"/>
  <c r="B61" i="10" s="1"/>
  <c r="F410" i="2"/>
  <c r="B61" i="9" s="1"/>
  <c r="E410" i="2"/>
  <c r="A410" i="2"/>
  <c r="C409" i="2"/>
  <c r="H409" i="2"/>
  <c r="H60" i="5" s="1"/>
  <c r="G409" i="2"/>
  <c r="H60" i="4" s="1"/>
  <c r="F409" i="2"/>
  <c r="H60" i="3" s="1"/>
  <c r="A409" i="2"/>
  <c r="C408" i="2"/>
  <c r="H408" i="2"/>
  <c r="G60" i="5" s="1"/>
  <c r="G408" i="2"/>
  <c r="G60" i="4" s="1"/>
  <c r="A408" i="2"/>
  <c r="C407" i="2"/>
  <c r="D407" i="2"/>
  <c r="A407" i="2"/>
  <c r="C406" i="2"/>
  <c r="E406" i="2"/>
  <c r="D406" i="2"/>
  <c r="A406" i="2"/>
  <c r="F405" i="2"/>
  <c r="D60" i="3" s="1"/>
  <c r="E405" i="2"/>
  <c r="D405" i="2"/>
  <c r="G404" i="2"/>
  <c r="C60" i="4" s="1"/>
  <c r="F404" i="2"/>
  <c r="C60" i="3" s="1"/>
  <c r="E404" i="2"/>
  <c r="D404" i="2"/>
  <c r="H403" i="2"/>
  <c r="G403" i="2"/>
  <c r="B60" i="10" s="1"/>
  <c r="F403" i="2"/>
  <c r="B60" i="9" s="1"/>
  <c r="E403" i="2"/>
  <c r="D403" i="2"/>
  <c r="C402" i="2"/>
  <c r="H402" i="2"/>
  <c r="G402" i="2"/>
  <c r="F402" i="2"/>
  <c r="A402" i="2"/>
  <c r="C401" i="2"/>
  <c r="H401" i="2"/>
  <c r="G401" i="2"/>
  <c r="A401" i="2"/>
  <c r="C400" i="2"/>
  <c r="H400" i="2"/>
  <c r="G400" i="2"/>
  <c r="A400" i="2"/>
  <c r="C399" i="2"/>
  <c r="D399" i="2"/>
  <c r="A399" i="2"/>
  <c r="C398" i="2"/>
  <c r="E398" i="2"/>
  <c r="D398" i="2"/>
  <c r="F397" i="2"/>
  <c r="E397" i="2"/>
  <c r="D397" i="2"/>
  <c r="G396" i="2"/>
  <c r="F396" i="2"/>
  <c r="E396" i="2"/>
  <c r="D396" i="2"/>
  <c r="H395" i="2"/>
  <c r="G395" i="2"/>
  <c r="F395" i="2"/>
  <c r="E395" i="2"/>
  <c r="D395" i="2"/>
  <c r="C394" i="2"/>
  <c r="H394" i="2"/>
  <c r="G394" i="2"/>
  <c r="F394" i="2"/>
  <c r="A394" i="2"/>
  <c r="C393" i="2"/>
  <c r="H393" i="2"/>
  <c r="G393" i="2"/>
  <c r="F393" i="2"/>
  <c r="A393" i="2"/>
  <c r="C392" i="2"/>
  <c r="H392" i="2"/>
  <c r="G392" i="2"/>
  <c r="A392" i="2"/>
  <c r="C391" i="2"/>
  <c r="D391" i="2"/>
  <c r="A391" i="2"/>
  <c r="E390" i="2"/>
  <c r="D390" i="2"/>
  <c r="F389" i="2"/>
  <c r="E389" i="2"/>
  <c r="D389" i="2"/>
  <c r="F388" i="2"/>
  <c r="H58" i="3" s="1"/>
  <c r="E388" i="2"/>
  <c r="D388" i="2"/>
  <c r="H387" i="2"/>
  <c r="G58" i="5" s="1"/>
  <c r="G387" i="2"/>
  <c r="G58" i="4" s="1"/>
  <c r="F387" i="2"/>
  <c r="G58" i="3" s="1"/>
  <c r="E387" i="2"/>
  <c r="C386" i="2"/>
  <c r="H386" i="2"/>
  <c r="F58" i="5" s="1"/>
  <c r="G386" i="2"/>
  <c r="F58" i="4" s="1"/>
  <c r="F386" i="2"/>
  <c r="F58" i="3" s="1"/>
  <c r="E386" i="2"/>
  <c r="A386" i="2"/>
  <c r="C385" i="2"/>
  <c r="H385" i="2"/>
  <c r="E58" i="5" s="1"/>
  <c r="A385" i="2"/>
  <c r="C384" i="2"/>
  <c r="H384" i="2"/>
  <c r="D58" i="5" s="1"/>
  <c r="G384" i="2"/>
  <c r="D58" i="4" s="1"/>
  <c r="A384" i="2"/>
  <c r="C383" i="2"/>
  <c r="H383" i="2"/>
  <c r="C58" i="5" s="1"/>
  <c r="D383" i="2"/>
  <c r="A383" i="2"/>
  <c r="C382" i="2"/>
  <c r="A58" i="20" s="1"/>
  <c r="E382" i="2"/>
  <c r="D382" i="2"/>
  <c r="A382" i="2"/>
  <c r="F381" i="2"/>
  <c r="H57" i="3" s="1"/>
  <c r="E381" i="2"/>
  <c r="D381" i="2"/>
  <c r="G380" i="2"/>
  <c r="G57" i="4" s="1"/>
  <c r="F380" i="2"/>
  <c r="G57" i="3" s="1"/>
  <c r="E380" i="2"/>
  <c r="D380" i="2"/>
  <c r="H379" i="2"/>
  <c r="F57" i="5" s="1"/>
  <c r="G379" i="2"/>
  <c r="F57" i="4" s="1"/>
  <c r="F379" i="2"/>
  <c r="F57" i="3" s="1"/>
  <c r="E379" i="2"/>
  <c r="D379" i="2"/>
  <c r="C378" i="2"/>
  <c r="H378" i="2"/>
  <c r="E57" i="5" s="1"/>
  <c r="G378" i="2"/>
  <c r="E57" i="4" s="1"/>
  <c r="F378" i="2"/>
  <c r="E57" i="3" s="1"/>
  <c r="E378" i="2"/>
  <c r="A378" i="2"/>
  <c r="C377" i="2"/>
  <c r="H377" i="2"/>
  <c r="D57" i="5" s="1"/>
  <c r="G377" i="2"/>
  <c r="D57" i="4" s="1"/>
  <c r="A377" i="2"/>
  <c r="C376" i="2"/>
  <c r="H376" i="2"/>
  <c r="C57" i="5" s="1"/>
  <c r="G376" i="2"/>
  <c r="C57" i="4" s="1"/>
  <c r="A376" i="2"/>
  <c r="C375" i="2"/>
  <c r="A57" i="20" s="1"/>
  <c r="H375" i="2"/>
  <c r="D375" i="2"/>
  <c r="A375" i="2"/>
  <c r="C374" i="2"/>
  <c r="E374" i="2"/>
  <c r="D374" i="2"/>
  <c r="A374" i="2"/>
  <c r="F373" i="2"/>
  <c r="G56" i="3" s="1"/>
  <c r="E373" i="2"/>
  <c r="D373" i="2"/>
  <c r="G372" i="2"/>
  <c r="F56" i="4" s="1"/>
  <c r="F372" i="2"/>
  <c r="F56" i="3" s="1"/>
  <c r="E372" i="2"/>
  <c r="D372" i="2"/>
  <c r="H371" i="2"/>
  <c r="E56" i="5" s="1"/>
  <c r="G371" i="2"/>
  <c r="E56" i="4" s="1"/>
  <c r="F371" i="2"/>
  <c r="E56" i="3" s="1"/>
  <c r="E371" i="2"/>
  <c r="D371" i="2"/>
  <c r="C370" i="2"/>
  <c r="H370" i="2"/>
  <c r="D56" i="5" s="1"/>
  <c r="A370" i="2"/>
  <c r="C369" i="2"/>
  <c r="H369" i="2"/>
  <c r="C56" i="5" s="1"/>
  <c r="G369" i="2"/>
  <c r="C56" i="4" s="1"/>
  <c r="F369" i="2"/>
  <c r="C56" i="3" s="1"/>
  <c r="A369" i="2"/>
  <c r="C368" i="2"/>
  <c r="A56" i="20" s="1"/>
  <c r="H368" i="2"/>
  <c r="G368" i="2"/>
  <c r="B56" i="10" s="1"/>
  <c r="A368" i="2"/>
  <c r="C367" i="2"/>
  <c r="H367" i="2"/>
  <c r="H55" i="5" s="1"/>
  <c r="D367" i="2"/>
  <c r="A367" i="2"/>
  <c r="C366" i="2"/>
  <c r="E366" i="2"/>
  <c r="D366" i="2"/>
  <c r="F365" i="2"/>
  <c r="F55" i="3" s="1"/>
  <c r="E365" i="2"/>
  <c r="D365" i="2"/>
  <c r="G364" i="2"/>
  <c r="E55" i="4" s="1"/>
  <c r="F364" i="2"/>
  <c r="E55" i="3" s="1"/>
  <c r="E364" i="2"/>
  <c r="D364" i="2"/>
  <c r="H363" i="2"/>
  <c r="D55" i="5" s="1"/>
  <c r="G363" i="2"/>
  <c r="D55" i="4" s="1"/>
  <c r="F363" i="2"/>
  <c r="D55" i="3" s="1"/>
  <c r="D363" i="2"/>
  <c r="C362" i="2"/>
  <c r="H362" i="2"/>
  <c r="C55" i="5" s="1"/>
  <c r="G362" i="2"/>
  <c r="C55" i="4" s="1"/>
  <c r="F362" i="2"/>
  <c r="C55" i="3" s="1"/>
  <c r="E362" i="2"/>
  <c r="A362" i="2"/>
  <c r="C361" i="2"/>
  <c r="A55" i="20" s="1"/>
  <c r="H361" i="2"/>
  <c r="B55" i="5" s="1"/>
  <c r="G361" i="2"/>
  <c r="B55" i="4" s="1"/>
  <c r="A361" i="2"/>
  <c r="C360" i="2"/>
  <c r="H360" i="2"/>
  <c r="H54" i="5" s="1"/>
  <c r="A360" i="2"/>
  <c r="C359" i="2"/>
  <c r="H359" i="2"/>
  <c r="G54" i="5" s="1"/>
  <c r="D359" i="2"/>
  <c r="C358" i="2"/>
  <c r="E358" i="2"/>
  <c r="D358" i="2"/>
  <c r="F357" i="2"/>
  <c r="E54" i="3" s="1"/>
  <c r="E357" i="2"/>
  <c r="D357" i="2"/>
  <c r="G356" i="2"/>
  <c r="D54" i="4" s="1"/>
  <c r="F356" i="2"/>
  <c r="D54" i="3" s="1"/>
  <c r="E356" i="2"/>
  <c r="D356" i="2"/>
  <c r="H355" i="2"/>
  <c r="C54" i="5" s="1"/>
  <c r="G355" i="2"/>
  <c r="C54" i="4" s="1"/>
  <c r="F355" i="2"/>
  <c r="C54" i="3" s="1"/>
  <c r="E355" i="2"/>
  <c r="D355" i="2"/>
  <c r="C354" i="2"/>
  <c r="A54" i="20" s="1"/>
  <c r="H354" i="2"/>
  <c r="G354" i="2"/>
  <c r="B54" i="10" s="1"/>
  <c r="F354" i="2"/>
  <c r="B54" i="9" s="1"/>
  <c r="E354" i="2"/>
  <c r="A354" i="2"/>
  <c r="C353" i="2"/>
  <c r="H353" i="2"/>
  <c r="H53" i="5" s="1"/>
  <c r="G353" i="2"/>
  <c r="H53" i="4" s="1"/>
  <c r="F353" i="2"/>
  <c r="H53" i="3" s="1"/>
  <c r="A353" i="2"/>
  <c r="C352" i="2"/>
  <c r="H352" i="2"/>
  <c r="G53" i="5" s="1"/>
  <c r="A352" i="2"/>
  <c r="C351" i="2"/>
  <c r="H351" i="2"/>
  <c r="F53" i="5" s="1"/>
  <c r="D351" i="2"/>
  <c r="A351" i="2"/>
  <c r="E350" i="2"/>
  <c r="D350" i="2"/>
  <c r="A350" i="2"/>
  <c r="F349" i="2"/>
  <c r="D53" i="3" s="1"/>
  <c r="E349" i="2"/>
  <c r="D349" i="2"/>
  <c r="G348" i="2"/>
  <c r="C53" i="4" s="1"/>
  <c r="F348" i="2"/>
  <c r="C53" i="3" s="1"/>
  <c r="E348" i="2"/>
  <c r="D348" i="2"/>
  <c r="H347" i="2"/>
  <c r="G347" i="2"/>
  <c r="B53" i="10" s="1"/>
  <c r="F347" i="2"/>
  <c r="B53" i="9" s="1"/>
  <c r="E347" i="2"/>
  <c r="D347" i="2"/>
  <c r="C346" i="2"/>
  <c r="H346" i="2"/>
  <c r="H52" i="5" s="1"/>
  <c r="G346" i="2"/>
  <c r="H52" i="4" s="1"/>
  <c r="F346" i="2"/>
  <c r="H52" i="3" s="1"/>
  <c r="E346" i="2"/>
  <c r="A346" i="2"/>
  <c r="C345" i="2"/>
  <c r="H345" i="2"/>
  <c r="G52" i="5" s="1"/>
  <c r="A345" i="2"/>
  <c r="C344" i="2"/>
  <c r="H344" i="2"/>
  <c r="F52" i="5" s="1"/>
  <c r="G344" i="2"/>
  <c r="F52" i="4" s="1"/>
  <c r="A344" i="2"/>
  <c r="C343" i="2"/>
  <c r="H343" i="2"/>
  <c r="E52" i="5" s="1"/>
  <c r="D343" i="2"/>
  <c r="A343" i="2"/>
  <c r="C342" i="2"/>
  <c r="E342" i="2"/>
  <c r="D342" i="2"/>
  <c r="F341" i="2"/>
  <c r="C52" i="3" s="1"/>
  <c r="E341" i="2"/>
  <c r="D341" i="2"/>
  <c r="G340" i="2"/>
  <c r="B52" i="10" s="1"/>
  <c r="F340" i="2"/>
  <c r="B52" i="9" s="1"/>
  <c r="E340" i="2"/>
  <c r="D340" i="2"/>
  <c r="H339" i="2"/>
  <c r="H51" i="5" s="1"/>
  <c r="G339" i="2"/>
  <c r="H51" i="4" s="1"/>
  <c r="F339" i="2"/>
  <c r="H51" i="3" s="1"/>
  <c r="E339" i="2"/>
  <c r="D339" i="2"/>
  <c r="C338" i="2"/>
  <c r="H338" i="2"/>
  <c r="G51" i="5" s="1"/>
  <c r="G338" i="2"/>
  <c r="G51" i="4" s="1"/>
  <c r="F338" i="2"/>
  <c r="G51" i="3" s="1"/>
  <c r="A338" i="2"/>
  <c r="C337" i="2"/>
  <c r="H337" i="2"/>
  <c r="F51" i="5" s="1"/>
  <c r="G337" i="2"/>
  <c r="F51" i="4" s="1"/>
  <c r="F337" i="2"/>
  <c r="F51" i="3" s="1"/>
  <c r="A337" i="2"/>
  <c r="C336" i="2"/>
  <c r="H336" i="2"/>
  <c r="E51" i="5" s="1"/>
  <c r="G336" i="2"/>
  <c r="E51" i="4" s="1"/>
  <c r="A336" i="2"/>
  <c r="C335" i="2"/>
  <c r="H335" i="2"/>
  <c r="D51" i="5" s="1"/>
  <c r="D335" i="2"/>
  <c r="A335" i="2"/>
  <c r="C334" i="2"/>
  <c r="E334" i="2"/>
  <c r="D334" i="2"/>
  <c r="A334" i="2"/>
  <c r="F333" i="2"/>
  <c r="B51" i="9" s="1"/>
  <c r="E333" i="2"/>
  <c r="D333" i="2"/>
  <c r="G332" i="2"/>
  <c r="H50" i="4" s="1"/>
  <c r="F332" i="2"/>
  <c r="H50" i="3" s="1"/>
  <c r="E332" i="2"/>
  <c r="D332" i="2"/>
  <c r="H331" i="2"/>
  <c r="G50" i="5" s="1"/>
  <c r="G331" i="2"/>
  <c r="G50" i="4" s="1"/>
  <c r="F331" i="2"/>
  <c r="G50" i="3" s="1"/>
  <c r="E331" i="2"/>
  <c r="C330" i="2"/>
  <c r="H330" i="2"/>
  <c r="F50" i="5" s="1"/>
  <c r="G330" i="2"/>
  <c r="F50" i="4" s="1"/>
  <c r="F330" i="2"/>
  <c r="F50" i="3" s="1"/>
  <c r="A330" i="2"/>
  <c r="C329" i="2"/>
  <c r="H329" i="2"/>
  <c r="E50" i="5" s="1"/>
  <c r="G329" i="2"/>
  <c r="E50" i="4" s="1"/>
  <c r="F329" i="2"/>
  <c r="E50" i="3" s="1"/>
  <c r="A329" i="2"/>
  <c r="C328" i="2"/>
  <c r="H328" i="2"/>
  <c r="D50" i="5" s="1"/>
  <c r="G328" i="2"/>
  <c r="D50" i="4" s="1"/>
  <c r="A328" i="2"/>
  <c r="C327" i="2"/>
  <c r="H327" i="2"/>
  <c r="C50" i="5" s="1"/>
  <c r="D327" i="2"/>
  <c r="A327" i="2"/>
  <c r="C326" i="2"/>
  <c r="A50" i="20" s="1"/>
  <c r="E326" i="2"/>
  <c r="D326" i="2"/>
  <c r="A326" i="2"/>
  <c r="F325" i="2"/>
  <c r="H49" i="3" s="1"/>
  <c r="E325" i="2"/>
  <c r="D325" i="2"/>
  <c r="G324" i="2"/>
  <c r="G49" i="4" s="1"/>
  <c r="F324" i="2"/>
  <c r="G49" i="3" s="1"/>
  <c r="E324" i="2"/>
  <c r="D324" i="2"/>
  <c r="H323" i="2"/>
  <c r="F49" i="5" s="1"/>
  <c r="G323" i="2"/>
  <c r="F49" i="4" s="1"/>
  <c r="F323" i="2"/>
  <c r="F49" i="3" s="1"/>
  <c r="E323" i="2"/>
  <c r="D323" i="2"/>
  <c r="C322" i="2"/>
  <c r="H322" i="2"/>
  <c r="E49" i="5" s="1"/>
  <c r="G322" i="2"/>
  <c r="E49" i="4" s="1"/>
  <c r="F322" i="2"/>
  <c r="E49" i="3" s="1"/>
  <c r="A322" i="2"/>
  <c r="C321" i="2"/>
  <c r="H321" i="2"/>
  <c r="D49" i="5" s="1"/>
  <c r="G321" i="2"/>
  <c r="D49" i="4" s="1"/>
  <c r="F321" i="2"/>
  <c r="D49" i="3" s="1"/>
  <c r="A321" i="2"/>
  <c r="C320" i="2"/>
  <c r="H320" i="2"/>
  <c r="C49" i="5" s="1"/>
  <c r="A320" i="2"/>
  <c r="C319" i="2"/>
  <c r="A49" i="20" s="1"/>
  <c r="H319" i="2"/>
  <c r="D319" i="2"/>
  <c r="E318" i="2"/>
  <c r="D318" i="2"/>
  <c r="A318" i="2"/>
  <c r="F317" i="2"/>
  <c r="E317" i="2"/>
  <c r="D317" i="2"/>
  <c r="G316" i="2"/>
  <c r="F316" i="2"/>
  <c r="E316" i="2"/>
  <c r="H315" i="2"/>
  <c r="G315" i="2"/>
  <c r="F315" i="2"/>
  <c r="E315" i="2"/>
  <c r="D315" i="2"/>
  <c r="C314" i="2"/>
  <c r="H314" i="2"/>
  <c r="G314" i="2"/>
  <c r="F314" i="2"/>
  <c r="A314" i="2"/>
  <c r="C313" i="2"/>
  <c r="H313" i="2"/>
  <c r="G313" i="2"/>
  <c r="F313" i="2"/>
  <c r="A313" i="2"/>
  <c r="C312" i="2"/>
  <c r="H312" i="2"/>
  <c r="G312" i="2"/>
  <c r="A312" i="2"/>
  <c r="C311" i="2"/>
  <c r="H311" i="2"/>
  <c r="D311" i="2"/>
  <c r="A311" i="2"/>
  <c r="C310" i="2"/>
  <c r="E310" i="2"/>
  <c r="D310" i="2"/>
  <c r="A310" i="2"/>
  <c r="F309" i="2"/>
  <c r="E309" i="2"/>
  <c r="D309" i="2"/>
  <c r="G308" i="2"/>
  <c r="F308" i="2"/>
  <c r="E308" i="2"/>
  <c r="D308" i="2"/>
  <c r="H307" i="2"/>
  <c r="G307" i="2"/>
  <c r="F307" i="2"/>
  <c r="C306" i="2"/>
  <c r="H306" i="2"/>
  <c r="G306" i="2"/>
  <c r="F306" i="2"/>
  <c r="E306" i="2"/>
  <c r="A306" i="2"/>
  <c r="C305" i="2"/>
  <c r="H305" i="2"/>
  <c r="A305" i="2"/>
  <c r="C304" i="2"/>
  <c r="H304" i="2"/>
  <c r="H47" i="5" s="1"/>
  <c r="A304" i="2"/>
  <c r="C303" i="2"/>
  <c r="D303" i="2"/>
  <c r="A303" i="2"/>
  <c r="C302" i="2"/>
  <c r="E302" i="2"/>
  <c r="D302" i="2"/>
  <c r="F301" i="2"/>
  <c r="E47" i="3" s="1"/>
  <c r="E301" i="2"/>
  <c r="D301" i="2"/>
  <c r="G300" i="2"/>
  <c r="D47" i="4" s="1"/>
  <c r="F300" i="2"/>
  <c r="D47" i="3" s="1"/>
  <c r="E300" i="2"/>
  <c r="D300" i="2"/>
  <c r="H299" i="2"/>
  <c r="C47" i="5" s="1"/>
  <c r="G299" i="2"/>
  <c r="C47" i="4" s="1"/>
  <c r="F299" i="2"/>
  <c r="C47" i="3" s="1"/>
  <c r="E299" i="2"/>
  <c r="D299" i="2"/>
  <c r="C298" i="2"/>
  <c r="A47" i="20" s="1"/>
  <c r="H298" i="2"/>
  <c r="G298" i="2"/>
  <c r="B47" i="10" s="1"/>
  <c r="F298" i="2"/>
  <c r="B47" i="9" s="1"/>
  <c r="E298" i="2"/>
  <c r="A298" i="2"/>
  <c r="C297" i="2"/>
  <c r="H297" i="2"/>
  <c r="H45" i="5" s="1"/>
  <c r="G297" i="2"/>
  <c r="H45" i="4" s="1"/>
  <c r="F297" i="2"/>
  <c r="H45" i="3" s="1"/>
  <c r="A297" i="2"/>
  <c r="C296" i="2"/>
  <c r="H296" i="2"/>
  <c r="G45" i="5" s="1"/>
  <c r="G296" i="2"/>
  <c r="G45" i="4" s="1"/>
  <c r="A296" i="2"/>
  <c r="C295" i="2"/>
  <c r="H295" i="2"/>
  <c r="F45" i="5" s="1"/>
  <c r="D295" i="2"/>
  <c r="A295" i="2"/>
  <c r="E294" i="2"/>
  <c r="D294" i="2"/>
  <c r="A294" i="2"/>
  <c r="F293" i="2"/>
  <c r="D45" i="3" s="1"/>
  <c r="E293" i="2"/>
  <c r="D293" i="2"/>
  <c r="G292" i="2"/>
  <c r="C45" i="4" s="1"/>
  <c r="F292" i="2"/>
  <c r="C45" i="3" s="1"/>
  <c r="E292" i="2"/>
  <c r="D292" i="2"/>
  <c r="H291" i="2"/>
  <c r="G291" i="2"/>
  <c r="B45" i="10" s="1"/>
  <c r="F291" i="2"/>
  <c r="B45" i="9" s="1"/>
  <c r="E291" i="2"/>
  <c r="D291" i="2"/>
  <c r="C290" i="2"/>
  <c r="H290" i="2"/>
  <c r="H43" i="5" s="1"/>
  <c r="G290" i="2"/>
  <c r="H43" i="4" s="1"/>
  <c r="F290" i="2"/>
  <c r="H43" i="3" s="1"/>
  <c r="A290" i="2"/>
  <c r="C289" i="2"/>
  <c r="H289" i="2"/>
  <c r="G43" i="5" s="1"/>
  <c r="G289" i="2"/>
  <c r="G43" i="4" s="1"/>
  <c r="A289" i="2"/>
  <c r="C288" i="2"/>
  <c r="H288" i="2"/>
  <c r="F43" i="5" s="1"/>
  <c r="G288" i="2"/>
  <c r="F43" i="4" s="1"/>
  <c r="A288" i="2"/>
  <c r="C287" i="2"/>
  <c r="D287" i="2"/>
  <c r="A287" i="2"/>
  <c r="E286" i="2"/>
  <c r="D286" i="2"/>
  <c r="F285" i="2"/>
  <c r="C43" i="3" s="1"/>
  <c r="E285" i="2"/>
  <c r="D285" i="2"/>
  <c r="G284" i="2"/>
  <c r="B43" i="10" s="1"/>
  <c r="F284" i="2"/>
  <c r="B43" i="9" s="1"/>
  <c r="E284" i="2"/>
  <c r="D284" i="2"/>
  <c r="H283" i="2"/>
  <c r="H42" i="5" s="1"/>
  <c r="G283" i="2"/>
  <c r="H42" i="4" s="1"/>
  <c r="F283" i="2"/>
  <c r="H42" i="3" s="1"/>
  <c r="C282" i="2"/>
  <c r="H282" i="2"/>
  <c r="G42" i="5" s="1"/>
  <c r="G282" i="2"/>
  <c r="G42" i="4" s="1"/>
  <c r="F282" i="2"/>
  <c r="G42" i="3" s="1"/>
  <c r="E282" i="2"/>
  <c r="A282" i="2"/>
  <c r="C281" i="2"/>
  <c r="H281" i="2"/>
  <c r="F42" i="5" s="1"/>
  <c r="G281" i="2"/>
  <c r="F42" i="4" s="1"/>
  <c r="A281" i="2"/>
  <c r="C280" i="2"/>
  <c r="H280" i="2"/>
  <c r="E42" i="5" s="1"/>
  <c r="G280" i="2"/>
  <c r="E42" i="4" s="1"/>
  <c r="A280" i="2"/>
  <c r="C279" i="2"/>
  <c r="H279" i="2"/>
  <c r="D42" i="5" s="1"/>
  <c r="D279" i="2"/>
  <c r="A279" i="2"/>
  <c r="E278" i="2"/>
  <c r="D278" i="2"/>
  <c r="A278" i="2"/>
  <c r="F277" i="2"/>
  <c r="B42" i="9" s="1"/>
  <c r="E277" i="2"/>
  <c r="D277" i="2"/>
  <c r="G276" i="2"/>
  <c r="H41" i="4" s="1"/>
  <c r="F276" i="2"/>
  <c r="H41" i="3" s="1"/>
  <c r="E276" i="2"/>
  <c r="D276" i="2"/>
  <c r="H275" i="2"/>
  <c r="G41" i="5" s="1"/>
  <c r="G275" i="2"/>
  <c r="G41" i="4" s="1"/>
  <c r="F275" i="2"/>
  <c r="G41" i="3" s="1"/>
  <c r="E275" i="2"/>
  <c r="C274" i="2"/>
  <c r="H274" i="2"/>
  <c r="F41" i="5" s="1"/>
  <c r="G274" i="2"/>
  <c r="F41" i="4" s="1"/>
  <c r="F274" i="2"/>
  <c r="F41" i="3" s="1"/>
  <c r="A274" i="2"/>
  <c r="C273" i="2"/>
  <c r="H273" i="2"/>
  <c r="E41" i="5" s="1"/>
  <c r="A273" i="2"/>
  <c r="C272" i="2"/>
  <c r="H272" i="2"/>
  <c r="D41" i="5" s="1"/>
  <c r="G272" i="2"/>
  <c r="D41" i="4" s="1"/>
  <c r="C271" i="2"/>
  <c r="D271" i="2"/>
  <c r="A271" i="2"/>
  <c r="C270" i="2"/>
  <c r="A41" i="20" s="1"/>
  <c r="E270" i="2"/>
  <c r="D270" i="2"/>
  <c r="F269" i="2"/>
  <c r="H40" i="3" s="1"/>
  <c r="E269" i="2"/>
  <c r="D269" i="2"/>
  <c r="G268" i="2"/>
  <c r="G40" i="4" s="1"/>
  <c r="F268" i="2"/>
  <c r="G40" i="3" s="1"/>
  <c r="E268" i="2"/>
  <c r="D268" i="2"/>
  <c r="H267" i="2"/>
  <c r="F40" i="5" s="1"/>
  <c r="G267" i="2"/>
  <c r="F40" i="4" s="1"/>
  <c r="F267" i="2"/>
  <c r="F40" i="3" s="1"/>
  <c r="E267" i="2"/>
  <c r="C266" i="2"/>
  <c r="H266" i="2"/>
  <c r="E40" i="5" s="1"/>
  <c r="G266" i="2"/>
  <c r="E40" i="4" s="1"/>
  <c r="F266" i="2"/>
  <c r="E40" i="3" s="1"/>
  <c r="E266" i="2"/>
  <c r="A266" i="2"/>
  <c r="C265" i="2"/>
  <c r="H265" i="2"/>
  <c r="D40" i="5" s="1"/>
  <c r="G265" i="2"/>
  <c r="D40" i="4" s="1"/>
  <c r="F265" i="2"/>
  <c r="D40" i="3" s="1"/>
  <c r="A265" i="2"/>
  <c r="C264" i="2"/>
  <c r="H264" i="2"/>
  <c r="C40" i="5" s="1"/>
  <c r="G264" i="2"/>
  <c r="C40" i="4" s="1"/>
  <c r="A264" i="2"/>
  <c r="C263" i="2"/>
  <c r="A40" i="20" s="1"/>
  <c r="H263" i="2"/>
  <c r="D263" i="2"/>
  <c r="A263" i="2"/>
  <c r="E262" i="2"/>
  <c r="D262" i="2"/>
  <c r="A262" i="2"/>
  <c r="F261" i="2"/>
  <c r="G39" i="3" s="1"/>
  <c r="E261" i="2"/>
  <c r="D261" i="2"/>
  <c r="G260" i="2"/>
  <c r="F39" i="4" s="1"/>
  <c r="F260" i="2"/>
  <c r="F39" i="3" s="1"/>
  <c r="E260" i="2"/>
  <c r="D260" i="2"/>
  <c r="H259" i="2"/>
  <c r="E39" i="5" s="1"/>
  <c r="G259" i="2"/>
  <c r="E39" i="4" s="1"/>
  <c r="F259" i="2"/>
  <c r="E39" i="3" s="1"/>
  <c r="E259" i="2"/>
  <c r="D259" i="2"/>
  <c r="C258" i="2"/>
  <c r="H258" i="2"/>
  <c r="D39" i="5" s="1"/>
  <c r="G258" i="2"/>
  <c r="D39" i="4" s="1"/>
  <c r="F258" i="2"/>
  <c r="D39" i="3" s="1"/>
  <c r="A258" i="2"/>
  <c r="C257" i="2"/>
  <c r="H257" i="2"/>
  <c r="C39" i="5" s="1"/>
  <c r="G257" i="2"/>
  <c r="C39" i="4" s="1"/>
  <c r="A257" i="2"/>
  <c r="C256" i="2"/>
  <c r="A39" i="20" s="1"/>
  <c r="H256" i="2"/>
  <c r="G256" i="2"/>
  <c r="B39" i="10" s="1"/>
  <c r="A256" i="2"/>
  <c r="C255" i="2"/>
  <c r="D255" i="2"/>
  <c r="A255" i="2"/>
  <c r="E254" i="2"/>
  <c r="D254" i="2"/>
  <c r="F253" i="2"/>
  <c r="F38" i="3" s="1"/>
  <c r="E253" i="2"/>
  <c r="D253" i="2"/>
  <c r="G252" i="2"/>
  <c r="E38" i="4" s="1"/>
  <c r="F252" i="2"/>
  <c r="E38" i="3" s="1"/>
  <c r="E252" i="2"/>
  <c r="D252" i="2"/>
  <c r="H251" i="2"/>
  <c r="D38" i="5" s="1"/>
  <c r="G251" i="2"/>
  <c r="D38" i="4" s="1"/>
  <c r="F251" i="2"/>
  <c r="D38" i="3" s="1"/>
  <c r="E251" i="2"/>
  <c r="C250" i="2"/>
  <c r="H250" i="2"/>
  <c r="C38" i="5" s="1"/>
  <c r="G250" i="2"/>
  <c r="C38" i="4" s="1"/>
  <c r="F250" i="2"/>
  <c r="C38" i="3" s="1"/>
  <c r="E250" i="2"/>
  <c r="A250" i="2"/>
  <c r="C249" i="2"/>
  <c r="A38" i="20" s="1"/>
  <c r="H249" i="2"/>
  <c r="G249" i="2"/>
  <c r="B38" i="10" s="1"/>
  <c r="A249" i="2"/>
  <c r="A37" i="20" s="1"/>
  <c r="C248" i="2"/>
  <c r="H248" i="2"/>
  <c r="A248" i="2"/>
  <c r="C247" i="2"/>
  <c r="H247" i="2"/>
  <c r="D247" i="2"/>
  <c r="A247" i="2"/>
  <c r="C246" i="2"/>
  <c r="E246" i="2"/>
  <c r="D246" i="2"/>
  <c r="A246" i="2"/>
  <c r="F245" i="2"/>
  <c r="E245" i="2"/>
  <c r="D245" i="2"/>
  <c r="G244" i="2"/>
  <c r="F244" i="2"/>
  <c r="E244" i="2"/>
  <c r="D244" i="2"/>
  <c r="H243" i="2"/>
  <c r="G243" i="2"/>
  <c r="F243" i="2"/>
  <c r="E243" i="2"/>
  <c r="D243" i="2"/>
  <c r="C242" i="2"/>
  <c r="H242" i="2"/>
  <c r="G242" i="2"/>
  <c r="A242" i="2"/>
  <c r="C241" i="2"/>
  <c r="H241" i="2"/>
  <c r="G241" i="2"/>
  <c r="F241" i="2"/>
  <c r="A241" i="2"/>
  <c r="C240" i="2"/>
  <c r="H240" i="2"/>
  <c r="A240" i="2"/>
  <c r="C239" i="2"/>
  <c r="H239" i="2"/>
  <c r="D239" i="2"/>
  <c r="A239" i="2"/>
  <c r="E238" i="2"/>
  <c r="D238" i="2"/>
  <c r="A238" i="2"/>
  <c r="F237" i="2"/>
  <c r="E237" i="2"/>
  <c r="D237" i="2"/>
  <c r="G236" i="2"/>
  <c r="F236" i="2"/>
  <c r="E236" i="2"/>
  <c r="D236" i="2"/>
  <c r="H235" i="2"/>
  <c r="G235" i="2"/>
  <c r="F235" i="2"/>
  <c r="E235" i="2"/>
  <c r="D235" i="2"/>
  <c r="C234" i="2"/>
  <c r="H234" i="2"/>
  <c r="H36" i="5" s="1"/>
  <c r="G234" i="2"/>
  <c r="H36" i="4" s="1"/>
  <c r="F234" i="2"/>
  <c r="H36" i="3" s="1"/>
  <c r="E234" i="2"/>
  <c r="A234" i="2"/>
  <c r="C233" i="2"/>
  <c r="H233" i="2"/>
  <c r="G36" i="5" s="1"/>
  <c r="G233" i="2"/>
  <c r="G36" i="4" s="1"/>
  <c r="F233" i="2"/>
  <c r="G36" i="3" s="1"/>
  <c r="A233" i="2"/>
  <c r="C232" i="2"/>
  <c r="A232" i="2"/>
  <c r="H231" i="2"/>
  <c r="E36" i="5" s="1"/>
  <c r="D231" i="2"/>
  <c r="A231" i="2"/>
  <c r="C230" i="2"/>
  <c r="E230" i="2"/>
  <c r="D230" i="2"/>
  <c r="A230" i="2"/>
  <c r="F229" i="2"/>
  <c r="C36" i="3" s="1"/>
  <c r="E229" i="2"/>
  <c r="D229" i="2"/>
  <c r="G228" i="2"/>
  <c r="B36" i="10" s="1"/>
  <c r="F228" i="2"/>
  <c r="B36" i="9" s="1"/>
  <c r="D228" i="2"/>
  <c r="H227" i="2"/>
  <c r="H35" i="5" s="1"/>
  <c r="G227" i="2"/>
  <c r="H35" i="4" s="1"/>
  <c r="F227" i="2"/>
  <c r="H35" i="3" s="1"/>
  <c r="E227" i="2"/>
  <c r="D227" i="2"/>
  <c r="C226" i="2"/>
  <c r="H226" i="2"/>
  <c r="G35" i="5" s="1"/>
  <c r="G226" i="2"/>
  <c r="G35" i="4" s="1"/>
  <c r="F226" i="2"/>
  <c r="G35" i="3" s="1"/>
  <c r="A226" i="2"/>
  <c r="C225" i="2"/>
  <c r="H225" i="2"/>
  <c r="F35" i="5" s="1"/>
  <c r="G225" i="2"/>
  <c r="F35" i="4" s="1"/>
  <c r="F225" i="2"/>
  <c r="F35" i="3" s="1"/>
  <c r="A225" i="2"/>
  <c r="C224" i="2"/>
  <c r="H224" i="2"/>
  <c r="E35" i="5" s="1"/>
  <c r="A224" i="2"/>
  <c r="C223" i="2"/>
  <c r="H223" i="2"/>
  <c r="D35" i="5" s="1"/>
  <c r="D223" i="2"/>
  <c r="A223" i="2"/>
  <c r="E222" i="2"/>
  <c r="D222" i="2"/>
  <c r="F221" i="2"/>
  <c r="B35" i="9" s="1"/>
  <c r="E221" i="2"/>
  <c r="D221" i="2"/>
  <c r="G220" i="2"/>
  <c r="H34" i="4" s="1"/>
  <c r="F220" i="2"/>
  <c r="H34" i="3" s="1"/>
  <c r="E220" i="2"/>
  <c r="D220" i="2"/>
  <c r="H219" i="2"/>
  <c r="G34" i="5" s="1"/>
  <c r="G219" i="2"/>
  <c r="G34" i="4" s="1"/>
  <c r="F219" i="2"/>
  <c r="G34" i="3" s="1"/>
  <c r="E219" i="2"/>
  <c r="C218" i="2"/>
  <c r="H218" i="2"/>
  <c r="F34" i="5" s="1"/>
  <c r="G218" i="2"/>
  <c r="F34" i="4" s="1"/>
  <c r="F218" i="2"/>
  <c r="F34" i="3" s="1"/>
  <c r="E218" i="2"/>
  <c r="A218" i="2"/>
  <c r="C217" i="2"/>
  <c r="H217" i="2"/>
  <c r="E34" i="5" s="1"/>
  <c r="G217" i="2"/>
  <c r="E34" i="4" s="1"/>
  <c r="A217" i="2"/>
  <c r="C216" i="2"/>
  <c r="H216" i="2"/>
  <c r="D34" i="5" s="1"/>
  <c r="G216" i="2"/>
  <c r="D34" i="4" s="1"/>
  <c r="A216" i="2"/>
  <c r="C215" i="2"/>
  <c r="H215" i="2"/>
  <c r="C34" i="5" s="1"/>
  <c r="D215" i="2"/>
  <c r="A215" i="2"/>
  <c r="C214" i="2"/>
  <c r="A34" i="20" s="1"/>
  <c r="E214" i="2"/>
  <c r="D214" i="2"/>
  <c r="A214" i="2"/>
  <c r="F213" i="2"/>
  <c r="H33" i="3" s="1"/>
  <c r="E213" i="2"/>
  <c r="D213" i="2"/>
  <c r="G212" i="2"/>
  <c r="G33" i="4" s="1"/>
  <c r="F212" i="2"/>
  <c r="G33" i="3" s="1"/>
  <c r="E212" i="2"/>
  <c r="D212" i="2"/>
  <c r="H211" i="2"/>
  <c r="F33" i="5" s="1"/>
  <c r="G211" i="2"/>
  <c r="F33" i="4" s="1"/>
  <c r="F211" i="2"/>
  <c r="F33" i="3" s="1"/>
  <c r="E211" i="2"/>
  <c r="D211" i="2"/>
  <c r="C210" i="2"/>
  <c r="H210" i="2"/>
  <c r="E33" i="5" s="1"/>
  <c r="G210" i="2"/>
  <c r="E33" i="4" s="1"/>
  <c r="F210" i="2"/>
  <c r="E33" i="3" s="1"/>
  <c r="E210" i="2"/>
  <c r="A210" i="2"/>
  <c r="C209" i="2"/>
  <c r="H209" i="2"/>
  <c r="D33" i="5" s="1"/>
  <c r="G209" i="2"/>
  <c r="D33" i="4" s="1"/>
  <c r="A209" i="2"/>
  <c r="C208" i="2"/>
  <c r="H208" i="2"/>
  <c r="C33" i="5" s="1"/>
  <c r="G208" i="2"/>
  <c r="C33" i="4" s="1"/>
  <c r="A208" i="2"/>
  <c r="C207" i="2"/>
  <c r="A33" i="20" s="1"/>
  <c r="D207" i="2"/>
  <c r="A207" i="2"/>
  <c r="E206" i="2"/>
  <c r="D206" i="2"/>
  <c r="F205" i="2"/>
  <c r="G32" i="3" s="1"/>
  <c r="E205" i="2"/>
  <c r="D205" i="2"/>
  <c r="G204" i="2"/>
  <c r="F32" i="4" s="1"/>
  <c r="F204" i="2"/>
  <c r="F32" i="3" s="1"/>
  <c r="E204" i="2"/>
  <c r="D204" i="2"/>
  <c r="H203" i="2"/>
  <c r="E32" i="5" s="1"/>
  <c r="G203" i="2"/>
  <c r="E32" i="4" s="1"/>
  <c r="F203" i="2"/>
  <c r="E32" i="3" s="1"/>
  <c r="C202" i="2"/>
  <c r="H202" i="2"/>
  <c r="D32" i="5" s="1"/>
  <c r="G202" i="2"/>
  <c r="D32" i="4" s="1"/>
  <c r="F202" i="2"/>
  <c r="D32" i="3" s="1"/>
  <c r="E202" i="2"/>
  <c r="A202" i="2"/>
  <c r="C201" i="2"/>
  <c r="H201" i="2"/>
  <c r="C32" i="5" s="1"/>
  <c r="G201" i="2"/>
  <c r="C32" i="4" s="1"/>
  <c r="A201" i="2"/>
  <c r="C200" i="2"/>
  <c r="A32" i="20" s="1"/>
  <c r="H200" i="2"/>
  <c r="G200" i="2"/>
  <c r="B32" i="10" s="1"/>
  <c r="A200" i="2"/>
  <c r="C199" i="2"/>
  <c r="H199" i="2"/>
  <c r="H31" i="5" s="1"/>
  <c r="D199" i="2"/>
  <c r="A199" i="2"/>
  <c r="C198" i="2"/>
  <c r="E198" i="2"/>
  <c r="D198" i="2"/>
  <c r="A198" i="2"/>
  <c r="F197" i="2"/>
  <c r="F31" i="3" s="1"/>
  <c r="E197" i="2"/>
  <c r="D197" i="2"/>
  <c r="G196" i="2"/>
  <c r="E31" i="4" s="1"/>
  <c r="F196" i="2"/>
  <c r="E31" i="3" s="1"/>
  <c r="E196" i="2"/>
  <c r="D196" i="2"/>
  <c r="H195" i="2"/>
  <c r="D31" i="5" s="1"/>
  <c r="G195" i="2"/>
  <c r="D31" i="4" s="1"/>
  <c r="F195" i="2"/>
  <c r="D31" i="3" s="1"/>
  <c r="E195" i="2"/>
  <c r="D195" i="2"/>
  <c r="C194" i="2"/>
  <c r="H194" i="2"/>
  <c r="C31" i="5" s="1"/>
  <c r="G194" i="2"/>
  <c r="C31" i="4" s="1"/>
  <c r="F194" i="2"/>
  <c r="C31" i="3" s="1"/>
  <c r="A194" i="2"/>
  <c r="C193" i="2"/>
  <c r="A31" i="20" s="1"/>
  <c r="H193" i="2"/>
  <c r="G193" i="2"/>
  <c r="B31" i="10" s="1"/>
  <c r="F193" i="2"/>
  <c r="B31" i="9" s="1"/>
  <c r="A193" i="2"/>
  <c r="C192" i="2"/>
  <c r="H192" i="2"/>
  <c r="H30" i="5" s="1"/>
  <c r="G192" i="2"/>
  <c r="H30" i="4" s="1"/>
  <c r="A192" i="2"/>
  <c r="C191" i="2"/>
  <c r="H191" i="2"/>
  <c r="G30" i="5" s="1"/>
  <c r="D191" i="2"/>
  <c r="E190" i="2"/>
  <c r="D190" i="2"/>
  <c r="A190" i="2"/>
  <c r="F189" i="2"/>
  <c r="E30" i="3" s="1"/>
  <c r="E189" i="2"/>
  <c r="D189" i="2"/>
  <c r="G188" i="2"/>
  <c r="D30" i="4" s="1"/>
  <c r="F188" i="2"/>
  <c r="D30" i="3" s="1"/>
  <c r="E188" i="2"/>
  <c r="D188" i="2"/>
  <c r="H187" i="2"/>
  <c r="C30" i="5" s="1"/>
  <c r="G187" i="2"/>
  <c r="C30" i="4" s="1"/>
  <c r="F187" i="2"/>
  <c r="C30" i="3" s="1"/>
  <c r="E187" i="2"/>
  <c r="D187" i="2"/>
  <c r="C186" i="2"/>
  <c r="A30" i="20" s="1"/>
  <c r="H186" i="2"/>
  <c r="G186" i="2"/>
  <c r="B30" i="10" s="1"/>
  <c r="F186" i="2"/>
  <c r="B30" i="9" s="1"/>
  <c r="E186" i="2"/>
  <c r="A186" i="2"/>
  <c r="C185" i="2"/>
  <c r="H185" i="2"/>
  <c r="H29" i="5" s="1"/>
  <c r="G185" i="2"/>
  <c r="H29" i="4" s="1"/>
  <c r="F185" i="2"/>
  <c r="H29" i="3" s="1"/>
  <c r="A185" i="2"/>
  <c r="C184" i="2"/>
  <c r="H184" i="2"/>
  <c r="G29" i="5" s="1"/>
  <c r="A184" i="2"/>
  <c r="H183" i="2"/>
  <c r="F29" i="5" s="1"/>
  <c r="D183" i="2"/>
  <c r="C182" i="2"/>
  <c r="E182" i="2"/>
  <c r="D182" i="2"/>
  <c r="A182" i="2"/>
  <c r="F181" i="2"/>
  <c r="D29" i="3" s="1"/>
  <c r="E181" i="2"/>
  <c r="D181" i="2"/>
  <c r="G180" i="2"/>
  <c r="C29" i="4" s="1"/>
  <c r="F180" i="2"/>
  <c r="C29" i="3" s="1"/>
  <c r="E180" i="2"/>
  <c r="D180" i="2"/>
  <c r="H179" i="2"/>
  <c r="G179" i="2"/>
  <c r="B29" i="10" s="1"/>
  <c r="F179" i="2"/>
  <c r="B29" i="9" s="1"/>
  <c r="E179" i="2"/>
  <c r="D179" i="2"/>
  <c r="C178" i="2"/>
  <c r="H178" i="2"/>
  <c r="H28" i="5" s="1"/>
  <c r="G178" i="2"/>
  <c r="H28" i="4" s="1"/>
  <c r="F178" i="2"/>
  <c r="H28" i="3" s="1"/>
  <c r="A178" i="2"/>
  <c r="C177" i="2"/>
  <c r="H177" i="2"/>
  <c r="G28" i="5" s="1"/>
  <c r="G177" i="2"/>
  <c r="G28" i="4" s="1"/>
  <c r="F177" i="2"/>
  <c r="G28" i="3" s="1"/>
  <c r="A177" i="2"/>
  <c r="C176" i="2"/>
  <c r="H176" i="2"/>
  <c r="F28" i="5" s="1"/>
  <c r="G176" i="2"/>
  <c r="F28" i="4" s="1"/>
  <c r="A176" i="2"/>
  <c r="C175" i="2"/>
  <c r="H175" i="2"/>
  <c r="E28" i="5" s="1"/>
  <c r="D175" i="2"/>
  <c r="A175" i="2"/>
  <c r="C174" i="2"/>
  <c r="E174" i="2"/>
  <c r="D174" i="2"/>
  <c r="A174" i="2"/>
  <c r="F173" i="2"/>
  <c r="C28" i="3" s="1"/>
  <c r="E173" i="2"/>
  <c r="D173" i="2"/>
  <c r="G172" i="2"/>
  <c r="B28" i="10" s="1"/>
  <c r="F172" i="2"/>
  <c r="B28" i="9" s="1"/>
  <c r="E172" i="2"/>
  <c r="D172" i="2"/>
  <c r="H171" i="2"/>
  <c r="H27" i="5" s="1"/>
  <c r="G171" i="2"/>
  <c r="H27" i="4" s="1"/>
  <c r="F171" i="2"/>
  <c r="H27" i="3" s="1"/>
  <c r="E171" i="2"/>
  <c r="D171" i="2"/>
  <c r="C170" i="2"/>
  <c r="H170" i="2"/>
  <c r="G27" i="5" s="1"/>
  <c r="G170" i="2"/>
  <c r="G27" i="4" s="1"/>
  <c r="F170" i="2"/>
  <c r="G27" i="3" s="1"/>
  <c r="A170" i="2"/>
  <c r="C169" i="2"/>
  <c r="H169" i="2"/>
  <c r="F27" i="5" s="1"/>
  <c r="G169" i="2"/>
  <c r="F27" i="4" s="1"/>
  <c r="F169" i="2"/>
  <c r="F27" i="3" s="1"/>
  <c r="A169" i="2"/>
  <c r="C168" i="2"/>
  <c r="H168" i="2"/>
  <c r="E27" i="5" s="1"/>
  <c r="G168" i="2"/>
  <c r="E27" i="4" s="1"/>
  <c r="A168" i="2"/>
  <c r="C167" i="2"/>
  <c r="H167" i="2"/>
  <c r="D27" i="5" s="1"/>
  <c r="D167" i="2"/>
  <c r="A167" i="2"/>
  <c r="E166" i="2"/>
  <c r="D166" i="2"/>
  <c r="A166" i="2"/>
  <c r="F165" i="2"/>
  <c r="B27" i="9" s="1"/>
  <c r="E165" i="2"/>
  <c r="D165" i="2"/>
  <c r="G164" i="2"/>
  <c r="F164" i="2"/>
  <c r="E164" i="2"/>
  <c r="D164" i="2"/>
  <c r="H163" i="2"/>
  <c r="G163" i="2"/>
  <c r="F163" i="2"/>
  <c r="E163" i="2"/>
  <c r="D163" i="2"/>
  <c r="C162" i="2"/>
  <c r="H162" i="2"/>
  <c r="G162" i="2"/>
  <c r="F162" i="2"/>
  <c r="A162" i="2"/>
  <c r="C161" i="2"/>
  <c r="H161" i="2"/>
  <c r="G161" i="2"/>
  <c r="F161" i="2"/>
  <c r="A161" i="2"/>
  <c r="C160" i="2"/>
  <c r="H160" i="2"/>
  <c r="A160" i="2"/>
  <c r="C159" i="2"/>
  <c r="H159" i="2"/>
  <c r="D159" i="2"/>
  <c r="C158" i="2"/>
  <c r="E158" i="2"/>
  <c r="D158" i="2"/>
  <c r="A158" i="2"/>
  <c r="F157" i="2"/>
  <c r="E157" i="2"/>
  <c r="D157" i="2"/>
  <c r="G156" i="2"/>
  <c r="F156" i="2"/>
  <c r="E156" i="2"/>
  <c r="D156" i="2"/>
  <c r="H155" i="2"/>
  <c r="G155" i="2"/>
  <c r="F155" i="2"/>
  <c r="E155" i="2"/>
  <c r="D155" i="2"/>
  <c r="C154" i="2"/>
  <c r="H154" i="2"/>
  <c r="G154" i="2"/>
  <c r="F154" i="2"/>
  <c r="E154" i="2"/>
  <c r="A154" i="2"/>
  <c r="C153" i="2"/>
  <c r="H153" i="2"/>
  <c r="G153" i="2"/>
  <c r="F153" i="2"/>
  <c r="A153" i="2"/>
  <c r="C152" i="2"/>
  <c r="H152" i="2"/>
  <c r="A152" i="2"/>
  <c r="C151" i="2"/>
  <c r="H151" i="2"/>
  <c r="D151" i="2"/>
  <c r="C150" i="2"/>
  <c r="E150" i="2"/>
  <c r="D150" i="2"/>
  <c r="A150" i="2"/>
  <c r="F149" i="2"/>
  <c r="G25" i="3" s="1"/>
  <c r="E149" i="2"/>
  <c r="D149" i="2"/>
  <c r="G148" i="2"/>
  <c r="F25" i="4" s="1"/>
  <c r="F148" i="2"/>
  <c r="F25" i="3" s="1"/>
  <c r="E148" i="2"/>
  <c r="H147" i="2"/>
  <c r="E25" i="5" s="1"/>
  <c r="G147" i="2"/>
  <c r="E25" i="4" s="1"/>
  <c r="F147" i="2"/>
  <c r="E25" i="3" s="1"/>
  <c r="E147" i="2"/>
  <c r="D147" i="2"/>
  <c r="C146" i="2"/>
  <c r="H146" i="2"/>
  <c r="D25" i="5" s="1"/>
  <c r="G146" i="2"/>
  <c r="D25" i="4" s="1"/>
  <c r="F146" i="2"/>
  <c r="D25" i="3" s="1"/>
  <c r="A146" i="2"/>
  <c r="C145" i="2"/>
  <c r="H145" i="2"/>
  <c r="C25" i="5" s="1"/>
  <c r="G145" i="2"/>
  <c r="C25" i="4" s="1"/>
  <c r="F145" i="2"/>
  <c r="C25" i="3" s="1"/>
  <c r="A145" i="2"/>
  <c r="C144" i="2"/>
  <c r="A25" i="20" s="1"/>
  <c r="H144" i="2"/>
  <c r="G144" i="2"/>
  <c r="B25" i="10" s="1"/>
  <c r="A144" i="2"/>
  <c r="C143" i="2"/>
  <c r="H143" i="2"/>
  <c r="H24" i="5" s="1"/>
  <c r="D143" i="2"/>
  <c r="A143" i="2"/>
  <c r="C142" i="2"/>
  <c r="E142" i="2"/>
  <c r="D142" i="2"/>
  <c r="F141" i="2"/>
  <c r="F24" i="3" s="1"/>
  <c r="E141" i="2"/>
  <c r="D141" i="2"/>
  <c r="G140" i="2"/>
  <c r="E24" i="4" s="1"/>
  <c r="F140" i="2"/>
  <c r="E24" i="3" s="1"/>
  <c r="E140" i="2"/>
  <c r="D140" i="2"/>
  <c r="H139" i="2"/>
  <c r="D24" i="5" s="1"/>
  <c r="G139" i="2"/>
  <c r="D24" i="4" s="1"/>
  <c r="F139" i="2"/>
  <c r="D24" i="3" s="1"/>
  <c r="E139" i="2"/>
  <c r="C138" i="2"/>
  <c r="H138" i="2"/>
  <c r="C24" i="5" s="1"/>
  <c r="G138" i="2"/>
  <c r="C24" i="4" s="1"/>
  <c r="F138" i="2"/>
  <c r="C24" i="3" s="1"/>
  <c r="E138" i="2"/>
  <c r="A138" i="2"/>
  <c r="C137" i="2"/>
  <c r="A24" i="20" s="1"/>
  <c r="H137" i="2"/>
  <c r="G137" i="2"/>
  <c r="B24" i="10" s="1"/>
  <c r="A137" i="2"/>
  <c r="C136" i="2"/>
  <c r="H136" i="2"/>
  <c r="A136" i="2"/>
  <c r="C135" i="2"/>
  <c r="H135" i="2"/>
  <c r="D135" i="2"/>
  <c r="C134" i="2"/>
  <c r="E134" i="2"/>
  <c r="D134" i="2"/>
  <c r="A134" i="2"/>
  <c r="F133" i="2"/>
  <c r="E23" i="9" s="1"/>
  <c r="G132" i="2"/>
  <c r="D23" i="10" s="1"/>
  <c r="F132" i="2"/>
  <c r="D23" i="9" s="1"/>
  <c r="E132" i="2"/>
  <c r="D132" i="2"/>
  <c r="H131" i="2"/>
  <c r="G131" i="2"/>
  <c r="C23" i="10" s="1"/>
  <c r="F131" i="2"/>
  <c r="C23" i="9" s="1"/>
  <c r="E131" i="2"/>
  <c r="D131" i="2"/>
  <c r="C130" i="2"/>
  <c r="A23" i="20" s="1"/>
  <c r="H130" i="2"/>
  <c r="G130" i="2"/>
  <c r="F130" i="2"/>
  <c r="E130" i="2"/>
  <c r="A130" i="2"/>
  <c r="C129" i="2"/>
  <c r="H129" i="2"/>
  <c r="G129" i="2"/>
  <c r="F129" i="2"/>
  <c r="A129" i="2"/>
  <c r="C128" i="2"/>
  <c r="H128" i="2"/>
  <c r="A128" i="2"/>
  <c r="C127" i="2"/>
  <c r="H127" i="2"/>
  <c r="D127" i="2"/>
  <c r="A127" i="2"/>
  <c r="C126" i="2"/>
  <c r="E126" i="2"/>
  <c r="D126" i="2"/>
  <c r="A126" i="2"/>
  <c r="F125" i="2"/>
  <c r="D22" i="9" s="1"/>
  <c r="E125" i="2"/>
  <c r="D125" i="2"/>
  <c r="G124" i="2"/>
  <c r="C22" i="10" s="1"/>
  <c r="F124" i="2"/>
  <c r="C22" i="9" s="1"/>
  <c r="E124" i="2"/>
  <c r="H123" i="2"/>
  <c r="G123" i="2"/>
  <c r="F123" i="2"/>
  <c r="E123" i="2"/>
  <c r="D123" i="2"/>
  <c r="C122" i="2"/>
  <c r="H122" i="2"/>
  <c r="H21" i="5" s="1"/>
  <c r="G122" i="2"/>
  <c r="H21" i="4" s="1"/>
  <c r="F122" i="2"/>
  <c r="H21" i="3" s="1"/>
  <c r="A122" i="2"/>
  <c r="C121" i="2"/>
  <c r="H121" i="2"/>
  <c r="G21" i="5" s="1"/>
  <c r="G121" i="2"/>
  <c r="G21" i="4" s="1"/>
  <c r="F121" i="2"/>
  <c r="G21" i="3" s="1"/>
  <c r="A121" i="2"/>
  <c r="C120" i="2"/>
  <c r="H120" i="2"/>
  <c r="F21" i="5" s="1"/>
  <c r="G120" i="2"/>
  <c r="F21" i="4" s="1"/>
  <c r="A120" i="2"/>
  <c r="C119" i="2"/>
  <c r="H119" i="2"/>
  <c r="E21" i="5" s="1"/>
  <c r="D119" i="2"/>
  <c r="A119" i="2"/>
  <c r="C118" i="2"/>
  <c r="E118" i="2"/>
  <c r="D118" i="2"/>
  <c r="A118" i="2"/>
  <c r="F117" i="2"/>
  <c r="C21" i="3" s="1"/>
  <c r="E117" i="2"/>
  <c r="D117" i="2"/>
  <c r="G116" i="2"/>
  <c r="B21" i="10" s="1"/>
  <c r="F116" i="2"/>
  <c r="B21" i="9" s="1"/>
  <c r="E116" i="2"/>
  <c r="D116" i="2"/>
  <c r="H115" i="2"/>
  <c r="H20" i="5" s="1"/>
  <c r="G115" i="2"/>
  <c r="H20" i="4" s="1"/>
  <c r="F115" i="2"/>
  <c r="H20" i="3" s="1"/>
  <c r="E115" i="2"/>
  <c r="D115" i="2"/>
  <c r="C114" i="2"/>
  <c r="H114" i="2"/>
  <c r="G20" i="5" s="1"/>
  <c r="G114" i="2"/>
  <c r="G20" i="4" s="1"/>
  <c r="F114" i="2"/>
  <c r="G20" i="3" s="1"/>
  <c r="A114" i="2"/>
  <c r="C113" i="2"/>
  <c r="H113" i="2"/>
  <c r="F20" i="5" s="1"/>
  <c r="G113" i="2"/>
  <c r="F20" i="4" s="1"/>
  <c r="F113" i="2"/>
  <c r="F20" i="3" s="1"/>
  <c r="A113" i="2"/>
  <c r="C112" i="2"/>
  <c r="H112" i="2"/>
  <c r="E20" i="5" s="1"/>
  <c r="G112" i="2"/>
  <c r="E20" i="4" s="1"/>
  <c r="A112" i="2"/>
  <c r="C111" i="2"/>
  <c r="H111" i="2"/>
  <c r="D20" i="5" s="1"/>
  <c r="D111" i="2"/>
  <c r="A111" i="2"/>
  <c r="C110" i="2"/>
  <c r="E110" i="2"/>
  <c r="D110" i="2"/>
  <c r="A110" i="2"/>
  <c r="F109" i="2"/>
  <c r="B20" i="9" s="1"/>
  <c r="E109" i="2"/>
  <c r="D109" i="2"/>
  <c r="G108" i="2"/>
  <c r="H19" i="4" s="1"/>
  <c r="F108" i="2"/>
  <c r="H19" i="3" s="1"/>
  <c r="E108" i="2"/>
  <c r="D108" i="2"/>
  <c r="H107" i="2"/>
  <c r="G19" i="5" s="1"/>
  <c r="G107" i="2"/>
  <c r="G19" i="4" s="1"/>
  <c r="F107" i="2"/>
  <c r="G19" i="3" s="1"/>
  <c r="E107" i="2"/>
  <c r="D107" i="2"/>
  <c r="C106" i="2"/>
  <c r="H106" i="2"/>
  <c r="F19" i="5" s="1"/>
  <c r="G106" i="2"/>
  <c r="F19" i="4" s="1"/>
  <c r="F106" i="2"/>
  <c r="F19" i="3" s="1"/>
  <c r="A106" i="2"/>
  <c r="C105" i="2"/>
  <c r="H105" i="2"/>
  <c r="E19" i="5" s="1"/>
  <c r="G105" i="2"/>
  <c r="E19" i="4" s="1"/>
  <c r="F105" i="2"/>
  <c r="E19" i="3" s="1"/>
  <c r="A105" i="2"/>
  <c r="C104" i="2"/>
  <c r="H104" i="2"/>
  <c r="D19" i="5" s="1"/>
  <c r="A104" i="2"/>
  <c r="C103" i="2"/>
  <c r="H103" i="2"/>
  <c r="C19" i="5" s="1"/>
  <c r="D103" i="2"/>
  <c r="A103" i="2"/>
  <c r="C102" i="2"/>
  <c r="A19" i="20" s="1"/>
  <c r="E102" i="2"/>
  <c r="D102" i="2"/>
  <c r="A102" i="2"/>
  <c r="F101" i="2"/>
  <c r="H18" i="3" s="1"/>
  <c r="E101" i="2"/>
  <c r="D101" i="2"/>
  <c r="G100" i="2"/>
  <c r="G18" i="4" s="1"/>
  <c r="F100" i="2"/>
  <c r="G18" i="3" s="1"/>
  <c r="E100" i="2"/>
  <c r="D100" i="2"/>
  <c r="H99" i="2"/>
  <c r="F18" i="5" s="1"/>
  <c r="G99" i="2"/>
  <c r="F18" i="4" s="1"/>
  <c r="F99" i="2"/>
  <c r="F18" i="3" s="1"/>
  <c r="E99" i="2"/>
  <c r="D99" i="2"/>
  <c r="C98" i="2"/>
  <c r="H98" i="2"/>
  <c r="E18" i="5" s="1"/>
  <c r="G98" i="2"/>
  <c r="E18" i="4" s="1"/>
  <c r="F98" i="2"/>
  <c r="E18" i="3" s="1"/>
  <c r="E98" i="2"/>
  <c r="A98" i="2"/>
  <c r="C97" i="2"/>
  <c r="H97" i="2"/>
  <c r="D18" i="5" s="1"/>
  <c r="G97" i="2"/>
  <c r="D18" i="4" s="1"/>
  <c r="F97" i="2"/>
  <c r="D18" i="3" s="1"/>
  <c r="A97" i="2"/>
  <c r="C96" i="2"/>
  <c r="H96" i="2"/>
  <c r="C18" i="5" s="1"/>
  <c r="A96" i="2"/>
  <c r="C95" i="2"/>
  <c r="A18" i="20" s="1"/>
  <c r="H95" i="2"/>
  <c r="D95" i="2"/>
  <c r="A95" i="2"/>
  <c r="C94" i="2"/>
  <c r="E94" i="2"/>
  <c r="D94" i="2"/>
  <c r="A94" i="2"/>
  <c r="F93" i="2"/>
  <c r="G17" i="3" s="1"/>
  <c r="E93" i="2"/>
  <c r="D93" i="2"/>
  <c r="G92" i="2"/>
  <c r="F17" i="4" s="1"/>
  <c r="F92" i="2"/>
  <c r="F17" i="3" s="1"/>
  <c r="E92" i="2"/>
  <c r="H91" i="2"/>
  <c r="E17" i="5" s="1"/>
  <c r="G91" i="2"/>
  <c r="E17" i="4" s="1"/>
  <c r="F91" i="2"/>
  <c r="E17" i="3" s="1"/>
  <c r="E91" i="2"/>
  <c r="D91" i="2"/>
  <c r="C90" i="2"/>
  <c r="H90" i="2"/>
  <c r="D17" i="5" s="1"/>
  <c r="G90" i="2"/>
  <c r="D17" i="4" s="1"/>
  <c r="F90" i="2"/>
  <c r="D17" i="3" s="1"/>
  <c r="A90" i="2"/>
  <c r="C89" i="2"/>
  <c r="H89" i="2"/>
  <c r="C17" i="5" s="1"/>
  <c r="G89" i="2"/>
  <c r="C17" i="4" s="1"/>
  <c r="F89" i="2"/>
  <c r="C17" i="3" s="1"/>
  <c r="A89" i="2"/>
  <c r="C88" i="2"/>
  <c r="A17" i="20" s="1"/>
  <c r="H88" i="2"/>
  <c r="G88" i="2"/>
  <c r="B17" i="10" s="1"/>
  <c r="A88" i="2"/>
  <c r="C87" i="2"/>
  <c r="H87" i="2"/>
  <c r="H16" i="5" s="1"/>
  <c r="D87" i="2"/>
  <c r="A87" i="2"/>
  <c r="C86" i="2"/>
  <c r="E86" i="2"/>
  <c r="D86" i="2"/>
  <c r="A86" i="2"/>
  <c r="F85" i="2"/>
  <c r="F16" i="3" s="1"/>
  <c r="E85" i="2"/>
  <c r="D85" i="2"/>
  <c r="G84" i="2"/>
  <c r="E16" i="4" s="1"/>
  <c r="F84" i="2"/>
  <c r="E16" i="3" s="1"/>
  <c r="E84" i="2"/>
  <c r="D84" i="2"/>
  <c r="H83" i="2"/>
  <c r="D16" i="5" s="1"/>
  <c r="G83" i="2"/>
  <c r="D16" i="4" s="1"/>
  <c r="F83" i="2"/>
  <c r="D16" i="3" s="1"/>
  <c r="E83" i="2"/>
  <c r="D83" i="2"/>
  <c r="C82" i="2"/>
  <c r="H82" i="2"/>
  <c r="C16" i="5" s="1"/>
  <c r="G82" i="2"/>
  <c r="C16" i="4" s="1"/>
  <c r="F82" i="2"/>
  <c r="C16" i="3" s="1"/>
  <c r="A82" i="2"/>
  <c r="C81" i="2"/>
  <c r="A16" i="20" s="1"/>
  <c r="H81" i="2"/>
  <c r="G81" i="2"/>
  <c r="B16" i="10" s="1"/>
  <c r="F81" i="2"/>
  <c r="B16" i="9" s="1"/>
  <c r="A81" i="2"/>
  <c r="A15" i="20" s="1"/>
  <c r="C80" i="2"/>
  <c r="H80" i="2"/>
  <c r="G80" i="2"/>
  <c r="A80" i="2"/>
  <c r="C79" i="2"/>
  <c r="H79" i="2"/>
  <c r="D79" i="2"/>
  <c r="A79" i="2"/>
  <c r="C78" i="2"/>
  <c r="E78" i="2"/>
  <c r="D78" i="2"/>
  <c r="A78" i="2"/>
  <c r="F77" i="2"/>
  <c r="E77" i="2"/>
  <c r="D77" i="2"/>
  <c r="G76" i="2"/>
  <c r="F76" i="2"/>
  <c r="E76" i="2"/>
  <c r="D76" i="2"/>
  <c r="H75" i="2"/>
  <c r="G75" i="2"/>
  <c r="F75" i="2"/>
  <c r="E75" i="2"/>
  <c r="D75" i="2"/>
  <c r="C74" i="2"/>
  <c r="H74" i="2"/>
  <c r="G74" i="2"/>
  <c r="F74" i="2"/>
  <c r="E74" i="2"/>
  <c r="A74" i="2"/>
  <c r="C73" i="2"/>
  <c r="H73" i="2"/>
  <c r="G73" i="2"/>
  <c r="F73" i="2"/>
  <c r="A73" i="2"/>
  <c r="C72" i="2"/>
  <c r="H72" i="2"/>
  <c r="A72" i="2"/>
  <c r="C71" i="2"/>
  <c r="H71" i="2"/>
  <c r="D71" i="2"/>
  <c r="A71" i="2"/>
  <c r="E70" i="2"/>
  <c r="D70" i="2"/>
  <c r="A70" i="2"/>
  <c r="F69" i="2"/>
  <c r="E69" i="2"/>
  <c r="D69" i="2"/>
  <c r="G68" i="2"/>
  <c r="F68" i="2"/>
  <c r="E68" i="2"/>
  <c r="H67" i="2"/>
  <c r="G67" i="2"/>
  <c r="F67" i="2"/>
  <c r="E67" i="2"/>
  <c r="D67" i="2"/>
  <c r="C66" i="2"/>
  <c r="H66" i="2"/>
  <c r="H14" i="5" s="1"/>
  <c r="G66" i="2"/>
  <c r="H14" i="4" s="1"/>
  <c r="F66" i="2"/>
  <c r="H14" i="3" s="1"/>
  <c r="A66" i="2"/>
  <c r="C65" i="2"/>
  <c r="H65" i="2"/>
  <c r="G14" i="5" s="1"/>
  <c r="G65" i="2"/>
  <c r="G14" i="4" s="1"/>
  <c r="F65" i="2"/>
  <c r="G14" i="3" s="1"/>
  <c r="A65" i="2"/>
  <c r="C64" i="2"/>
  <c r="H64" i="2"/>
  <c r="F14" i="5" s="1"/>
  <c r="G64" i="2"/>
  <c r="F14" i="4" s="1"/>
  <c r="A64" i="2"/>
  <c r="C63" i="2"/>
  <c r="H63" i="2"/>
  <c r="E14" i="5" s="1"/>
  <c r="D63" i="2"/>
  <c r="A63" i="2"/>
  <c r="C62" i="2"/>
  <c r="E62" i="2"/>
  <c r="D62" i="2"/>
  <c r="A62" i="2"/>
  <c r="F61" i="2"/>
  <c r="C14" i="3" s="1"/>
  <c r="E61" i="2"/>
  <c r="D61" i="2"/>
  <c r="G60" i="2"/>
  <c r="B14" i="10" s="1"/>
  <c r="F60" i="2"/>
  <c r="B14" i="9" s="1"/>
  <c r="E60" i="2"/>
  <c r="D60" i="2"/>
  <c r="H59" i="2"/>
  <c r="H13" i="5" s="1"/>
  <c r="G59" i="2"/>
  <c r="H13" i="4" s="1"/>
  <c r="F59" i="2"/>
  <c r="H13" i="3" s="1"/>
  <c r="E59" i="2"/>
  <c r="D59" i="2"/>
  <c r="C58" i="2"/>
  <c r="H58" i="2"/>
  <c r="G13" i="5" s="1"/>
  <c r="G58" i="2"/>
  <c r="G13" i="4" s="1"/>
  <c r="A58" i="2"/>
  <c r="C57" i="2"/>
  <c r="H57" i="2"/>
  <c r="F13" i="5" s="1"/>
  <c r="G57" i="2"/>
  <c r="F13" i="4" s="1"/>
  <c r="F57" i="2"/>
  <c r="F13" i="3" s="1"/>
  <c r="A57" i="2"/>
  <c r="C56" i="2"/>
  <c r="H56" i="2"/>
  <c r="E13" i="5" s="1"/>
  <c r="A56" i="2"/>
  <c r="C55" i="2"/>
  <c r="H55" i="2"/>
  <c r="D13" i="5" s="1"/>
  <c r="D55" i="2"/>
  <c r="A55" i="2"/>
  <c r="E54" i="2"/>
  <c r="D54" i="2"/>
  <c r="A54" i="2"/>
  <c r="F53" i="2"/>
  <c r="B13" i="9" s="1"/>
  <c r="E53" i="2"/>
  <c r="D53" i="2"/>
  <c r="G52" i="2"/>
  <c r="H12" i="4" s="1"/>
  <c r="F52" i="2"/>
  <c r="H12" i="3" s="1"/>
  <c r="E52" i="2"/>
  <c r="D52" i="2"/>
  <c r="H51" i="2"/>
  <c r="G12" i="5" s="1"/>
  <c r="G51" i="2"/>
  <c r="G12" i="4" s="1"/>
  <c r="F51" i="2"/>
  <c r="G12" i="3" s="1"/>
  <c r="E51" i="2"/>
  <c r="D51" i="2"/>
  <c r="C50" i="2"/>
  <c r="H50" i="2"/>
  <c r="F12" i="5" s="1"/>
  <c r="G50" i="2"/>
  <c r="F12" i="4" s="1"/>
  <c r="F50" i="2"/>
  <c r="F12" i="3" s="1"/>
  <c r="E50" i="2"/>
  <c r="A50" i="2"/>
  <c r="C49" i="2"/>
  <c r="H49" i="2"/>
  <c r="E12" i="5" s="1"/>
  <c r="G49" i="2"/>
  <c r="E12" i="4" s="1"/>
  <c r="F49" i="2"/>
  <c r="E12" i="3" s="1"/>
  <c r="A49" i="2"/>
  <c r="C48" i="2"/>
  <c r="A48" i="2"/>
  <c r="C47" i="2"/>
  <c r="H47" i="2"/>
  <c r="C12" i="5" s="1"/>
  <c r="D47" i="2"/>
  <c r="A47" i="2"/>
  <c r="C46" i="2"/>
  <c r="A12" i="20" s="1"/>
  <c r="A166" i="20" s="1"/>
  <c r="E46" i="2"/>
  <c r="D46" i="2"/>
  <c r="A46" i="2"/>
  <c r="F45" i="2"/>
  <c r="H10" i="3" s="1"/>
  <c r="E45" i="2"/>
  <c r="D45" i="2"/>
  <c r="F44" i="2"/>
  <c r="G10" i="3" s="1"/>
  <c r="E44" i="2"/>
  <c r="H43" i="2"/>
  <c r="F10" i="5" s="1"/>
  <c r="G43" i="2"/>
  <c r="F10" i="4" s="1"/>
  <c r="F43" i="2"/>
  <c r="F10" i="3" s="1"/>
  <c r="E43" i="2"/>
  <c r="D43" i="2"/>
  <c r="C42" i="2"/>
  <c r="H42" i="2"/>
  <c r="E10" i="5" s="1"/>
  <c r="G42" i="2"/>
  <c r="E10" i="4" s="1"/>
  <c r="F42" i="2"/>
  <c r="E10" i="3" s="1"/>
  <c r="A42" i="2"/>
  <c r="C41" i="2"/>
  <c r="H41" i="2"/>
  <c r="D10" i="5" s="1"/>
  <c r="G41" i="2"/>
  <c r="D10" i="4" s="1"/>
  <c r="F41" i="2"/>
  <c r="D10" i="3" s="1"/>
  <c r="A41" i="2"/>
  <c r="C40" i="2"/>
  <c r="H40" i="2"/>
  <c r="C10" i="5" s="1"/>
  <c r="G40" i="2"/>
  <c r="C10" i="4" s="1"/>
  <c r="A40" i="2"/>
  <c r="C39" i="2"/>
  <c r="A10" i="20" s="1"/>
  <c r="A164" i="20" s="1"/>
  <c r="H39" i="2"/>
  <c r="D39" i="2"/>
  <c r="A39" i="2"/>
  <c r="E38" i="2"/>
  <c r="D38" i="2"/>
  <c r="A38" i="2"/>
  <c r="F37" i="2"/>
  <c r="G9" i="3" s="1"/>
  <c r="E37" i="2"/>
  <c r="D37" i="2"/>
  <c r="G36" i="2"/>
  <c r="F9" i="4" s="1"/>
  <c r="F36" i="2"/>
  <c r="F9" i="3" s="1"/>
  <c r="E36" i="2"/>
  <c r="D36" i="2"/>
  <c r="H35" i="2"/>
  <c r="E9" i="5" s="1"/>
  <c r="G35" i="2"/>
  <c r="E9" i="4" s="1"/>
  <c r="F35" i="2"/>
  <c r="E9" i="3" s="1"/>
  <c r="E35" i="2"/>
  <c r="D35" i="2"/>
  <c r="C34" i="2"/>
  <c r="H34" i="2"/>
  <c r="D9" i="5" s="1"/>
  <c r="G34" i="2"/>
  <c r="D9" i="4" s="1"/>
  <c r="A34" i="2"/>
  <c r="C33" i="2"/>
  <c r="H33" i="2"/>
  <c r="C9" i="5" s="1"/>
  <c r="G33" i="2"/>
  <c r="C9" i="4" s="1"/>
  <c r="F33" i="2"/>
  <c r="C9" i="3" s="1"/>
  <c r="A33" i="2"/>
  <c r="C32" i="2"/>
  <c r="A9" i="20" s="1"/>
  <c r="A163" i="20" s="1"/>
  <c r="H32" i="2"/>
  <c r="A32" i="2"/>
  <c r="C31" i="2"/>
  <c r="H31" i="2"/>
  <c r="H8" i="5" s="1"/>
  <c r="D31" i="2"/>
  <c r="A31" i="2"/>
  <c r="C30" i="2"/>
  <c r="E30" i="2"/>
  <c r="D30" i="2"/>
  <c r="A30" i="2"/>
  <c r="F29" i="2"/>
  <c r="F8" i="3" s="1"/>
  <c r="E29" i="2"/>
  <c r="D29" i="2"/>
  <c r="G28" i="2"/>
  <c r="E8" i="4" s="1"/>
  <c r="F28" i="2"/>
  <c r="E8" i="3" s="1"/>
  <c r="E28" i="2"/>
  <c r="D28" i="2"/>
  <c r="H27" i="2"/>
  <c r="D8" i="5" s="1"/>
  <c r="G27" i="2"/>
  <c r="D8" i="4" s="1"/>
  <c r="F27" i="2"/>
  <c r="D8" i="3" s="1"/>
  <c r="E27" i="2"/>
  <c r="D27" i="2"/>
  <c r="C26" i="2"/>
  <c r="H26" i="2"/>
  <c r="C8" i="5" s="1"/>
  <c r="G26" i="2"/>
  <c r="C8" i="4" s="1"/>
  <c r="F26" i="2"/>
  <c r="C8" i="3" s="1"/>
  <c r="E26" i="2"/>
  <c r="A26" i="2"/>
  <c r="C25" i="2"/>
  <c r="A8" i="20" s="1"/>
  <c r="A162" i="20" s="1"/>
  <c r="H25" i="2"/>
  <c r="G25" i="2"/>
  <c r="B8" i="10" s="1"/>
  <c r="F25" i="2"/>
  <c r="B8" i="9" s="1"/>
  <c r="A25" i="2"/>
  <c r="C24" i="2"/>
  <c r="A24" i="2"/>
  <c r="C23" i="2"/>
  <c r="H23" i="2"/>
  <c r="G7" i="5" s="1"/>
  <c r="D23" i="2"/>
  <c r="A23" i="2"/>
  <c r="C22" i="2"/>
  <c r="E22" i="2"/>
  <c r="D22" i="2"/>
  <c r="A22" i="2"/>
  <c r="F21" i="2"/>
  <c r="E7" i="3" s="1"/>
  <c r="E21" i="2"/>
  <c r="D21" i="2"/>
  <c r="G20" i="2"/>
  <c r="D7" i="4" s="1"/>
  <c r="F20" i="2"/>
  <c r="D7" i="3" s="1"/>
  <c r="E20" i="2"/>
  <c r="D20" i="2"/>
  <c r="H19" i="2"/>
  <c r="C7" i="5" s="1"/>
  <c r="G19" i="2"/>
  <c r="C7" i="4" s="1"/>
  <c r="F19" i="2"/>
  <c r="C7" i="3" s="1"/>
  <c r="E19" i="2"/>
  <c r="D19" i="2"/>
  <c r="C18" i="2"/>
  <c r="A7" i="20" s="1"/>
  <c r="A161" i="20" s="1"/>
  <c r="H18" i="2"/>
  <c r="G18" i="2"/>
  <c r="B7" i="10" s="1"/>
  <c r="F18" i="2"/>
  <c r="B7" i="9" s="1"/>
  <c r="E18" i="2"/>
  <c r="A18" i="2"/>
  <c r="C17" i="2"/>
  <c r="H17" i="2"/>
  <c r="H6" i="5" s="1"/>
  <c r="G17" i="2"/>
  <c r="H6" i="4" s="1"/>
  <c r="A17" i="2"/>
  <c r="C16" i="2"/>
  <c r="H16" i="2"/>
  <c r="G6" i="5" s="1"/>
  <c r="G16" i="2"/>
  <c r="G6" i="4" s="1"/>
  <c r="A16" i="2"/>
  <c r="C15" i="2"/>
  <c r="D15" i="2"/>
  <c r="A15" i="2"/>
  <c r="C14" i="2"/>
  <c r="E14" i="2"/>
  <c r="D14" i="2"/>
  <c r="F13" i="2"/>
  <c r="D6" i="3" s="1"/>
  <c r="E13" i="2"/>
  <c r="D13" i="2"/>
  <c r="G12" i="2"/>
  <c r="C6" i="4" s="1"/>
  <c r="F12" i="2"/>
  <c r="C6" i="3" s="1"/>
  <c r="E12" i="2"/>
  <c r="D12" i="2"/>
  <c r="H11" i="2"/>
  <c r="G11" i="2"/>
  <c r="B6" i="10" s="1"/>
  <c r="F11" i="2"/>
  <c r="B6" i="9" s="1"/>
  <c r="E11" i="2"/>
  <c r="C10" i="2"/>
  <c r="H10" i="2"/>
  <c r="H5" i="5" s="1"/>
  <c r="G10" i="2"/>
  <c r="H5" i="4" s="1"/>
  <c r="F10" i="2"/>
  <c r="H5" i="3" s="1"/>
  <c r="E10" i="2"/>
  <c r="A10" i="2"/>
  <c r="C9" i="2"/>
  <c r="H9" i="2"/>
  <c r="G5" i="5" s="1"/>
  <c r="G9" i="2"/>
  <c r="G5" i="4" s="1"/>
  <c r="G3" i="3"/>
  <c r="A9" i="2"/>
  <c r="C8" i="2"/>
  <c r="H8" i="2"/>
  <c r="F5" i="5" s="1"/>
  <c r="G8" i="2"/>
  <c r="F5" i="4" s="1"/>
  <c r="F3" i="3"/>
  <c r="A8" i="2"/>
  <c r="C7" i="2"/>
  <c r="H7" i="2"/>
  <c r="E5" i="5" s="1"/>
  <c r="D7" i="2"/>
  <c r="E3" i="3"/>
  <c r="A7" i="2"/>
  <c r="C6" i="2"/>
  <c r="E6" i="2"/>
  <c r="D6" i="2"/>
  <c r="D3" i="3"/>
  <c r="A6" i="2"/>
  <c r="F5" i="2"/>
  <c r="C5" i="3" s="1"/>
  <c r="E5" i="2"/>
  <c r="D5" i="2"/>
  <c r="G4" i="2"/>
  <c r="B5" i="10" s="1"/>
  <c r="F4" i="2"/>
  <c r="B5" i="9" s="1"/>
  <c r="E4" i="2"/>
  <c r="D4" i="2"/>
  <c r="C1074" i="2"/>
  <c r="H1074" i="2"/>
  <c r="G1074" i="2"/>
  <c r="D1074" i="2"/>
  <c r="F1073" i="2"/>
  <c r="E1073" i="2"/>
  <c r="F1072" i="2"/>
  <c r="G1071" i="2"/>
  <c r="C1070" i="2"/>
  <c r="H1070" i="2"/>
  <c r="A1070" i="2"/>
  <c r="C1069" i="2"/>
  <c r="H1067" i="2"/>
  <c r="D1066" i="2"/>
  <c r="F1065" i="2"/>
  <c r="E1065" i="2"/>
  <c r="F1064" i="2"/>
  <c r="G1063" i="2"/>
  <c r="A1061" i="2"/>
  <c r="E1057" i="2"/>
  <c r="G1056" i="2"/>
  <c r="D157" i="4" s="1"/>
  <c r="F1056" i="2"/>
  <c r="D157" i="3" s="1"/>
  <c r="H1055" i="2"/>
  <c r="C157" i="5" s="1"/>
  <c r="G1055" i="2"/>
  <c r="C157" i="4" s="1"/>
  <c r="C1053" i="2"/>
  <c r="A1053" i="2"/>
  <c r="G1052" i="2"/>
  <c r="G155" i="4" s="1"/>
  <c r="D1051" i="2"/>
  <c r="E1050" i="2"/>
  <c r="D1050" i="2"/>
  <c r="E1049" i="2"/>
  <c r="F1048" i="2"/>
  <c r="C155" i="3" s="1"/>
  <c r="H1047" i="2"/>
  <c r="G1047" i="2"/>
  <c r="B155" i="10" s="1"/>
  <c r="C1046" i="2"/>
  <c r="C1045" i="2"/>
  <c r="A1045" i="2"/>
  <c r="D1042" i="2"/>
  <c r="F1041" i="2"/>
  <c r="C153" i="3" s="1"/>
  <c r="E1041" i="2"/>
  <c r="G1040" i="2"/>
  <c r="B153" i="10" s="1"/>
  <c r="F1040" i="2"/>
  <c r="B153" i="9" s="1"/>
  <c r="G1039" i="2"/>
  <c r="H152" i="4" s="1"/>
  <c r="H1038" i="2"/>
  <c r="G152" i="5" s="1"/>
  <c r="C1037" i="2"/>
  <c r="E1034" i="2"/>
  <c r="D1034" i="2"/>
  <c r="E1033" i="2"/>
  <c r="F1032" i="2"/>
  <c r="H151" i="3" s="1"/>
  <c r="G1031" i="2"/>
  <c r="G151" i="4" s="1"/>
  <c r="A1030" i="2"/>
  <c r="D1027" i="2"/>
  <c r="E1026" i="2"/>
  <c r="D1026" i="2"/>
  <c r="E1025" i="2"/>
  <c r="F1024" i="2"/>
  <c r="G150" i="3" s="1"/>
  <c r="G1023" i="2"/>
  <c r="F150" i="4" s="1"/>
  <c r="C1022" i="2"/>
  <c r="H1022" i="2"/>
  <c r="E150" i="5" s="1"/>
  <c r="C1021" i="2"/>
  <c r="A1021" i="2"/>
  <c r="E1018" i="2"/>
  <c r="F1017" i="2"/>
  <c r="G149" i="3" s="1"/>
  <c r="E1017" i="2"/>
  <c r="G1016" i="2"/>
  <c r="F149" i="4" s="1"/>
  <c r="F1016" i="2"/>
  <c r="F149" i="3" s="1"/>
  <c r="G1015" i="2"/>
  <c r="E149" i="4" s="1"/>
  <c r="H1014" i="2"/>
  <c r="D149" i="5" s="1"/>
  <c r="C1013" i="2"/>
  <c r="A1013" i="2"/>
  <c r="D1010" i="2"/>
  <c r="F1008" i="2"/>
  <c r="E148" i="3" s="1"/>
  <c r="H1007" i="2"/>
  <c r="D148" i="5" s="1"/>
  <c r="G1007" i="2"/>
  <c r="D148" i="4" s="1"/>
  <c r="H1006" i="2"/>
  <c r="C148" i="5" s="1"/>
  <c r="C1005" i="2"/>
  <c r="A148" i="20" s="1"/>
  <c r="D1002" i="2"/>
  <c r="F1001" i="2"/>
  <c r="E1001" i="2"/>
  <c r="F1000" i="2"/>
  <c r="H999" i="2"/>
  <c r="G999" i="2"/>
  <c r="H998" i="2"/>
  <c r="C997" i="2"/>
  <c r="A997" i="2"/>
  <c r="E994" i="2"/>
  <c r="D994" i="2"/>
  <c r="F993" i="2"/>
  <c r="E993" i="2"/>
  <c r="F992" i="2"/>
  <c r="G991" i="2"/>
  <c r="C990" i="2"/>
  <c r="A990" i="2"/>
  <c r="C989" i="2"/>
  <c r="A989" i="2"/>
  <c r="D986" i="2"/>
  <c r="F985" i="2"/>
  <c r="C146" i="3" s="1"/>
  <c r="E985" i="2"/>
  <c r="G984" i="2"/>
  <c r="B146" i="10" s="1"/>
  <c r="F984" i="2"/>
  <c r="B146" i="9" s="1"/>
  <c r="G983" i="2"/>
  <c r="H144" i="4" s="1"/>
  <c r="C981" i="2"/>
  <c r="A981" i="2"/>
  <c r="D979" i="2"/>
  <c r="E978" i="2"/>
  <c r="D978" i="2"/>
  <c r="E977" i="2"/>
  <c r="F976" i="2"/>
  <c r="H142" i="3" s="1"/>
  <c r="G975" i="2"/>
  <c r="G142" i="4" s="1"/>
  <c r="H974" i="2"/>
  <c r="F142" i="5" s="1"/>
  <c r="A974" i="2"/>
  <c r="C973" i="2"/>
  <c r="A973" i="2"/>
  <c r="D970" i="2"/>
  <c r="F969" i="2"/>
  <c r="H141" i="3" s="1"/>
  <c r="F968" i="2"/>
  <c r="G141" i="3" s="1"/>
  <c r="G967" i="2"/>
  <c r="F141" i="4" s="1"/>
  <c r="A966" i="2"/>
  <c r="A965" i="2"/>
  <c r="E961" i="2"/>
  <c r="G960" i="2"/>
  <c r="F140" i="4" s="1"/>
  <c r="F960" i="2"/>
  <c r="F140" i="3" s="1"/>
  <c r="H959" i="2"/>
  <c r="E140" i="5" s="1"/>
  <c r="G959" i="2"/>
  <c r="E140" i="4" s="1"/>
  <c r="H958" i="2"/>
  <c r="D140" i="5" s="1"/>
  <c r="C957" i="2"/>
  <c r="A957" i="2"/>
  <c r="D955" i="2"/>
  <c r="F953" i="2"/>
  <c r="F139" i="3" s="1"/>
  <c r="E953" i="2"/>
  <c r="G952" i="2"/>
  <c r="E139" i="4" s="1"/>
  <c r="F952" i="2"/>
  <c r="E139" i="3" s="1"/>
  <c r="G951" i="2"/>
  <c r="D139" i="4" s="1"/>
  <c r="H950" i="2"/>
  <c r="C139" i="5" s="1"/>
  <c r="A949" i="2"/>
  <c r="F944" i="2"/>
  <c r="D138" i="3" s="1"/>
  <c r="G943" i="2"/>
  <c r="C138" i="4" s="1"/>
  <c r="H942" i="2"/>
  <c r="C941" i="2"/>
  <c r="A941" i="2"/>
  <c r="D939" i="2"/>
  <c r="D938" i="2"/>
  <c r="F937" i="2"/>
  <c r="D137" i="3" s="1"/>
  <c r="F936" i="2"/>
  <c r="C137" i="3" s="1"/>
  <c r="G935" i="2"/>
  <c r="B137" i="10" s="1"/>
  <c r="H934" i="2"/>
  <c r="C933" i="2"/>
  <c r="A933" i="2"/>
  <c r="F928" i="2"/>
  <c r="G927" i="2"/>
  <c r="C926" i="2"/>
  <c r="H926" i="2"/>
  <c r="A925" i="2"/>
  <c r="D922" i="2"/>
  <c r="E921" i="2"/>
  <c r="G920" i="2"/>
  <c r="H135" i="4" s="1"/>
  <c r="F920" i="2"/>
  <c r="H135" i="3" s="1"/>
  <c r="G919" i="2"/>
  <c r="G135" i="4" s="1"/>
  <c r="H918" i="2"/>
  <c r="F135" i="5" s="1"/>
  <c r="C917" i="2"/>
  <c r="A917" i="2"/>
  <c r="D914" i="2"/>
  <c r="F913" i="2"/>
  <c r="G912" i="2"/>
  <c r="G133" i="10" s="1"/>
  <c r="G133" i="16" s="1"/>
  <c r="F912" i="2"/>
  <c r="G133" i="9" s="1"/>
  <c r="G133" i="18" s="1"/>
  <c r="G911" i="2"/>
  <c r="F133" i="10" s="1"/>
  <c r="F133" i="16" s="1"/>
  <c r="H910" i="2"/>
  <c r="C909" i="2"/>
  <c r="D907" i="2"/>
  <c r="D906" i="2"/>
  <c r="E905" i="2"/>
  <c r="G904" i="2"/>
  <c r="F132" i="10" s="1"/>
  <c r="F904" i="2"/>
  <c r="F132" i="9" s="1"/>
  <c r="F132" i="18" s="1"/>
  <c r="H903" i="2"/>
  <c r="G903" i="2"/>
  <c r="E132" i="10" s="1"/>
  <c r="C902" i="2"/>
  <c r="C901" i="2"/>
  <c r="A901" i="2"/>
  <c r="E898" i="2"/>
  <c r="D898" i="2"/>
  <c r="F897" i="2"/>
  <c r="F131" i="3" s="1"/>
  <c r="E897" i="2"/>
  <c r="F896" i="2"/>
  <c r="E131" i="3" s="1"/>
  <c r="G895" i="2"/>
  <c r="D131" i="4" s="1"/>
  <c r="C893" i="2"/>
  <c r="A131" i="20" s="1"/>
  <c r="E889" i="2"/>
  <c r="G888" i="2"/>
  <c r="D130" i="4" s="1"/>
  <c r="F888" i="2"/>
  <c r="D130" i="3" s="1"/>
  <c r="G887" i="2"/>
  <c r="C130" i="4" s="1"/>
  <c r="H886" i="2"/>
  <c r="C885" i="2"/>
  <c r="A885" i="2"/>
  <c r="G884" i="2"/>
  <c r="G129" i="4" s="1"/>
  <c r="D882" i="2"/>
  <c r="E881" i="2"/>
  <c r="G879" i="2"/>
  <c r="B129" i="10" s="1"/>
  <c r="H878" i="2"/>
  <c r="H128" i="5" s="1"/>
  <c r="C877" i="2"/>
  <c r="A877" i="2"/>
  <c r="F872" i="2"/>
  <c r="B128" i="9" s="1"/>
  <c r="H871" i="2"/>
  <c r="H127" i="5" s="1"/>
  <c r="G871" i="2"/>
  <c r="H127" i="4" s="1"/>
  <c r="H870" i="2"/>
  <c r="G127" i="5" s="1"/>
  <c r="C869" i="2"/>
  <c r="A869" i="2"/>
  <c r="D866" i="2"/>
  <c r="E865" i="2"/>
  <c r="G863" i="2"/>
  <c r="G126" i="4" s="1"/>
  <c r="C862" i="2"/>
  <c r="A862" i="2"/>
  <c r="C861" i="2"/>
  <c r="A861" i="2"/>
  <c r="E858" i="2"/>
  <c r="D858" i="2"/>
  <c r="F857" i="2"/>
  <c r="G856" i="2"/>
  <c r="G855" i="2"/>
  <c r="H854" i="2"/>
  <c r="A853" i="2"/>
  <c r="D851" i="2"/>
  <c r="D850" i="2"/>
  <c r="E849" i="2"/>
  <c r="F848" i="2"/>
  <c r="G847" i="2"/>
  <c r="C846" i="2"/>
  <c r="H846" i="2"/>
  <c r="A846" i="2"/>
  <c r="A845" i="2"/>
  <c r="D842" i="2"/>
  <c r="F841" i="2"/>
  <c r="F124" i="3" s="1"/>
  <c r="G840" i="2"/>
  <c r="E124" i="4" s="1"/>
  <c r="F840" i="2"/>
  <c r="E124" i="3" s="1"/>
  <c r="A838" i="2"/>
  <c r="C837" i="2"/>
  <c r="A124" i="20" s="1"/>
  <c r="D834" i="2"/>
  <c r="E833" i="2"/>
  <c r="G832" i="2"/>
  <c r="D122" i="4" s="1"/>
  <c r="H831" i="2"/>
  <c r="C122" i="5" s="1"/>
  <c r="G831" i="2"/>
  <c r="C122" i="4" s="1"/>
  <c r="C829" i="2"/>
  <c r="A829" i="2"/>
  <c r="D827" i="2"/>
  <c r="E826" i="2"/>
  <c r="D826" i="2"/>
  <c r="E825" i="2"/>
  <c r="G823" i="2"/>
  <c r="B120" i="10" s="1"/>
  <c r="A821" i="2"/>
  <c r="E817" i="2"/>
  <c r="G816" i="2"/>
  <c r="B119" i="10" s="1"/>
  <c r="F816" i="2"/>
  <c r="B119" i="9" s="1"/>
  <c r="G815" i="2"/>
  <c r="H118" i="4" s="1"/>
  <c r="H814" i="2"/>
  <c r="G118" i="5" s="1"/>
  <c r="A813" i="2"/>
  <c r="E810" i="2"/>
  <c r="E809" i="2"/>
  <c r="G807" i="2"/>
  <c r="G117" i="4" s="1"/>
  <c r="C806" i="2"/>
  <c r="H806" i="2"/>
  <c r="F117" i="5" s="1"/>
  <c r="A806" i="2"/>
  <c r="C805" i="2"/>
  <c r="E801" i="2"/>
  <c r="G800" i="2"/>
  <c r="G116" i="4" s="1"/>
  <c r="F800" i="2"/>
  <c r="G116" i="3" s="1"/>
  <c r="G799" i="2"/>
  <c r="F116" i="4" s="1"/>
  <c r="H798" i="2"/>
  <c r="E116" i="5" s="1"/>
  <c r="C797" i="2"/>
  <c r="A797" i="2"/>
  <c r="D795" i="2"/>
  <c r="D794" i="2"/>
  <c r="E793" i="2"/>
  <c r="G792" i="2"/>
  <c r="F115" i="4" s="1"/>
  <c r="H791" i="2"/>
  <c r="E115" i="5" s="1"/>
  <c r="G791" i="2"/>
  <c r="E115" i="4" s="1"/>
  <c r="H790" i="2"/>
  <c r="D115" i="5" s="1"/>
  <c r="C789" i="2"/>
  <c r="D787" i="2"/>
  <c r="E786" i="2"/>
  <c r="D786" i="2"/>
  <c r="F784" i="2"/>
  <c r="H782" i="2"/>
  <c r="A782" i="2"/>
  <c r="D779" i="2"/>
  <c r="D778" i="2"/>
  <c r="E777" i="2"/>
  <c r="F776" i="2"/>
  <c r="H775" i="2"/>
  <c r="C774" i="2"/>
  <c r="H774" i="2"/>
  <c r="C773" i="2"/>
  <c r="A773" i="2"/>
  <c r="E770" i="2"/>
  <c r="E769" i="2"/>
  <c r="F768" i="2"/>
  <c r="C113" i="3" s="1"/>
  <c r="H767" i="2"/>
  <c r="C766" i="2"/>
  <c r="A765" i="2"/>
  <c r="D762" i="2"/>
  <c r="F761" i="2"/>
  <c r="C111" i="3" s="1"/>
  <c r="E761" i="2"/>
  <c r="G760" i="2"/>
  <c r="B111" i="10" s="1"/>
  <c r="H758" i="2"/>
  <c r="G110" i="5" s="1"/>
  <c r="A757" i="2"/>
  <c r="G754" i="2"/>
  <c r="C110" i="4" s="1"/>
  <c r="E754" i="2"/>
  <c r="D754" i="2"/>
  <c r="E753" i="2"/>
  <c r="G751" i="2"/>
  <c r="G109" i="4" s="1"/>
  <c r="C749" i="2"/>
  <c r="A749" i="2"/>
  <c r="E745" i="2"/>
  <c r="G743" i="2"/>
  <c r="F108" i="4" s="1"/>
  <c r="C741" i="2"/>
  <c r="A741" i="2"/>
  <c r="E738" i="2"/>
  <c r="F737" i="2"/>
  <c r="G107" i="3" s="1"/>
  <c r="E737" i="2"/>
  <c r="F736" i="2"/>
  <c r="F107" i="3" s="1"/>
  <c r="H734" i="2"/>
  <c r="D107" i="5" s="1"/>
  <c r="C733" i="2"/>
  <c r="A733" i="2"/>
  <c r="D731" i="2"/>
  <c r="E729" i="2"/>
  <c r="C726" i="2"/>
  <c r="H726" i="2"/>
  <c r="C106" i="5" s="1"/>
  <c r="A726" i="2"/>
  <c r="A725" i="2"/>
  <c r="D722" i="2"/>
  <c r="E721" i="2"/>
  <c r="F720" i="2"/>
  <c r="D105" i="3" s="1"/>
  <c r="A718" i="2"/>
  <c r="A717" i="2"/>
  <c r="E713" i="2"/>
  <c r="F712" i="2"/>
  <c r="C104" i="3" s="1"/>
  <c r="G711" i="2"/>
  <c r="B104" i="10" s="1"/>
  <c r="C710" i="2"/>
  <c r="A710" i="2"/>
  <c r="C709" i="2"/>
  <c r="A709" i="2"/>
  <c r="F705" i="2"/>
  <c r="E705" i="2"/>
  <c r="G704" i="2"/>
  <c r="F704" i="2"/>
  <c r="A701" i="2"/>
  <c r="D699" i="2"/>
  <c r="E698" i="2"/>
  <c r="D698" i="2"/>
  <c r="E697" i="2"/>
  <c r="F696" i="2"/>
  <c r="H102" i="3" s="1"/>
  <c r="G695" i="2"/>
  <c r="G102" i="4" s="1"/>
  <c r="H694" i="2"/>
  <c r="F102" i="5" s="1"/>
  <c r="A694" i="2"/>
  <c r="A693" i="2"/>
  <c r="E689" i="2"/>
  <c r="G688" i="2"/>
  <c r="G101" i="4" s="1"/>
  <c r="F688" i="2"/>
  <c r="G101" i="3" s="1"/>
  <c r="C685" i="2"/>
  <c r="A685" i="2"/>
  <c r="E682" i="2"/>
  <c r="F681" i="2"/>
  <c r="G100" i="9" s="1"/>
  <c r="E681" i="2"/>
  <c r="G679" i="2"/>
  <c r="E100" i="10" s="1"/>
  <c r="A677" i="2"/>
  <c r="E674" i="2"/>
  <c r="D674" i="2"/>
  <c r="E673" i="2"/>
  <c r="G672" i="2"/>
  <c r="E99" i="10" s="1"/>
  <c r="F672" i="2"/>
  <c r="E99" i="9" s="1"/>
  <c r="A669" i="2"/>
  <c r="D667" i="2"/>
  <c r="E666" i="2"/>
  <c r="D666" i="2"/>
  <c r="F665" i="2"/>
  <c r="E98" i="3" s="1"/>
  <c r="E665" i="2"/>
  <c r="G663" i="2"/>
  <c r="C98" i="4" s="1"/>
  <c r="H662" i="2"/>
  <c r="A662" i="2"/>
  <c r="A661" i="2"/>
  <c r="E657" i="2"/>
  <c r="G656" i="2"/>
  <c r="C97" i="4" s="1"/>
  <c r="F656" i="2"/>
  <c r="C97" i="3" s="1"/>
  <c r="G655" i="2"/>
  <c r="B97" i="10" s="1"/>
  <c r="H654" i="2"/>
  <c r="H96" i="5" s="1"/>
  <c r="C653" i="2"/>
  <c r="A653" i="2"/>
  <c r="D651" i="2"/>
  <c r="D650" i="2"/>
  <c r="E649" i="2"/>
  <c r="F648" i="2"/>
  <c r="B96" i="9" s="1"/>
  <c r="G647" i="2"/>
  <c r="H95" i="4" s="1"/>
  <c r="C646" i="2"/>
  <c r="A646" i="2"/>
  <c r="A645" i="2"/>
  <c r="E641" i="2"/>
  <c r="F640" i="2"/>
  <c r="H94" i="3" s="1"/>
  <c r="G639" i="2"/>
  <c r="G94" i="4" s="1"/>
  <c r="A638" i="2"/>
  <c r="A637" i="2"/>
  <c r="E633" i="2"/>
  <c r="F632" i="2"/>
  <c r="G93" i="3" s="1"/>
  <c r="C629" i="2"/>
  <c r="A629" i="2"/>
  <c r="E626" i="2"/>
  <c r="D626" i="2"/>
  <c r="E625" i="2"/>
  <c r="G623" i="2"/>
  <c r="H622" i="2"/>
  <c r="A621" i="2"/>
  <c r="D619" i="2"/>
  <c r="E618" i="2"/>
  <c r="D618" i="2"/>
  <c r="E617" i="2"/>
  <c r="F616" i="2"/>
  <c r="G615" i="2"/>
  <c r="C614" i="2"/>
  <c r="A614" i="2"/>
  <c r="A613" i="2"/>
  <c r="D611" i="2"/>
  <c r="E609" i="2"/>
  <c r="F608" i="2"/>
  <c r="D91" i="3" s="1"/>
  <c r="G607" i="2"/>
  <c r="C91" i="4" s="1"/>
  <c r="H606" i="2"/>
  <c r="A606" i="2"/>
  <c r="C605" i="2"/>
  <c r="E601" i="2"/>
  <c r="G599" i="2"/>
  <c r="B90" i="10" s="1"/>
  <c r="C597" i="2"/>
  <c r="A597" i="2"/>
  <c r="E593" i="2"/>
  <c r="F592" i="2"/>
  <c r="B89" i="9" s="1"/>
  <c r="H591" i="2"/>
  <c r="H87" i="5" s="1"/>
  <c r="C590" i="2"/>
  <c r="H590" i="2"/>
  <c r="G87" i="5" s="1"/>
  <c r="C589" i="2"/>
  <c r="E586" i="2"/>
  <c r="D586" i="2"/>
  <c r="F585" i="2"/>
  <c r="B87" i="9" s="1"/>
  <c r="E585" i="2"/>
  <c r="G584" i="2"/>
  <c r="H86" i="4" s="1"/>
  <c r="G583" i="2"/>
  <c r="G86" i="4" s="1"/>
  <c r="H582" i="2"/>
  <c r="F86" i="5" s="1"/>
  <c r="A581" i="2"/>
  <c r="D579" i="2"/>
  <c r="E578" i="2"/>
  <c r="D578" i="2"/>
  <c r="E577" i="2"/>
  <c r="F576" i="2"/>
  <c r="G85" i="3" s="1"/>
  <c r="A573" i="2"/>
  <c r="D571" i="2"/>
  <c r="E570" i="2"/>
  <c r="F569" i="2"/>
  <c r="G84" i="3" s="1"/>
  <c r="E569" i="2"/>
  <c r="F568" i="2"/>
  <c r="F84" i="3" s="1"/>
  <c r="C565" i="2"/>
  <c r="D563" i="2"/>
  <c r="E562" i="2"/>
  <c r="E561" i="2"/>
  <c r="C558" i="2"/>
  <c r="H558" i="2"/>
  <c r="C83" i="5" s="1"/>
  <c r="D554" i="2"/>
  <c r="E553" i="2"/>
  <c r="G552" i="2"/>
  <c r="D82" i="4" s="1"/>
  <c r="F552" i="2"/>
  <c r="D82" i="3" s="1"/>
  <c r="G551" i="2"/>
  <c r="C82" i="4" s="1"/>
  <c r="A549" i="2"/>
  <c r="E546" i="2"/>
  <c r="H545" i="2"/>
  <c r="F545" i="2"/>
  <c r="E545" i="2"/>
  <c r="G544" i="2"/>
  <c r="F544" i="2"/>
  <c r="G543" i="2"/>
  <c r="A541" i="2"/>
  <c r="D539" i="2"/>
  <c r="E538" i="2"/>
  <c r="D538" i="2"/>
  <c r="E537" i="2"/>
  <c r="A534" i="2"/>
  <c r="C533" i="2"/>
  <c r="E529" i="2"/>
  <c r="F528" i="2"/>
  <c r="H78" i="3" s="1"/>
  <c r="H526" i="2"/>
  <c r="F78" i="5" s="1"/>
  <c r="C525" i="2"/>
  <c r="D522" i="2"/>
  <c r="F521" i="2"/>
  <c r="H77" i="3" s="1"/>
  <c r="E521" i="2"/>
  <c r="G519" i="2"/>
  <c r="F77" i="4" s="1"/>
  <c r="H518" i="2"/>
  <c r="E77" i="5" s="1"/>
  <c r="C517" i="2"/>
  <c r="A517" i="2"/>
  <c r="D515" i="2"/>
  <c r="E514" i="2"/>
  <c r="D514" i="2"/>
  <c r="E513" i="2"/>
  <c r="F512" i="2"/>
  <c r="F76" i="3" s="1"/>
  <c r="A510" i="2"/>
  <c r="A509" i="2"/>
  <c r="D507" i="2"/>
  <c r="E506" i="2"/>
  <c r="F505" i="2"/>
  <c r="F75" i="3" s="1"/>
  <c r="E505" i="2"/>
  <c r="F504" i="2"/>
  <c r="E75" i="3" s="1"/>
  <c r="C501" i="2"/>
  <c r="A75" i="20" s="1"/>
  <c r="E498" i="2"/>
  <c r="E497" i="2"/>
  <c r="F496" i="2"/>
  <c r="D74" i="3" s="1"/>
  <c r="C494" i="2"/>
  <c r="A74" i="20" s="1"/>
  <c r="H494" i="2"/>
  <c r="E490" i="2"/>
  <c r="D490" i="2"/>
  <c r="E489" i="2"/>
  <c r="G487" i="2"/>
  <c r="B73" i="10" s="1"/>
  <c r="C486" i="2"/>
  <c r="A485" i="2"/>
  <c r="E482" i="2"/>
  <c r="E481" i="2"/>
  <c r="G480" i="2"/>
  <c r="B72" i="10" s="1"/>
  <c r="F480" i="2"/>
  <c r="B72" i="9" s="1"/>
  <c r="H479" i="2"/>
  <c r="H71" i="5" s="1"/>
  <c r="G479" i="2"/>
  <c r="H71" i="4" s="1"/>
  <c r="G471" i="2"/>
  <c r="D467" i="2"/>
  <c r="D466" i="2"/>
  <c r="E465" i="2"/>
  <c r="A461" i="2"/>
  <c r="F456" i="2"/>
  <c r="F69" i="3" s="1"/>
  <c r="H446" i="2"/>
  <c r="C67" i="5" s="1"/>
  <c r="F441" i="2"/>
  <c r="E65" i="3" s="1"/>
  <c r="E441" i="2"/>
  <c r="C438" i="2"/>
  <c r="A65" i="20" s="1"/>
  <c r="C437" i="2"/>
  <c r="A437" i="2"/>
  <c r="G431" i="2"/>
  <c r="B64" i="10" s="1"/>
  <c r="D427" i="2"/>
  <c r="D426" i="2"/>
  <c r="H422" i="2"/>
  <c r="G62" i="5" s="1"/>
  <c r="F417" i="2"/>
  <c r="B62" i="9" s="1"/>
  <c r="F416" i="2"/>
  <c r="H61" i="3" s="1"/>
  <c r="C413" i="2"/>
  <c r="H407" i="2"/>
  <c r="F60" i="5" s="1"/>
  <c r="G407" i="2"/>
  <c r="F60" i="4" s="1"/>
  <c r="E402" i="2"/>
  <c r="D402" i="2"/>
  <c r="E401" i="2"/>
  <c r="A398" i="2"/>
  <c r="A397" i="2"/>
  <c r="F392" i="2"/>
  <c r="G388" i="2"/>
  <c r="H58" i="4" s="1"/>
  <c r="H382" i="2"/>
  <c r="F377" i="2"/>
  <c r="D57" i="3" s="1"/>
  <c r="E377" i="2"/>
  <c r="C373" i="2"/>
  <c r="A373" i="2"/>
  <c r="G367" i="2"/>
  <c r="H55" i="4" s="1"/>
  <c r="D362" i="2"/>
  <c r="H358" i="2"/>
  <c r="F54" i="5" s="1"/>
  <c r="A358" i="2"/>
  <c r="F352" i="2"/>
  <c r="G53" i="3" s="1"/>
  <c r="C350" i="2"/>
  <c r="C349" i="2"/>
  <c r="G343" i="2"/>
  <c r="E52" i="4" s="1"/>
  <c r="E338" i="2"/>
  <c r="D338" i="2"/>
  <c r="E337" i="2"/>
  <c r="A333" i="2"/>
  <c r="F328" i="2"/>
  <c r="D50" i="3" s="1"/>
  <c r="H318" i="2"/>
  <c r="E314" i="2"/>
  <c r="E313" i="2"/>
  <c r="C309" i="2"/>
  <c r="A309" i="2"/>
  <c r="G304" i="2"/>
  <c r="H47" i="4" s="1"/>
  <c r="G303" i="2"/>
  <c r="G47" i="4" s="1"/>
  <c r="D298" i="2"/>
  <c r="H294" i="2"/>
  <c r="E45" i="5" s="1"/>
  <c r="F289" i="2"/>
  <c r="G43" i="3" s="1"/>
  <c r="F288" i="2"/>
  <c r="F43" i="3" s="1"/>
  <c r="C286" i="2"/>
  <c r="C285" i="2"/>
  <c r="G279" i="2"/>
  <c r="D42" i="4" s="1"/>
  <c r="D275" i="2"/>
  <c r="E274" i="2"/>
  <c r="D274" i="2"/>
  <c r="E273" i="2"/>
  <c r="C269" i="2"/>
  <c r="C262" i="2"/>
  <c r="C261" i="2"/>
  <c r="C254" i="2"/>
  <c r="C253" i="2"/>
  <c r="C245" i="2"/>
  <c r="C238" i="2"/>
  <c r="C237" i="2"/>
  <c r="C229" i="2"/>
  <c r="E228" i="2"/>
  <c r="C222" i="2"/>
  <c r="C221" i="2"/>
  <c r="C213" i="2"/>
  <c r="C206" i="2"/>
  <c r="C205" i="2"/>
  <c r="C197" i="2"/>
  <c r="C190" i="2"/>
  <c r="C189" i="2"/>
  <c r="C181" i="2"/>
  <c r="C173" i="2"/>
  <c r="C166" i="2"/>
  <c r="C165" i="2"/>
  <c r="A27" i="20" s="1"/>
  <c r="C157" i="2"/>
  <c r="C149" i="2"/>
  <c r="C141" i="2"/>
  <c r="C133" i="2"/>
  <c r="E133" i="2"/>
  <c r="D133" i="2"/>
  <c r="C125" i="2"/>
  <c r="C117" i="2"/>
  <c r="C109" i="2"/>
  <c r="A20" i="20" s="1"/>
  <c r="C101" i="2"/>
  <c r="C93" i="2"/>
  <c r="C85" i="2"/>
  <c r="C77" i="2"/>
  <c r="C70" i="2"/>
  <c r="C69" i="2"/>
  <c r="C61" i="2"/>
  <c r="C54" i="2"/>
  <c r="C53" i="2"/>
  <c r="A13" i="20" s="1"/>
  <c r="A167" i="20" s="1"/>
  <c r="C45" i="2"/>
  <c r="G44" i="2"/>
  <c r="G10" i="4" s="1"/>
  <c r="C38" i="2"/>
  <c r="C37" i="2"/>
  <c r="C29" i="2"/>
  <c r="C21" i="2"/>
  <c r="C13" i="2"/>
  <c r="C5" i="2"/>
  <c r="C3" i="3"/>
  <c r="B3" i="3"/>
  <c r="A48" i="4"/>
  <c r="A4" i="2"/>
  <c r="A4" i="20" s="1"/>
  <c r="E1074" i="2"/>
  <c r="D1073" i="2"/>
  <c r="E1072" i="2"/>
  <c r="D1072" i="2"/>
  <c r="F1071" i="2"/>
  <c r="E1071" i="2"/>
  <c r="G1070" i="2"/>
  <c r="F1070" i="2"/>
  <c r="H1069" i="2"/>
  <c r="G1069" i="2"/>
  <c r="A1069" i="2"/>
  <c r="H1068" i="2"/>
  <c r="C1068" i="2"/>
  <c r="A1068" i="2"/>
  <c r="D1067" i="2"/>
  <c r="C1067" i="2"/>
  <c r="A1067" i="2"/>
  <c r="D1065" i="2"/>
  <c r="E1064" i="2"/>
  <c r="D1064" i="2"/>
  <c r="F1063" i="2"/>
  <c r="E1063" i="2"/>
  <c r="H1062" i="2"/>
  <c r="G1062" i="2"/>
  <c r="F1062" i="2"/>
  <c r="H1061" i="2"/>
  <c r="G1061" i="2"/>
  <c r="C1061" i="2"/>
  <c r="H1060" i="2"/>
  <c r="H157" i="5" s="1"/>
  <c r="C1060" i="2"/>
  <c r="A1060" i="2"/>
  <c r="C1059" i="2"/>
  <c r="A1059" i="2"/>
  <c r="D1058" i="2"/>
  <c r="D1057" i="2"/>
  <c r="E1056" i="2"/>
  <c r="D1056" i="2"/>
  <c r="F1055" i="2"/>
  <c r="C157" i="3" s="1"/>
  <c r="E1055" i="2"/>
  <c r="H1054" i="2"/>
  <c r="G1054" i="2"/>
  <c r="B157" i="10" s="1"/>
  <c r="F1054" i="2"/>
  <c r="B157" i="9" s="1"/>
  <c r="A1054" i="2"/>
  <c r="H1053" i="2"/>
  <c r="H155" i="5" s="1"/>
  <c r="G1053" i="2"/>
  <c r="H155" i="4" s="1"/>
  <c r="H1052" i="2"/>
  <c r="G155" i="5" s="1"/>
  <c r="C1052" i="2"/>
  <c r="A1052" i="2"/>
  <c r="C1051" i="2"/>
  <c r="A1051" i="2"/>
  <c r="D1049" i="2"/>
  <c r="E1048" i="2"/>
  <c r="D1048" i="2"/>
  <c r="F1047" i="2"/>
  <c r="B155" i="9" s="1"/>
  <c r="E1047" i="2"/>
  <c r="H1046" i="2"/>
  <c r="H153" i="5" s="1"/>
  <c r="G1046" i="2"/>
  <c r="H153" i="4" s="1"/>
  <c r="F1046" i="2"/>
  <c r="H153" i="3" s="1"/>
  <c r="H1045" i="2"/>
  <c r="G153" i="5" s="1"/>
  <c r="G1045" i="2"/>
  <c r="G153" i="4" s="1"/>
  <c r="H1044" i="2"/>
  <c r="F153" i="5" s="1"/>
  <c r="C1044" i="2"/>
  <c r="A1044" i="2"/>
  <c r="C1043" i="2"/>
  <c r="A1043" i="2"/>
  <c r="D1041" i="2"/>
  <c r="E1040" i="2"/>
  <c r="D1040" i="2"/>
  <c r="H1039" i="2"/>
  <c r="H152" i="5" s="1"/>
  <c r="F1039" i="2"/>
  <c r="H152" i="3" s="1"/>
  <c r="E1039" i="2"/>
  <c r="G1038" i="2"/>
  <c r="G152" i="4" s="1"/>
  <c r="F1038" i="2"/>
  <c r="G152" i="3" s="1"/>
  <c r="H1037" i="2"/>
  <c r="F152" i="5" s="1"/>
  <c r="G1037" i="2"/>
  <c r="F152" i="4" s="1"/>
  <c r="A1037" i="2"/>
  <c r="H1036" i="2"/>
  <c r="E152" i="5" s="1"/>
  <c r="C1036" i="2"/>
  <c r="A1036" i="2"/>
  <c r="C1035" i="2"/>
  <c r="A1035" i="2"/>
  <c r="D1033" i="2"/>
  <c r="E1032" i="2"/>
  <c r="D1032" i="2"/>
  <c r="F1031" i="2"/>
  <c r="G151" i="3" s="1"/>
  <c r="E1031" i="2"/>
  <c r="H1030" i="2"/>
  <c r="F151" i="5" s="1"/>
  <c r="G1030" i="2"/>
  <c r="F151" i="4" s="1"/>
  <c r="F1030" i="2"/>
  <c r="F151" i="3" s="1"/>
  <c r="H1029" i="2"/>
  <c r="E151" i="5" s="1"/>
  <c r="G1029" i="2"/>
  <c r="E151" i="4" s="1"/>
  <c r="C1029" i="2"/>
  <c r="A1029" i="2"/>
  <c r="H1028" i="2"/>
  <c r="D151" i="5" s="1"/>
  <c r="C1028" i="2"/>
  <c r="A1028" i="2"/>
  <c r="C1027" i="2"/>
  <c r="A1027" i="2"/>
  <c r="D1025" i="2"/>
  <c r="E1024" i="2"/>
  <c r="D1024" i="2"/>
  <c r="F1023" i="2"/>
  <c r="F150" i="3" s="1"/>
  <c r="E1023" i="2"/>
  <c r="G1022" i="2"/>
  <c r="E150" i="4" s="1"/>
  <c r="F1022" i="2"/>
  <c r="E150" i="3" s="1"/>
  <c r="H1021" i="2"/>
  <c r="D150" i="5" s="1"/>
  <c r="G1021" i="2"/>
  <c r="D150" i="4" s="1"/>
  <c r="H1020" i="2"/>
  <c r="C150" i="5" s="1"/>
  <c r="C1020" i="2"/>
  <c r="A1020" i="2"/>
  <c r="C1019" i="2"/>
  <c r="A150" i="20" s="1"/>
  <c r="A1019" i="2"/>
  <c r="D1018" i="2"/>
  <c r="D1017" i="2"/>
  <c r="E1016" i="2"/>
  <c r="D1016" i="2"/>
  <c r="F1015" i="2"/>
  <c r="E149" i="3" s="1"/>
  <c r="E1015" i="2"/>
  <c r="G1014" i="2"/>
  <c r="D149" i="4" s="1"/>
  <c r="F1014" i="2"/>
  <c r="D149" i="3" s="1"/>
  <c r="H1013" i="2"/>
  <c r="C149" i="5" s="1"/>
  <c r="G1013" i="2"/>
  <c r="C149" i="4" s="1"/>
  <c r="H1012" i="2"/>
  <c r="C1012" i="2"/>
  <c r="A149" i="20" s="1"/>
  <c r="A1012" i="2"/>
  <c r="C1011" i="2"/>
  <c r="A1011" i="2"/>
  <c r="E1009" i="2"/>
  <c r="D1009" i="2"/>
  <c r="E1008" i="2"/>
  <c r="D1008" i="2"/>
  <c r="F1007" i="2"/>
  <c r="D148" i="3" s="1"/>
  <c r="E1007" i="2"/>
  <c r="G1006" i="2"/>
  <c r="C148" i="4" s="1"/>
  <c r="F1006" i="2"/>
  <c r="C148" i="3" s="1"/>
  <c r="H1005" i="2"/>
  <c r="G1005" i="2"/>
  <c r="B148" i="10" s="1"/>
  <c r="A1005" i="2"/>
  <c r="A147" i="20" s="1"/>
  <c r="H1004" i="2"/>
  <c r="C1004" i="2"/>
  <c r="A1004" i="2"/>
  <c r="C1003" i="2"/>
  <c r="A1003" i="2"/>
  <c r="D1001" i="2"/>
  <c r="E1000" i="2"/>
  <c r="D1000" i="2"/>
  <c r="F999" i="2"/>
  <c r="E999" i="2"/>
  <c r="G998" i="2"/>
  <c r="F998" i="2"/>
  <c r="C998" i="2"/>
  <c r="H997" i="2"/>
  <c r="G997" i="2"/>
  <c r="H996" i="2"/>
  <c r="C996" i="2"/>
  <c r="A996" i="2"/>
  <c r="C995" i="2"/>
  <c r="A995" i="2"/>
  <c r="F994" i="2"/>
  <c r="D993" i="2"/>
  <c r="E992" i="2"/>
  <c r="D992" i="2"/>
  <c r="F991" i="2"/>
  <c r="E991" i="2"/>
  <c r="H990" i="2"/>
  <c r="H146" i="5" s="1"/>
  <c r="G990" i="2"/>
  <c r="H146" i="4" s="1"/>
  <c r="F990" i="2"/>
  <c r="H146" i="3" s="1"/>
  <c r="H989" i="2"/>
  <c r="G146" i="5" s="1"/>
  <c r="G989" i="2"/>
  <c r="G146" i="4" s="1"/>
  <c r="H988" i="2"/>
  <c r="F146" i="5" s="1"/>
  <c r="C988" i="2"/>
  <c r="A988" i="2"/>
  <c r="E987" i="2"/>
  <c r="C987" i="2"/>
  <c r="A987" i="2"/>
  <c r="D985" i="2"/>
  <c r="E984" i="2"/>
  <c r="D984" i="2"/>
  <c r="F983" i="2"/>
  <c r="H144" i="3" s="1"/>
  <c r="E983" i="2"/>
  <c r="H982" i="2"/>
  <c r="G144" i="5" s="1"/>
  <c r="G982" i="2"/>
  <c r="G144" i="4" s="1"/>
  <c r="F982" i="2"/>
  <c r="G144" i="3" s="1"/>
  <c r="H981" i="2"/>
  <c r="F144" i="5" s="1"/>
  <c r="G981" i="2"/>
  <c r="F144" i="4" s="1"/>
  <c r="H980" i="2"/>
  <c r="E144" i="5" s="1"/>
  <c r="C980" i="2"/>
  <c r="A980" i="2"/>
  <c r="C979" i="2"/>
  <c r="A979" i="2"/>
  <c r="D977" i="2"/>
  <c r="E976" i="2"/>
  <c r="D976" i="2"/>
  <c r="H975" i="2"/>
  <c r="G142" i="5" s="1"/>
  <c r="F975" i="2"/>
  <c r="G142" i="3" s="1"/>
  <c r="E975" i="2"/>
  <c r="G974" i="2"/>
  <c r="F142" i="4" s="1"/>
  <c r="F974" i="2"/>
  <c r="F142" i="3" s="1"/>
  <c r="C974" i="2"/>
  <c r="H973" i="2"/>
  <c r="E142" i="5" s="1"/>
  <c r="G973" i="2"/>
  <c r="E142" i="4" s="1"/>
  <c r="H972" i="2"/>
  <c r="D142" i="5" s="1"/>
  <c r="C972" i="2"/>
  <c r="A972" i="2"/>
  <c r="C971" i="2"/>
  <c r="A971" i="2"/>
  <c r="E969" i="2"/>
  <c r="D969" i="2"/>
  <c r="E968" i="2"/>
  <c r="D968" i="2"/>
  <c r="F967" i="2"/>
  <c r="F141" i="3" s="1"/>
  <c r="E967" i="2"/>
  <c r="H966" i="2"/>
  <c r="E141" i="5" s="1"/>
  <c r="G966" i="2"/>
  <c r="E141" i="4" s="1"/>
  <c r="F966" i="2"/>
  <c r="E141" i="3" s="1"/>
  <c r="H965" i="2"/>
  <c r="D141" i="5" s="1"/>
  <c r="G965" i="2"/>
  <c r="D141" i="4" s="1"/>
  <c r="C965" i="2"/>
  <c r="H964" i="2"/>
  <c r="C141" i="5" s="1"/>
  <c r="C964" i="2"/>
  <c r="A964" i="2"/>
  <c r="C963" i="2"/>
  <c r="A141" i="20" s="1"/>
  <c r="A963" i="2"/>
  <c r="D962" i="2"/>
  <c r="D961" i="2"/>
  <c r="E960" i="2"/>
  <c r="D960" i="2"/>
  <c r="F959" i="2"/>
  <c r="E140" i="3" s="1"/>
  <c r="E959" i="2"/>
  <c r="G958" i="2"/>
  <c r="D140" i="4" s="1"/>
  <c r="F958" i="2"/>
  <c r="D140" i="3" s="1"/>
  <c r="H957" i="2"/>
  <c r="C140" i="5" s="1"/>
  <c r="G957" i="2"/>
  <c r="C140" i="4" s="1"/>
  <c r="H956" i="2"/>
  <c r="C956" i="2"/>
  <c r="A140" i="20" s="1"/>
  <c r="A956" i="2"/>
  <c r="C955" i="2"/>
  <c r="A955" i="2"/>
  <c r="E954" i="2"/>
  <c r="D954" i="2"/>
  <c r="D953" i="2"/>
  <c r="E952" i="2"/>
  <c r="D952" i="2"/>
  <c r="F951" i="2"/>
  <c r="D139" i="3" s="1"/>
  <c r="E951" i="2"/>
  <c r="C951" i="2"/>
  <c r="G950" i="2"/>
  <c r="C139" i="4" s="1"/>
  <c r="F950" i="2"/>
  <c r="C139" i="3" s="1"/>
  <c r="H949" i="2"/>
  <c r="G949" i="2"/>
  <c r="B139" i="10" s="1"/>
  <c r="C949" i="2"/>
  <c r="A139" i="20" s="1"/>
  <c r="H948" i="2"/>
  <c r="H138" i="5" s="1"/>
  <c r="C948" i="2"/>
  <c r="A948" i="2"/>
  <c r="C947" i="2"/>
  <c r="A947" i="2"/>
  <c r="D946" i="2"/>
  <c r="E945" i="2"/>
  <c r="D945" i="2"/>
  <c r="E944" i="2"/>
  <c r="D944" i="2"/>
  <c r="F943" i="2"/>
  <c r="C138" i="3" s="1"/>
  <c r="E943" i="2"/>
  <c r="G942" i="2"/>
  <c r="B138" i="10" s="1"/>
  <c r="F942" i="2"/>
  <c r="B138" i="9" s="1"/>
  <c r="H941" i="2"/>
  <c r="H137" i="5" s="1"/>
  <c r="G941" i="2"/>
  <c r="H137" i="4" s="1"/>
  <c r="H940" i="2"/>
  <c r="G137" i="5" s="1"/>
  <c r="C940" i="2"/>
  <c r="A940" i="2"/>
  <c r="C939" i="2"/>
  <c r="A939" i="2"/>
  <c r="E937" i="2"/>
  <c r="D937" i="2"/>
  <c r="E936" i="2"/>
  <c r="D936" i="2"/>
  <c r="F935" i="2"/>
  <c r="B137" i="9" s="1"/>
  <c r="E935" i="2"/>
  <c r="G934" i="2"/>
  <c r="F934" i="2"/>
  <c r="C934" i="2"/>
  <c r="H933" i="2"/>
  <c r="G933" i="2"/>
  <c r="H932" i="2"/>
  <c r="C932" i="2"/>
  <c r="A932" i="2"/>
  <c r="C931" i="2"/>
  <c r="A931" i="2"/>
  <c r="D930" i="2"/>
  <c r="E929" i="2"/>
  <c r="D929" i="2"/>
  <c r="E928" i="2"/>
  <c r="D928" i="2"/>
  <c r="F927" i="2"/>
  <c r="E927" i="2"/>
  <c r="G926" i="2"/>
  <c r="F926" i="2"/>
  <c r="H925" i="2"/>
  <c r="G925" i="2"/>
  <c r="C925" i="2"/>
  <c r="H924" i="2"/>
  <c r="C924" i="2"/>
  <c r="A924" i="2"/>
  <c r="C923" i="2"/>
  <c r="A923" i="2"/>
  <c r="E922" i="2"/>
  <c r="D921" i="2"/>
  <c r="E920" i="2"/>
  <c r="D920" i="2"/>
  <c r="F919" i="2"/>
  <c r="G135" i="3" s="1"/>
  <c r="E919" i="2"/>
  <c r="G918" i="2"/>
  <c r="F135" i="4" s="1"/>
  <c r="F918" i="2"/>
  <c r="F135" i="3" s="1"/>
  <c r="H917" i="2"/>
  <c r="E135" i="5" s="1"/>
  <c r="G917" i="2"/>
  <c r="E135" i="4" s="1"/>
  <c r="H916" i="2"/>
  <c r="D135" i="5" s="1"/>
  <c r="C916" i="2"/>
  <c r="A916" i="2"/>
  <c r="C915" i="2"/>
  <c r="A915" i="2"/>
  <c r="F914" i="2"/>
  <c r="E913" i="2"/>
  <c r="D913" i="2"/>
  <c r="E912" i="2"/>
  <c r="D912" i="2"/>
  <c r="F911" i="2"/>
  <c r="F133" i="9" s="1"/>
  <c r="F133" i="18" s="1"/>
  <c r="E911" i="2"/>
  <c r="G910" i="2"/>
  <c r="E133" i="10" s="1"/>
  <c r="E133" i="16" s="1"/>
  <c r="F910" i="2"/>
  <c r="E133" i="9" s="1"/>
  <c r="E133" i="18" s="1"/>
  <c r="A910" i="2"/>
  <c r="H909" i="2"/>
  <c r="G909" i="2"/>
  <c r="D133" i="10" s="1"/>
  <c r="D133" i="16" s="1"/>
  <c r="A909" i="2"/>
  <c r="H908" i="2"/>
  <c r="C908" i="2"/>
  <c r="A908" i="2"/>
  <c r="C907" i="2"/>
  <c r="A133" i="20" s="1"/>
  <c r="A907" i="2"/>
  <c r="D905" i="2"/>
  <c r="E904" i="2"/>
  <c r="D904" i="2"/>
  <c r="F903" i="2"/>
  <c r="E132" i="9" s="1"/>
  <c r="E132" i="18" s="1"/>
  <c r="E903" i="2"/>
  <c r="H902" i="2"/>
  <c r="G902" i="2"/>
  <c r="D132" i="10" s="1"/>
  <c r="F902" i="2"/>
  <c r="D132" i="9" s="1"/>
  <c r="D132" i="18" s="1"/>
  <c r="H901" i="2"/>
  <c r="G901" i="2"/>
  <c r="C132" i="10" s="1"/>
  <c r="H900" i="2"/>
  <c r="C900" i="2"/>
  <c r="A900" i="2"/>
  <c r="C899" i="2"/>
  <c r="A899" i="2"/>
  <c r="D897" i="2"/>
  <c r="E896" i="2"/>
  <c r="D896" i="2"/>
  <c r="F895" i="2"/>
  <c r="D131" i="3" s="1"/>
  <c r="E895" i="2"/>
  <c r="H894" i="2"/>
  <c r="C131" i="5" s="1"/>
  <c r="G894" i="2"/>
  <c r="C131" i="4" s="1"/>
  <c r="F894" i="2"/>
  <c r="C131" i="3" s="1"/>
  <c r="H893" i="2"/>
  <c r="G893" i="2"/>
  <c r="B131" i="10" s="1"/>
  <c r="A893" i="2"/>
  <c r="H892" i="2"/>
  <c r="H130" i="5" s="1"/>
  <c r="C892" i="2"/>
  <c r="A892" i="2"/>
  <c r="C891" i="2"/>
  <c r="A891" i="2"/>
  <c r="E890" i="2"/>
  <c r="D890" i="2"/>
  <c r="D889" i="2"/>
  <c r="E888" i="2"/>
  <c r="D888" i="2"/>
  <c r="F887" i="2"/>
  <c r="C130" i="3" s="1"/>
  <c r="E887" i="2"/>
  <c r="G886" i="2"/>
  <c r="B130" i="10" s="1"/>
  <c r="F886" i="2"/>
  <c r="B130" i="9" s="1"/>
  <c r="H885" i="2"/>
  <c r="H129" i="5" s="1"/>
  <c r="G885" i="2"/>
  <c r="H129" i="4" s="1"/>
  <c r="H884" i="2"/>
  <c r="G129" i="5" s="1"/>
  <c r="D884" i="2"/>
  <c r="C884" i="2"/>
  <c r="A884" i="2"/>
  <c r="C883" i="2"/>
  <c r="A883" i="2"/>
  <c r="F881" i="2"/>
  <c r="D129" i="3" s="1"/>
  <c r="D881" i="2"/>
  <c r="F880" i="2"/>
  <c r="C129" i="3" s="1"/>
  <c r="E880" i="2"/>
  <c r="D880" i="2"/>
  <c r="F879" i="2"/>
  <c r="B129" i="9" s="1"/>
  <c r="E879" i="2"/>
  <c r="G878" i="2"/>
  <c r="H128" i="4" s="1"/>
  <c r="F878" i="2"/>
  <c r="H128" i="3" s="1"/>
  <c r="C878" i="2"/>
  <c r="H877" i="2"/>
  <c r="G128" i="5" s="1"/>
  <c r="G877" i="2"/>
  <c r="G128" i="4" s="1"/>
  <c r="H876" i="2"/>
  <c r="F128" i="5" s="1"/>
  <c r="C876" i="2"/>
  <c r="A876" i="2"/>
  <c r="C875" i="2"/>
  <c r="A875" i="2"/>
  <c r="D874" i="2"/>
  <c r="E873" i="2"/>
  <c r="D873" i="2"/>
  <c r="E872" i="2"/>
  <c r="D872" i="2"/>
  <c r="F871" i="2"/>
  <c r="H127" i="3" s="1"/>
  <c r="E871" i="2"/>
  <c r="G870" i="2"/>
  <c r="G127" i="4" s="1"/>
  <c r="F870" i="2"/>
  <c r="G127" i="3" s="1"/>
  <c r="H869" i="2"/>
  <c r="F127" i="5" s="1"/>
  <c r="G869" i="2"/>
  <c r="F127" i="4" s="1"/>
  <c r="H868" i="2"/>
  <c r="E127" i="5" s="1"/>
  <c r="C868" i="2"/>
  <c r="A868" i="2"/>
  <c r="C867" i="2"/>
  <c r="A867" i="2"/>
  <c r="D865" i="2"/>
  <c r="H864" i="2"/>
  <c r="H126" i="5" s="1"/>
  <c r="F864" i="2"/>
  <c r="H126" i="3" s="1"/>
  <c r="E864" i="2"/>
  <c r="D864" i="2"/>
  <c r="F863" i="2"/>
  <c r="G126" i="3" s="1"/>
  <c r="E863" i="2"/>
  <c r="C863" i="2"/>
  <c r="A863" i="2"/>
  <c r="H862" i="2"/>
  <c r="F126" i="5" s="1"/>
  <c r="G862" i="2"/>
  <c r="F126" i="4" s="1"/>
  <c r="F862" i="2"/>
  <c r="F126" i="3" s="1"/>
  <c r="H861" i="2"/>
  <c r="E126" i="5" s="1"/>
  <c r="G861" i="2"/>
  <c r="E126" i="4" s="1"/>
  <c r="H860" i="2"/>
  <c r="D126" i="5" s="1"/>
  <c r="C860" i="2"/>
  <c r="A860" i="2"/>
  <c r="C859" i="2"/>
  <c r="A859" i="2"/>
  <c r="E857" i="2"/>
  <c r="D857" i="2"/>
  <c r="H856" i="2"/>
  <c r="F856" i="2"/>
  <c r="E856" i="2"/>
  <c r="D856" i="2"/>
  <c r="F855" i="2"/>
  <c r="E855" i="2"/>
  <c r="G854" i="2"/>
  <c r="F854" i="2"/>
  <c r="H853" i="2"/>
  <c r="G853" i="2"/>
  <c r="C853" i="2"/>
  <c r="H852" i="2"/>
  <c r="C852" i="2"/>
  <c r="A852" i="2"/>
  <c r="C851" i="2"/>
  <c r="A851" i="2"/>
  <c r="D849" i="2"/>
  <c r="G848" i="2"/>
  <c r="E848" i="2"/>
  <c r="D848" i="2"/>
  <c r="F847" i="2"/>
  <c r="E847" i="2"/>
  <c r="G846" i="2"/>
  <c r="F846" i="2"/>
  <c r="H845" i="2"/>
  <c r="G845" i="2"/>
  <c r="C845" i="2"/>
  <c r="H844" i="2"/>
  <c r="C844" i="2"/>
  <c r="A844" i="2"/>
  <c r="C843" i="2"/>
  <c r="A843" i="2"/>
  <c r="E841" i="2"/>
  <c r="D841" i="2"/>
  <c r="E840" i="2"/>
  <c r="D840" i="2"/>
  <c r="G839" i="2"/>
  <c r="D124" i="4" s="1"/>
  <c r="F839" i="2"/>
  <c r="D124" i="3" s="1"/>
  <c r="E839" i="2"/>
  <c r="H838" i="2"/>
  <c r="C124" i="5" s="1"/>
  <c r="G838" i="2"/>
  <c r="C124" i="4" s="1"/>
  <c r="F838" i="2"/>
  <c r="C124" i="3" s="1"/>
  <c r="H837" i="2"/>
  <c r="G837" i="2"/>
  <c r="B124" i="10" s="1"/>
  <c r="A837" i="2"/>
  <c r="H836" i="2"/>
  <c r="H122" i="5" s="1"/>
  <c r="C836" i="2"/>
  <c r="A836" i="2"/>
  <c r="C835" i="2"/>
  <c r="A835" i="2"/>
  <c r="D833" i="2"/>
  <c r="F832" i="2"/>
  <c r="D122" i="3" s="1"/>
  <c r="E832" i="2"/>
  <c r="D832" i="2"/>
  <c r="F831" i="2"/>
  <c r="C122" i="3" s="1"/>
  <c r="E831" i="2"/>
  <c r="H830" i="2"/>
  <c r="G830" i="2"/>
  <c r="B122" i="10" s="1"/>
  <c r="F830" i="2"/>
  <c r="B122" i="9" s="1"/>
  <c r="H829" i="2"/>
  <c r="H120" i="5" s="1"/>
  <c r="G829" i="2"/>
  <c r="H120" i="4" s="1"/>
  <c r="H828" i="2"/>
  <c r="G120" i="5" s="1"/>
  <c r="C828" i="2"/>
  <c r="A828" i="2"/>
  <c r="C827" i="2"/>
  <c r="A827" i="2"/>
  <c r="D825" i="2"/>
  <c r="F824" i="2"/>
  <c r="C120" i="3" s="1"/>
  <c r="E824" i="2"/>
  <c r="D824" i="2"/>
  <c r="F823" i="2"/>
  <c r="B120" i="9" s="1"/>
  <c r="E823" i="2"/>
  <c r="H822" i="2"/>
  <c r="H119" i="5" s="1"/>
  <c r="G822" i="2"/>
  <c r="H119" i="4" s="1"/>
  <c r="F822" i="2"/>
  <c r="H119" i="3" s="1"/>
  <c r="H821" i="2"/>
  <c r="G119" i="5" s="1"/>
  <c r="G821" i="2"/>
  <c r="G119" i="4" s="1"/>
  <c r="C821" i="2"/>
  <c r="H820" i="2"/>
  <c r="F119" i="5" s="1"/>
  <c r="C820" i="2"/>
  <c r="A820" i="2"/>
  <c r="C819" i="2"/>
  <c r="A819" i="2"/>
  <c r="D818" i="2"/>
  <c r="D817" i="2"/>
  <c r="E816" i="2"/>
  <c r="D816" i="2"/>
  <c r="F815" i="2"/>
  <c r="H118" i="3" s="1"/>
  <c r="E815" i="2"/>
  <c r="G814" i="2"/>
  <c r="G118" i="4" s="1"/>
  <c r="F814" i="2"/>
  <c r="G118" i="3" s="1"/>
  <c r="H813" i="2"/>
  <c r="F118" i="5" s="1"/>
  <c r="G813" i="2"/>
  <c r="F118" i="4" s="1"/>
  <c r="C813" i="2"/>
  <c r="H812" i="2"/>
  <c r="E118" i="5" s="1"/>
  <c r="C812" i="2"/>
  <c r="A812" i="2"/>
  <c r="C811" i="2"/>
  <c r="A811" i="2"/>
  <c r="D810" i="2"/>
  <c r="D809" i="2"/>
  <c r="G808" i="2"/>
  <c r="H117" i="4" s="1"/>
  <c r="F808" i="2"/>
  <c r="H117" i="3" s="1"/>
  <c r="E808" i="2"/>
  <c r="D808" i="2"/>
  <c r="F807" i="2"/>
  <c r="G117" i="3" s="1"/>
  <c r="E807" i="2"/>
  <c r="G806" i="2"/>
  <c r="F117" i="4" s="1"/>
  <c r="F806" i="2"/>
  <c r="F117" i="3" s="1"/>
  <c r="H805" i="2"/>
  <c r="E117" i="5" s="1"/>
  <c r="G805" i="2"/>
  <c r="E117" i="4" s="1"/>
  <c r="A805" i="2"/>
  <c r="H804" i="2"/>
  <c r="D117" i="5" s="1"/>
  <c r="C804" i="2"/>
  <c r="A804" i="2"/>
  <c r="C803" i="2"/>
  <c r="A803" i="2"/>
  <c r="D802" i="2"/>
  <c r="D801" i="2"/>
  <c r="E800" i="2"/>
  <c r="D800" i="2"/>
  <c r="H799" i="2"/>
  <c r="F116" i="5" s="1"/>
  <c r="F799" i="2"/>
  <c r="F116" i="3" s="1"/>
  <c r="E799" i="2"/>
  <c r="G798" i="2"/>
  <c r="E116" i="4" s="1"/>
  <c r="F798" i="2"/>
  <c r="E116" i="3" s="1"/>
  <c r="H797" i="2"/>
  <c r="D116" i="5" s="1"/>
  <c r="G797" i="2"/>
  <c r="D116" i="4" s="1"/>
  <c r="H796" i="2"/>
  <c r="C116" i="5" s="1"/>
  <c r="C796" i="2"/>
  <c r="A796" i="2"/>
  <c r="C795" i="2"/>
  <c r="A116" i="20" s="1"/>
  <c r="A795" i="2"/>
  <c r="D793" i="2"/>
  <c r="F792" i="2"/>
  <c r="F115" i="3" s="1"/>
  <c r="E792" i="2"/>
  <c r="D792" i="2"/>
  <c r="F791" i="2"/>
  <c r="E115" i="3" s="1"/>
  <c r="E791" i="2"/>
  <c r="G790" i="2"/>
  <c r="D115" i="4" s="1"/>
  <c r="F790" i="2"/>
  <c r="D115" i="3" s="1"/>
  <c r="H789" i="2"/>
  <c r="C115" i="5" s="1"/>
  <c r="G789" i="2"/>
  <c r="C115" i="4" s="1"/>
  <c r="A789" i="2"/>
  <c r="H788" i="2"/>
  <c r="C788" i="2"/>
  <c r="A115" i="20" s="1"/>
  <c r="A788" i="2"/>
  <c r="A114" i="20" s="1"/>
  <c r="C787" i="2"/>
  <c r="A787" i="2"/>
  <c r="F785" i="2"/>
  <c r="E785" i="2"/>
  <c r="D785" i="2"/>
  <c r="E784" i="2"/>
  <c r="D784" i="2"/>
  <c r="H783" i="2"/>
  <c r="G783" i="2"/>
  <c r="F783" i="2"/>
  <c r="E783" i="2"/>
  <c r="G782" i="2"/>
  <c r="F782" i="2"/>
  <c r="H781" i="2"/>
  <c r="G781" i="2"/>
  <c r="C781" i="2"/>
  <c r="A781" i="2"/>
  <c r="H780" i="2"/>
  <c r="C780" i="2"/>
  <c r="A780" i="2"/>
  <c r="C779" i="2"/>
  <c r="A779" i="2"/>
  <c r="D777" i="2"/>
  <c r="E776" i="2"/>
  <c r="D776" i="2"/>
  <c r="G775" i="2"/>
  <c r="F775" i="2"/>
  <c r="E775" i="2"/>
  <c r="G774" i="2"/>
  <c r="F774" i="2"/>
  <c r="H773" i="2"/>
  <c r="H113" i="5" s="1"/>
  <c r="G773" i="2"/>
  <c r="H113" i="4" s="1"/>
  <c r="H772" i="2"/>
  <c r="G113" i="5" s="1"/>
  <c r="C772" i="2"/>
  <c r="A772" i="2"/>
  <c r="C771" i="2"/>
  <c r="A771" i="2"/>
  <c r="D770" i="2"/>
  <c r="F769" i="2"/>
  <c r="D113" i="3" s="1"/>
  <c r="D769" i="2"/>
  <c r="E768" i="2"/>
  <c r="D768" i="2"/>
  <c r="G767" i="2"/>
  <c r="B113" i="10" s="1"/>
  <c r="F767" i="2"/>
  <c r="B113" i="9" s="1"/>
  <c r="E767" i="2"/>
  <c r="C767" i="2"/>
  <c r="A113" i="20" s="1"/>
  <c r="H766" i="2"/>
  <c r="H111" i="5" s="1"/>
  <c r="G766" i="2"/>
  <c r="H111" i="4" s="1"/>
  <c r="F766" i="2"/>
  <c r="H111" i="3" s="1"/>
  <c r="H765" i="2"/>
  <c r="G111" i="5" s="1"/>
  <c r="G765" i="2"/>
  <c r="G111" i="4" s="1"/>
  <c r="C765" i="2"/>
  <c r="H764" i="2"/>
  <c r="F111" i="5" s="1"/>
  <c r="C764" i="2"/>
  <c r="A764" i="2"/>
  <c r="C763" i="2"/>
  <c r="A763" i="2"/>
  <c r="D761" i="2"/>
  <c r="F760" i="2"/>
  <c r="B111" i="9" s="1"/>
  <c r="E760" i="2"/>
  <c r="D760" i="2"/>
  <c r="G759" i="2"/>
  <c r="H110" i="4" s="1"/>
  <c r="F759" i="2"/>
  <c r="H110" i="3" s="1"/>
  <c r="E759" i="2"/>
  <c r="G758" i="2"/>
  <c r="G110" i="4" s="1"/>
  <c r="F758" i="2"/>
  <c r="G110" i="3" s="1"/>
  <c r="H757" i="2"/>
  <c r="F110" i="5" s="1"/>
  <c r="G757" i="2"/>
  <c r="F110" i="4" s="1"/>
  <c r="C757" i="2"/>
  <c r="H756" i="2"/>
  <c r="E110" i="5" s="1"/>
  <c r="C756" i="2"/>
  <c r="A756" i="2"/>
  <c r="C755" i="2"/>
  <c r="A755" i="2"/>
  <c r="D753" i="2"/>
  <c r="F752" i="2"/>
  <c r="H109" i="3" s="1"/>
  <c r="E752" i="2"/>
  <c r="D752" i="2"/>
  <c r="H751" i="2"/>
  <c r="G109" i="5" s="1"/>
  <c r="F751" i="2"/>
  <c r="G109" i="3" s="1"/>
  <c r="E751" i="2"/>
  <c r="H750" i="2"/>
  <c r="F109" i="5" s="1"/>
  <c r="G750" i="2"/>
  <c r="F109" i="4" s="1"/>
  <c r="F750" i="2"/>
  <c r="F109" i="3" s="1"/>
  <c r="H749" i="2"/>
  <c r="E109" i="5" s="1"/>
  <c r="G749" i="2"/>
  <c r="E109" i="4" s="1"/>
  <c r="H748" i="2"/>
  <c r="D109" i="5" s="1"/>
  <c r="C748" i="2"/>
  <c r="A748" i="2"/>
  <c r="C747" i="2"/>
  <c r="A747" i="2"/>
  <c r="D746" i="2"/>
  <c r="D745" i="2"/>
  <c r="F744" i="2"/>
  <c r="G108" i="3" s="1"/>
  <c r="E744" i="2"/>
  <c r="D744" i="2"/>
  <c r="F743" i="2"/>
  <c r="F108" i="3" s="1"/>
  <c r="E743" i="2"/>
  <c r="H742" i="2"/>
  <c r="E108" i="5" s="1"/>
  <c r="G742" i="2"/>
  <c r="E108" i="4" s="1"/>
  <c r="F742" i="2"/>
  <c r="E108" i="3" s="1"/>
  <c r="H741" i="2"/>
  <c r="D108" i="5" s="1"/>
  <c r="G741" i="2"/>
  <c r="D108" i="4" s="1"/>
  <c r="H740" i="2"/>
  <c r="C108" i="5" s="1"/>
  <c r="C740" i="2"/>
  <c r="A740" i="2"/>
  <c r="C739" i="2"/>
  <c r="A108" i="20" s="1"/>
  <c r="A739" i="2"/>
  <c r="D738" i="2"/>
  <c r="D737" i="2"/>
  <c r="E736" i="2"/>
  <c r="D736" i="2"/>
  <c r="G735" i="2"/>
  <c r="E107" i="4" s="1"/>
  <c r="F735" i="2"/>
  <c r="E107" i="3" s="1"/>
  <c r="E735" i="2"/>
  <c r="G734" i="2"/>
  <c r="D107" i="4" s="1"/>
  <c r="F734" i="2"/>
  <c r="D107" i="3" s="1"/>
  <c r="H733" i="2"/>
  <c r="C107" i="5" s="1"/>
  <c r="G733" i="2"/>
  <c r="C107" i="4" s="1"/>
  <c r="H732" i="2"/>
  <c r="C732" i="2"/>
  <c r="A107" i="20" s="1"/>
  <c r="A732" i="2"/>
  <c r="C731" i="2"/>
  <c r="A731" i="2"/>
  <c r="D730" i="2"/>
  <c r="G729" i="2"/>
  <c r="F106" i="4" s="1"/>
  <c r="D729" i="2"/>
  <c r="F728" i="2"/>
  <c r="E106" i="3" s="1"/>
  <c r="E728" i="2"/>
  <c r="D728" i="2"/>
  <c r="G727" i="2"/>
  <c r="D106" i="4" s="1"/>
  <c r="F727" i="2"/>
  <c r="D106" i="3" s="1"/>
  <c r="E727" i="2"/>
  <c r="G726" i="2"/>
  <c r="C106" i="4" s="1"/>
  <c r="F726" i="2"/>
  <c r="C106" i="3" s="1"/>
  <c r="H725" i="2"/>
  <c r="G725" i="2"/>
  <c r="B106" i="10" s="1"/>
  <c r="C725" i="2"/>
  <c r="A106" i="20" s="1"/>
  <c r="H724" i="2"/>
  <c r="H105" i="5" s="1"/>
  <c r="C724" i="2"/>
  <c r="A724" i="2"/>
  <c r="C723" i="2"/>
  <c r="A723" i="2"/>
  <c r="D721" i="2"/>
  <c r="E720" i="2"/>
  <c r="D720" i="2"/>
  <c r="H719" i="2"/>
  <c r="C105" i="5" s="1"/>
  <c r="G719" i="2"/>
  <c r="C105" i="4" s="1"/>
  <c r="F719" i="2"/>
  <c r="C105" i="3" s="1"/>
  <c r="E719" i="2"/>
  <c r="H718" i="2"/>
  <c r="G718" i="2"/>
  <c r="B105" i="10" s="1"/>
  <c r="F718" i="2"/>
  <c r="B105" i="9" s="1"/>
  <c r="C718" i="2"/>
  <c r="A105" i="20" s="1"/>
  <c r="H717" i="2"/>
  <c r="H104" i="5" s="1"/>
  <c r="G717" i="2"/>
  <c r="H104" i="4" s="1"/>
  <c r="C717" i="2"/>
  <c r="H716" i="2"/>
  <c r="G104" i="5" s="1"/>
  <c r="C716" i="2"/>
  <c r="A716" i="2"/>
  <c r="D715" i="2"/>
  <c r="C715" i="2"/>
  <c r="A715" i="2"/>
  <c r="D714" i="2"/>
  <c r="D713" i="2"/>
  <c r="G712" i="2"/>
  <c r="C104" i="4" s="1"/>
  <c r="E712" i="2"/>
  <c r="D712" i="2"/>
  <c r="F711" i="2"/>
  <c r="B104" i="9" s="1"/>
  <c r="E711" i="2"/>
  <c r="H710" i="2"/>
  <c r="G710" i="2"/>
  <c r="F710" i="2"/>
  <c r="H709" i="2"/>
  <c r="G709" i="2"/>
  <c r="H708" i="2"/>
  <c r="C708" i="2"/>
  <c r="A708" i="2"/>
  <c r="C707" i="2"/>
  <c r="A707" i="2"/>
  <c r="D706" i="2"/>
  <c r="D705" i="2"/>
  <c r="E704" i="2"/>
  <c r="D704" i="2"/>
  <c r="G703" i="2"/>
  <c r="F703" i="2"/>
  <c r="E703" i="2"/>
  <c r="H702" i="2"/>
  <c r="G702" i="2"/>
  <c r="F702" i="2"/>
  <c r="H701" i="2"/>
  <c r="G701" i="2"/>
  <c r="C701" i="2"/>
  <c r="H700" i="2"/>
  <c r="C700" i="2"/>
  <c r="A700" i="2"/>
  <c r="C699" i="2"/>
  <c r="A699" i="2"/>
  <c r="D697" i="2"/>
  <c r="E696" i="2"/>
  <c r="D696" i="2"/>
  <c r="F695" i="2"/>
  <c r="G102" i="3" s="1"/>
  <c r="E695" i="2"/>
  <c r="G694" i="2"/>
  <c r="F102" i="4" s="1"/>
  <c r="F694" i="2"/>
  <c r="F102" i="3" s="1"/>
  <c r="H693" i="2"/>
  <c r="E102" i="5" s="1"/>
  <c r="G693" i="2"/>
  <c r="E102" i="4" s="1"/>
  <c r="C693" i="2"/>
  <c r="H692" i="2"/>
  <c r="D102" i="5" s="1"/>
  <c r="C692" i="2"/>
  <c r="A692" i="2"/>
  <c r="C691" i="2"/>
  <c r="A691" i="2"/>
  <c r="D690" i="2"/>
  <c r="D689" i="2"/>
  <c r="E688" i="2"/>
  <c r="D688" i="2"/>
  <c r="G687" i="2"/>
  <c r="F101" i="4" s="1"/>
  <c r="F687" i="2"/>
  <c r="F101" i="3" s="1"/>
  <c r="E687" i="2"/>
  <c r="H686" i="2"/>
  <c r="E101" i="5" s="1"/>
  <c r="G686" i="2"/>
  <c r="E101" i="4" s="1"/>
  <c r="F686" i="2"/>
  <c r="E101" i="3" s="1"/>
  <c r="H685" i="2"/>
  <c r="D101" i="5" s="1"/>
  <c r="G685" i="2"/>
  <c r="D101" i="4" s="1"/>
  <c r="H684" i="2"/>
  <c r="C101" i="5" s="1"/>
  <c r="C684" i="2"/>
  <c r="A684" i="2"/>
  <c r="C683" i="2"/>
  <c r="A683" i="2"/>
  <c r="D682" i="2"/>
  <c r="D681" i="2"/>
  <c r="G680" i="2"/>
  <c r="F100" i="10" s="1"/>
  <c r="F680" i="2"/>
  <c r="F100" i="9" s="1"/>
  <c r="E680" i="2"/>
  <c r="D680" i="2"/>
  <c r="F679" i="2"/>
  <c r="E100" i="9" s="1"/>
  <c r="E679" i="2"/>
  <c r="H678" i="2"/>
  <c r="G678" i="2"/>
  <c r="D100" i="10" s="1"/>
  <c r="F678" i="2"/>
  <c r="D100" i="9" s="1"/>
  <c r="H677" i="2"/>
  <c r="G677" i="2"/>
  <c r="C100" i="10" s="1"/>
  <c r="C677" i="2"/>
  <c r="H676" i="2"/>
  <c r="C676" i="2"/>
  <c r="A100" i="20" s="1"/>
  <c r="A676" i="2"/>
  <c r="D675" i="2"/>
  <c r="C675" i="2"/>
  <c r="A675" i="2"/>
  <c r="C674" i="2"/>
  <c r="D673" i="2"/>
  <c r="E672" i="2"/>
  <c r="D672" i="2"/>
  <c r="H671" i="2"/>
  <c r="G671" i="2"/>
  <c r="D99" i="10" s="1"/>
  <c r="F671" i="2"/>
  <c r="D99" i="9" s="1"/>
  <c r="E671" i="2"/>
  <c r="H670" i="2"/>
  <c r="G670" i="2"/>
  <c r="C99" i="10" s="1"/>
  <c r="F670" i="2"/>
  <c r="C99" i="9" s="1"/>
  <c r="C670" i="2"/>
  <c r="H669" i="2"/>
  <c r="G669" i="2"/>
  <c r="C669" i="2"/>
  <c r="A99" i="20" s="1"/>
  <c r="H668" i="2"/>
  <c r="H98" i="5" s="1"/>
  <c r="C668" i="2"/>
  <c r="A668" i="2"/>
  <c r="E667" i="2"/>
  <c r="C667" i="2"/>
  <c r="A667" i="2"/>
  <c r="D665" i="2"/>
  <c r="F664" i="2"/>
  <c r="D98" i="3" s="1"/>
  <c r="E664" i="2"/>
  <c r="D664" i="2"/>
  <c r="F663" i="2"/>
  <c r="C98" i="3" s="1"/>
  <c r="E663" i="2"/>
  <c r="G662" i="2"/>
  <c r="B98" i="10" s="1"/>
  <c r="F662" i="2"/>
  <c r="B98" i="9" s="1"/>
  <c r="H661" i="2"/>
  <c r="H97" i="5" s="1"/>
  <c r="G661" i="2"/>
  <c r="H97" i="4" s="1"/>
  <c r="C661" i="2"/>
  <c r="H660" i="2"/>
  <c r="G97" i="5" s="1"/>
  <c r="C660" i="2"/>
  <c r="A660" i="2"/>
  <c r="C659" i="2"/>
  <c r="A659" i="2"/>
  <c r="D658" i="2"/>
  <c r="D657" i="2"/>
  <c r="E656" i="2"/>
  <c r="D656" i="2"/>
  <c r="F655" i="2"/>
  <c r="B97" i="9" s="1"/>
  <c r="E655" i="2"/>
  <c r="G654" i="2"/>
  <c r="H96" i="4" s="1"/>
  <c r="F654" i="2"/>
  <c r="H96" i="3" s="1"/>
  <c r="C654" i="2"/>
  <c r="H653" i="2"/>
  <c r="G96" i="5" s="1"/>
  <c r="G653" i="2"/>
  <c r="G96" i="4" s="1"/>
  <c r="H652" i="2"/>
  <c r="F96" i="5" s="1"/>
  <c r="C652" i="2"/>
  <c r="A652" i="2"/>
  <c r="C651" i="2"/>
  <c r="A651" i="2"/>
  <c r="D649" i="2"/>
  <c r="E648" i="2"/>
  <c r="D648" i="2"/>
  <c r="H647" i="2"/>
  <c r="H95" i="5" s="1"/>
  <c r="F647" i="2"/>
  <c r="H95" i="3" s="1"/>
  <c r="E647" i="2"/>
  <c r="H646" i="2"/>
  <c r="G95" i="5" s="1"/>
  <c r="G646" i="2"/>
  <c r="G95" i="4" s="1"/>
  <c r="F646" i="2"/>
  <c r="G95" i="3" s="1"/>
  <c r="H645" i="2"/>
  <c r="F95" i="5" s="1"/>
  <c r="G645" i="2"/>
  <c r="F95" i="4" s="1"/>
  <c r="C645" i="2"/>
  <c r="H644" i="2"/>
  <c r="E95" i="5" s="1"/>
  <c r="C644" i="2"/>
  <c r="A644" i="2"/>
  <c r="C643" i="2"/>
  <c r="A643" i="2"/>
  <c r="D642" i="2"/>
  <c r="D641" i="2"/>
  <c r="E640" i="2"/>
  <c r="D640" i="2"/>
  <c r="H639" i="2"/>
  <c r="G94" i="5" s="1"/>
  <c r="F639" i="2"/>
  <c r="G94" i="3" s="1"/>
  <c r="E639" i="2"/>
  <c r="H638" i="2"/>
  <c r="F94" i="5" s="1"/>
  <c r="G638" i="2"/>
  <c r="F94" i="4" s="1"/>
  <c r="F638" i="2"/>
  <c r="F94" i="3" s="1"/>
  <c r="H637" i="2"/>
  <c r="E94" i="5" s="1"/>
  <c r="G637" i="2"/>
  <c r="E94" i="4" s="1"/>
  <c r="C637" i="2"/>
  <c r="H636" i="2"/>
  <c r="D94" i="5" s="1"/>
  <c r="C636" i="2"/>
  <c r="A636" i="2"/>
  <c r="C635" i="2"/>
  <c r="A635" i="2"/>
  <c r="D634" i="2"/>
  <c r="D633" i="2"/>
  <c r="E632" i="2"/>
  <c r="D632" i="2"/>
  <c r="G631" i="2"/>
  <c r="F93" i="4" s="1"/>
  <c r="F631" i="2"/>
  <c r="F93" i="3" s="1"/>
  <c r="E631" i="2"/>
  <c r="H630" i="2"/>
  <c r="E93" i="5" s="1"/>
  <c r="G630" i="2"/>
  <c r="E93" i="4" s="1"/>
  <c r="F630" i="2"/>
  <c r="E93" i="3" s="1"/>
  <c r="H629" i="2"/>
  <c r="D93" i="5" s="1"/>
  <c r="G629" i="2"/>
  <c r="D93" i="4" s="1"/>
  <c r="H628" i="2"/>
  <c r="C93" i="5" s="1"/>
  <c r="C628" i="2"/>
  <c r="A628" i="2"/>
  <c r="C627" i="2"/>
  <c r="A93" i="20" s="1"/>
  <c r="A627" i="2"/>
  <c r="A92" i="20" s="1"/>
  <c r="D625" i="2"/>
  <c r="G624" i="2"/>
  <c r="F624" i="2"/>
  <c r="E624" i="2"/>
  <c r="D624" i="2"/>
  <c r="F623" i="2"/>
  <c r="E623" i="2"/>
  <c r="G622" i="2"/>
  <c r="F622" i="2"/>
  <c r="A622" i="2"/>
  <c r="H621" i="2"/>
  <c r="G621" i="2"/>
  <c r="C621" i="2"/>
  <c r="H620" i="2"/>
  <c r="C620" i="2"/>
  <c r="A620" i="2"/>
  <c r="E619" i="2"/>
  <c r="C619" i="2"/>
  <c r="A619" i="2"/>
  <c r="D617" i="2"/>
  <c r="E616" i="2"/>
  <c r="D616" i="2"/>
  <c r="H615" i="2"/>
  <c r="F615" i="2"/>
  <c r="E615" i="2"/>
  <c r="H614" i="2"/>
  <c r="G614" i="2"/>
  <c r="F614" i="2"/>
  <c r="H613" i="2"/>
  <c r="G613" i="2"/>
  <c r="C613" i="2"/>
  <c r="H612" i="2"/>
  <c r="H91" i="5" s="1"/>
  <c r="C612" i="2"/>
  <c r="A612" i="2"/>
  <c r="C611" i="2"/>
  <c r="A611" i="2"/>
  <c r="D610" i="2"/>
  <c r="D609" i="2"/>
  <c r="E608" i="2"/>
  <c r="D608" i="2"/>
  <c r="F607" i="2"/>
  <c r="C91" i="3" s="1"/>
  <c r="E607" i="2"/>
  <c r="G606" i="2"/>
  <c r="B91" i="10" s="1"/>
  <c r="F606" i="2"/>
  <c r="B91" i="9" s="1"/>
  <c r="H605" i="2"/>
  <c r="H90" i="5" s="1"/>
  <c r="G605" i="2"/>
  <c r="H90" i="4" s="1"/>
  <c r="A605" i="2"/>
  <c r="H604" i="2"/>
  <c r="G90" i="5" s="1"/>
  <c r="C604" i="2"/>
  <c r="A604" i="2"/>
  <c r="C603" i="2"/>
  <c r="A603" i="2"/>
  <c r="D602" i="2"/>
  <c r="D601" i="2"/>
  <c r="F600" i="2"/>
  <c r="C90" i="3" s="1"/>
  <c r="E600" i="2"/>
  <c r="D600" i="2"/>
  <c r="H599" i="2"/>
  <c r="F599" i="2"/>
  <c r="B90" i="9" s="1"/>
  <c r="E599" i="2"/>
  <c r="H598" i="2"/>
  <c r="H89" i="5" s="1"/>
  <c r="G598" i="2"/>
  <c r="H89" i="4" s="1"/>
  <c r="F598" i="2"/>
  <c r="H89" i="3" s="1"/>
  <c r="H597" i="2"/>
  <c r="G89" i="5" s="1"/>
  <c r="G597" i="2"/>
  <c r="G89" i="4" s="1"/>
  <c r="H596" i="2"/>
  <c r="F89" i="5" s="1"/>
  <c r="C596" i="2"/>
  <c r="A596" i="2"/>
  <c r="C595" i="2"/>
  <c r="A595" i="2"/>
  <c r="D594" i="2"/>
  <c r="D593" i="2"/>
  <c r="E592" i="2"/>
  <c r="D592" i="2"/>
  <c r="G591" i="2"/>
  <c r="H87" i="4" s="1"/>
  <c r="F591" i="2"/>
  <c r="H87" i="3" s="1"/>
  <c r="E591" i="2"/>
  <c r="C591" i="2"/>
  <c r="G590" i="2"/>
  <c r="G87" i="4" s="1"/>
  <c r="F590" i="2"/>
  <c r="G87" i="3" s="1"/>
  <c r="H589" i="2"/>
  <c r="F87" i="5" s="1"/>
  <c r="G589" i="2"/>
  <c r="F87" i="4" s="1"/>
  <c r="A589" i="2"/>
  <c r="H588" i="2"/>
  <c r="E87" i="5" s="1"/>
  <c r="C588" i="2"/>
  <c r="A588" i="2"/>
  <c r="D587" i="2"/>
  <c r="C587" i="2"/>
  <c r="A587" i="2"/>
  <c r="D585" i="2"/>
  <c r="F584" i="2"/>
  <c r="H86" i="3" s="1"/>
  <c r="E584" i="2"/>
  <c r="D584" i="2"/>
  <c r="F583" i="2"/>
  <c r="G86" i="3" s="1"/>
  <c r="E583" i="2"/>
  <c r="G582" i="2"/>
  <c r="F86" i="4" s="1"/>
  <c r="F582" i="2"/>
  <c r="F86" i="3" s="1"/>
  <c r="C582" i="2"/>
  <c r="A582" i="2"/>
  <c r="H581" i="2"/>
  <c r="E86" i="5" s="1"/>
  <c r="G581" i="2"/>
  <c r="E86" i="4" s="1"/>
  <c r="C581" i="2"/>
  <c r="H580" i="2"/>
  <c r="D86" i="5" s="1"/>
  <c r="C580" i="2"/>
  <c r="A580" i="2"/>
  <c r="C579" i="2"/>
  <c r="A579" i="2"/>
  <c r="D577" i="2"/>
  <c r="E576" i="2"/>
  <c r="D576" i="2"/>
  <c r="H575" i="2"/>
  <c r="F85" i="5" s="1"/>
  <c r="G575" i="2"/>
  <c r="F85" i="4" s="1"/>
  <c r="F575" i="2"/>
  <c r="F85" i="3" s="1"/>
  <c r="E575" i="2"/>
  <c r="H574" i="2"/>
  <c r="E85" i="5" s="1"/>
  <c r="G574" i="2"/>
  <c r="E85" i="4" s="1"/>
  <c r="F574" i="2"/>
  <c r="E85" i="3" s="1"/>
  <c r="H573" i="2"/>
  <c r="D85" i="5" s="1"/>
  <c r="G573" i="2"/>
  <c r="D85" i="4" s="1"/>
  <c r="C573" i="2"/>
  <c r="H572" i="2"/>
  <c r="C85" i="5" s="1"/>
  <c r="C572" i="2"/>
  <c r="A572" i="2"/>
  <c r="C571" i="2"/>
  <c r="A85" i="20" s="1"/>
  <c r="A571" i="2"/>
  <c r="D570" i="2"/>
  <c r="D569" i="2"/>
  <c r="E568" i="2"/>
  <c r="D568" i="2"/>
  <c r="G567" i="2"/>
  <c r="E84" i="4" s="1"/>
  <c r="F567" i="2"/>
  <c r="E84" i="3" s="1"/>
  <c r="E567" i="2"/>
  <c r="C567" i="2"/>
  <c r="H566" i="2"/>
  <c r="D84" i="5" s="1"/>
  <c r="G566" i="2"/>
  <c r="D84" i="4" s="1"/>
  <c r="F566" i="2"/>
  <c r="D84" i="3" s="1"/>
  <c r="H565" i="2"/>
  <c r="C84" i="5" s="1"/>
  <c r="G565" i="2"/>
  <c r="C84" i="4" s="1"/>
  <c r="A565" i="2"/>
  <c r="H564" i="2"/>
  <c r="C564" i="2"/>
  <c r="A84" i="20" s="1"/>
  <c r="A564" i="2"/>
  <c r="C563" i="2"/>
  <c r="A563" i="2"/>
  <c r="D562" i="2"/>
  <c r="F561" i="2"/>
  <c r="F83" i="3" s="1"/>
  <c r="D561" i="2"/>
  <c r="F560" i="2"/>
  <c r="E83" i="3" s="1"/>
  <c r="E560" i="2"/>
  <c r="D560" i="2"/>
  <c r="G559" i="2"/>
  <c r="D83" i="4" s="1"/>
  <c r="F559" i="2"/>
  <c r="D83" i="3" s="1"/>
  <c r="E559" i="2"/>
  <c r="G558" i="2"/>
  <c r="C83" i="4" s="1"/>
  <c r="F558" i="2"/>
  <c r="C83" i="3" s="1"/>
  <c r="H557" i="2"/>
  <c r="G557" i="2"/>
  <c r="B83" i="10" s="1"/>
  <c r="C557" i="2"/>
  <c r="A83" i="20" s="1"/>
  <c r="A557" i="2"/>
  <c r="H556" i="2"/>
  <c r="H82" i="5" s="1"/>
  <c r="C556" i="2"/>
  <c r="A556" i="2"/>
  <c r="C555" i="2"/>
  <c r="A555" i="2"/>
  <c r="G554" i="2"/>
  <c r="F82" i="4" s="1"/>
  <c r="G553" i="2"/>
  <c r="E82" i="4" s="1"/>
  <c r="F553" i="2"/>
  <c r="E82" i="3" s="1"/>
  <c r="D553" i="2"/>
  <c r="E552" i="2"/>
  <c r="D552" i="2"/>
  <c r="H551" i="2"/>
  <c r="C82" i="5" s="1"/>
  <c r="F551" i="2"/>
  <c r="C82" i="3" s="1"/>
  <c r="E551" i="2"/>
  <c r="C551" i="2"/>
  <c r="H550" i="2"/>
  <c r="G550" i="2"/>
  <c r="B82" i="10" s="1"/>
  <c r="F550" i="2"/>
  <c r="B82" i="9" s="1"/>
  <c r="H549" i="2"/>
  <c r="G549" i="2"/>
  <c r="C549" i="2"/>
  <c r="H548" i="2"/>
  <c r="C548" i="2"/>
  <c r="A548" i="2"/>
  <c r="C547" i="2"/>
  <c r="A547" i="2"/>
  <c r="D546" i="2"/>
  <c r="D545" i="2"/>
  <c r="E544" i="2"/>
  <c r="D544" i="2"/>
  <c r="F543" i="2"/>
  <c r="E543" i="2"/>
  <c r="H542" i="2"/>
  <c r="G542" i="2"/>
  <c r="F542" i="2"/>
  <c r="C542" i="2"/>
  <c r="H541" i="2"/>
  <c r="G541" i="2"/>
  <c r="C541" i="2"/>
  <c r="H540" i="2"/>
  <c r="C540" i="2"/>
  <c r="A540" i="2"/>
  <c r="C539" i="2"/>
  <c r="A539" i="2"/>
  <c r="D537" i="2"/>
  <c r="F536" i="2"/>
  <c r="E536" i="2"/>
  <c r="D536" i="2"/>
  <c r="H535" i="2"/>
  <c r="H80" i="5" s="1"/>
  <c r="G535" i="2"/>
  <c r="H80" i="4" s="1"/>
  <c r="F535" i="2"/>
  <c r="H80" i="3" s="1"/>
  <c r="E535" i="2"/>
  <c r="H534" i="2"/>
  <c r="G80" i="5" s="1"/>
  <c r="G534" i="2"/>
  <c r="G80" i="4" s="1"/>
  <c r="F534" i="2"/>
  <c r="G80" i="3" s="1"/>
  <c r="H533" i="2"/>
  <c r="F80" i="5" s="1"/>
  <c r="G533" i="2"/>
  <c r="F80" i="4" s="1"/>
  <c r="A533" i="2"/>
  <c r="H532" i="2"/>
  <c r="E80" i="5" s="1"/>
  <c r="C532" i="2"/>
  <c r="A532" i="2"/>
  <c r="D531" i="2"/>
  <c r="C531" i="2"/>
  <c r="A531" i="2"/>
  <c r="D530" i="2"/>
  <c r="D529" i="2"/>
  <c r="G528" i="2"/>
  <c r="H78" i="4" s="1"/>
  <c r="E528" i="2"/>
  <c r="D528" i="2"/>
  <c r="G527" i="2"/>
  <c r="G78" i="4" s="1"/>
  <c r="F527" i="2"/>
  <c r="G78" i="3" s="1"/>
  <c r="E527" i="2"/>
  <c r="G526" i="2"/>
  <c r="F78" i="4" s="1"/>
  <c r="F526" i="2"/>
  <c r="F78" i="3" s="1"/>
  <c r="A526" i="2"/>
  <c r="H525" i="2"/>
  <c r="E78" i="5" s="1"/>
  <c r="G525" i="2"/>
  <c r="E78" i="4" s="1"/>
  <c r="A525" i="2"/>
  <c r="H524" i="2"/>
  <c r="D78" i="5" s="1"/>
  <c r="C524" i="2"/>
  <c r="A524" i="2"/>
  <c r="C523" i="2"/>
  <c r="A523" i="2"/>
  <c r="D521" i="2"/>
  <c r="F520" i="2"/>
  <c r="G77" i="3" s="1"/>
  <c r="E520" i="2"/>
  <c r="D520" i="2"/>
  <c r="F519" i="2"/>
  <c r="F77" i="3" s="1"/>
  <c r="E519" i="2"/>
  <c r="G518" i="2"/>
  <c r="E77" i="4" s="1"/>
  <c r="F518" i="2"/>
  <c r="E77" i="3" s="1"/>
  <c r="H517" i="2"/>
  <c r="D77" i="5" s="1"/>
  <c r="G517" i="2"/>
  <c r="D77" i="4" s="1"/>
  <c r="H516" i="2"/>
  <c r="C77" i="5" s="1"/>
  <c r="C516" i="2"/>
  <c r="A516" i="2"/>
  <c r="C515" i="2"/>
  <c r="A515" i="2"/>
  <c r="F513" i="2"/>
  <c r="G76" i="3" s="1"/>
  <c r="D513" i="2"/>
  <c r="H512" i="2"/>
  <c r="F76" i="5" s="1"/>
  <c r="E512" i="2"/>
  <c r="D512" i="2"/>
  <c r="G511" i="2"/>
  <c r="E76" i="4" s="1"/>
  <c r="F511" i="2"/>
  <c r="E76" i="3" s="1"/>
  <c r="E511" i="2"/>
  <c r="C511" i="2"/>
  <c r="A511" i="2"/>
  <c r="H510" i="2"/>
  <c r="D76" i="5" s="1"/>
  <c r="G510" i="2"/>
  <c r="D76" i="4" s="1"/>
  <c r="F510" i="2"/>
  <c r="D76" i="3" s="1"/>
  <c r="H509" i="2"/>
  <c r="C76" i="5" s="1"/>
  <c r="G509" i="2"/>
  <c r="C76" i="4" s="1"/>
  <c r="C509" i="2"/>
  <c r="H508" i="2"/>
  <c r="C508" i="2"/>
  <c r="A76" i="20" s="1"/>
  <c r="A508" i="2"/>
  <c r="C507" i="2"/>
  <c r="A507" i="2"/>
  <c r="F506" i="2"/>
  <c r="G75" i="3" s="1"/>
  <c r="D506" i="2"/>
  <c r="D505" i="2"/>
  <c r="E504" i="2"/>
  <c r="D504" i="2"/>
  <c r="G503" i="2"/>
  <c r="D75" i="4" s="1"/>
  <c r="F503" i="2"/>
  <c r="D75" i="3" s="1"/>
  <c r="E503" i="2"/>
  <c r="H502" i="2"/>
  <c r="C75" i="5" s="1"/>
  <c r="G502" i="2"/>
  <c r="C75" i="4" s="1"/>
  <c r="F502" i="2"/>
  <c r="C75" i="3" s="1"/>
  <c r="H501" i="2"/>
  <c r="G501" i="2"/>
  <c r="B75" i="10" s="1"/>
  <c r="A501" i="2"/>
  <c r="H500" i="2"/>
  <c r="H74" i="5" s="1"/>
  <c r="C500" i="2"/>
  <c r="A500" i="2"/>
  <c r="C499" i="2"/>
  <c r="A499" i="2"/>
  <c r="D498" i="2"/>
  <c r="D497" i="2"/>
  <c r="E496" i="2"/>
  <c r="D496" i="2"/>
  <c r="G495" i="2"/>
  <c r="C74" i="4" s="1"/>
  <c r="F495" i="2"/>
  <c r="C74" i="3" s="1"/>
  <c r="E495" i="2"/>
  <c r="G494" i="2"/>
  <c r="B74" i="10" s="1"/>
  <c r="F494" i="2"/>
  <c r="B74" i="9" s="1"/>
  <c r="H493" i="2"/>
  <c r="H73" i="5" s="1"/>
  <c r="G493" i="2"/>
  <c r="H73" i="4" s="1"/>
  <c r="C493" i="2"/>
  <c r="A493" i="2"/>
  <c r="H492" i="2"/>
  <c r="G73" i="5" s="1"/>
  <c r="C492" i="2"/>
  <c r="A492" i="2"/>
  <c r="C491" i="2"/>
  <c r="A491" i="2"/>
  <c r="F490" i="2"/>
  <c r="E73" i="3" s="1"/>
  <c r="D489" i="2"/>
  <c r="F488" i="2"/>
  <c r="C73" i="3" s="1"/>
  <c r="E488" i="2"/>
  <c r="D488" i="2"/>
  <c r="H487" i="2"/>
  <c r="F487" i="2"/>
  <c r="B73" i="9" s="1"/>
  <c r="E487" i="2"/>
  <c r="H486" i="2"/>
  <c r="H72" i="5" s="1"/>
  <c r="G486" i="2"/>
  <c r="H72" i="4" s="1"/>
  <c r="F486" i="2"/>
  <c r="H72" i="3" s="1"/>
  <c r="H485" i="2"/>
  <c r="G72" i="5" s="1"/>
  <c r="G485" i="2"/>
  <c r="G72" i="4" s="1"/>
  <c r="C485" i="2"/>
  <c r="H484" i="2"/>
  <c r="F72" i="5" s="1"/>
  <c r="C484" i="2"/>
  <c r="A484" i="2"/>
  <c r="C483" i="2"/>
  <c r="A483" i="2"/>
  <c r="D482" i="2"/>
  <c r="D481" i="2"/>
  <c r="E480" i="2"/>
  <c r="D480" i="2"/>
  <c r="F479" i="2"/>
  <c r="H71" i="3" s="1"/>
  <c r="E479" i="2"/>
  <c r="H478" i="2"/>
  <c r="G71" i="5" s="1"/>
  <c r="G478" i="2"/>
  <c r="G71" i="4" s="1"/>
  <c r="F478" i="2"/>
  <c r="G71" i="3" s="1"/>
  <c r="C478" i="2"/>
  <c r="A478" i="2"/>
  <c r="H477" i="2"/>
  <c r="F71" i="5" s="1"/>
  <c r="G477" i="2"/>
  <c r="F71" i="4" s="1"/>
  <c r="C477" i="2"/>
  <c r="A477" i="2"/>
  <c r="H476" i="2"/>
  <c r="E71" i="5" s="1"/>
  <c r="C476" i="2"/>
  <c r="A476" i="2"/>
  <c r="C475" i="2"/>
  <c r="A475" i="2"/>
  <c r="D474" i="2"/>
  <c r="G473" i="2"/>
  <c r="B71" i="10" s="1"/>
  <c r="F473" i="2"/>
  <c r="B71" i="9" s="1"/>
  <c r="E473" i="2"/>
  <c r="D473" i="2"/>
  <c r="F472" i="2"/>
  <c r="E472" i="2"/>
  <c r="D472" i="2"/>
  <c r="F471" i="2"/>
  <c r="E471" i="2"/>
  <c r="H470" i="2"/>
  <c r="G470" i="2"/>
  <c r="F470" i="2"/>
  <c r="H469" i="2"/>
  <c r="G469" i="2"/>
  <c r="C469" i="2"/>
  <c r="A469" i="2"/>
  <c r="H468" i="2"/>
  <c r="C468" i="2"/>
  <c r="A468" i="2"/>
  <c r="C467" i="2"/>
  <c r="A467" i="2"/>
  <c r="F466" i="2"/>
  <c r="D465" i="2"/>
  <c r="F464" i="2"/>
  <c r="E464" i="2"/>
  <c r="D464" i="2"/>
  <c r="G463" i="2"/>
  <c r="F463" i="2"/>
  <c r="E463" i="2"/>
  <c r="H462" i="2"/>
  <c r="G462" i="2"/>
  <c r="F462" i="2"/>
  <c r="H461" i="2"/>
  <c r="G461" i="2"/>
  <c r="C461" i="2"/>
  <c r="H460" i="2"/>
  <c r="C460" i="2"/>
  <c r="A460" i="2"/>
  <c r="C459" i="2"/>
  <c r="A459" i="2"/>
  <c r="E458" i="2"/>
  <c r="D458" i="2"/>
  <c r="E457" i="2"/>
  <c r="D457" i="2"/>
  <c r="E456" i="2"/>
  <c r="D456" i="2"/>
  <c r="G455" i="2"/>
  <c r="E69" i="4" s="1"/>
  <c r="F455" i="2"/>
  <c r="E69" i="3" s="1"/>
  <c r="E455" i="2"/>
  <c r="H454" i="2"/>
  <c r="D69" i="5" s="1"/>
  <c r="G454" i="2"/>
  <c r="D69" i="4" s="1"/>
  <c r="F454" i="2"/>
  <c r="D69" i="3" s="1"/>
  <c r="C454" i="2"/>
  <c r="H453" i="2"/>
  <c r="C69" i="5" s="1"/>
  <c r="G453" i="2"/>
  <c r="C69" i="4" s="1"/>
  <c r="C453" i="2"/>
  <c r="A453" i="2"/>
  <c r="H452" i="2"/>
  <c r="D452" i="2"/>
  <c r="C452" i="2"/>
  <c r="A69" i="20" s="1"/>
  <c r="A452" i="2"/>
  <c r="C451" i="2"/>
  <c r="A451" i="2"/>
  <c r="E450" i="2"/>
  <c r="D450" i="2"/>
  <c r="E449" i="2"/>
  <c r="D449" i="2"/>
  <c r="F448" i="2"/>
  <c r="E67" i="3" s="1"/>
  <c r="E448" i="2"/>
  <c r="D448" i="2"/>
  <c r="G447" i="2"/>
  <c r="D67" i="4" s="1"/>
  <c r="F447" i="2"/>
  <c r="D67" i="3" s="1"/>
  <c r="E447" i="2"/>
  <c r="G446" i="2"/>
  <c r="C67" i="4" s="1"/>
  <c r="F446" i="2"/>
  <c r="C67" i="3" s="1"/>
  <c r="C446" i="2"/>
  <c r="A446" i="2"/>
  <c r="H445" i="2"/>
  <c r="G445" i="2"/>
  <c r="B67" i="10" s="1"/>
  <c r="C445" i="2"/>
  <c r="A67" i="20" s="1"/>
  <c r="A445" i="2"/>
  <c r="H444" i="2"/>
  <c r="H65" i="5" s="1"/>
  <c r="D444" i="2"/>
  <c r="C444" i="2"/>
  <c r="A444" i="2"/>
  <c r="C443" i="2"/>
  <c r="A443" i="2"/>
  <c r="D442" i="2"/>
  <c r="D441" i="2"/>
  <c r="F440" i="2"/>
  <c r="D65" i="3" s="1"/>
  <c r="E440" i="2"/>
  <c r="D440" i="2"/>
  <c r="G439" i="2"/>
  <c r="C65" i="4" s="1"/>
  <c r="F439" i="2"/>
  <c r="C65" i="3" s="1"/>
  <c r="E439" i="2"/>
  <c r="H438" i="2"/>
  <c r="G438" i="2"/>
  <c r="B65" i="10" s="1"/>
  <c r="F438" i="2"/>
  <c r="B65" i="9" s="1"/>
  <c r="H437" i="2"/>
  <c r="H64" i="5" s="1"/>
  <c r="G437" i="2"/>
  <c r="H64" i="4" s="1"/>
  <c r="H436" i="2"/>
  <c r="G64" i="5" s="1"/>
  <c r="C436" i="2"/>
  <c r="A436" i="2"/>
  <c r="C435" i="2"/>
  <c r="A435" i="2"/>
  <c r="D434" i="2"/>
  <c r="E433" i="2"/>
  <c r="D433" i="2"/>
  <c r="F432" i="2"/>
  <c r="C64" i="3" s="1"/>
  <c r="E432" i="2"/>
  <c r="D432" i="2"/>
  <c r="F431" i="2"/>
  <c r="B64" i="9" s="1"/>
  <c r="E431" i="2"/>
  <c r="H430" i="2"/>
  <c r="H63" i="5" s="1"/>
  <c r="G430" i="2"/>
  <c r="H63" i="4" s="1"/>
  <c r="F430" i="2"/>
  <c r="H63" i="3" s="1"/>
  <c r="C430" i="2"/>
  <c r="H429" i="2"/>
  <c r="G63" i="5" s="1"/>
  <c r="G429" i="2"/>
  <c r="G63" i="4" s="1"/>
  <c r="C429" i="2"/>
  <c r="A429" i="2"/>
  <c r="H428" i="2"/>
  <c r="F63" i="5" s="1"/>
  <c r="C428" i="2"/>
  <c r="A428" i="2"/>
  <c r="C427" i="2"/>
  <c r="A427" i="2"/>
  <c r="F425" i="2"/>
  <c r="C63" i="3" s="1"/>
  <c r="E425" i="2"/>
  <c r="D425" i="2"/>
  <c r="F424" i="2"/>
  <c r="B63" i="9" s="1"/>
  <c r="E424" i="2"/>
  <c r="D424" i="2"/>
  <c r="G423" i="2"/>
  <c r="H62" i="4" s="1"/>
  <c r="F423" i="2"/>
  <c r="H62" i="3" s="1"/>
  <c r="E423" i="2"/>
  <c r="G422" i="2"/>
  <c r="G62" i="4" s="1"/>
  <c r="F422" i="2"/>
  <c r="G62" i="3" s="1"/>
  <c r="C422" i="2"/>
  <c r="H421" i="2"/>
  <c r="F62" i="5" s="1"/>
  <c r="G421" i="2"/>
  <c r="F62" i="4" s="1"/>
  <c r="C421" i="2"/>
  <c r="A421" i="2"/>
  <c r="H420" i="2"/>
  <c r="E62" i="5" s="1"/>
  <c r="C420" i="2"/>
  <c r="A420" i="2"/>
  <c r="C419" i="2"/>
  <c r="A419" i="2"/>
  <c r="D418" i="2"/>
  <c r="E417" i="2"/>
  <c r="D417" i="2"/>
  <c r="E416" i="2"/>
  <c r="D416" i="2"/>
  <c r="G415" i="2"/>
  <c r="G61" i="4" s="1"/>
  <c r="F415" i="2"/>
  <c r="G61" i="3" s="1"/>
  <c r="E415" i="2"/>
  <c r="H414" i="2"/>
  <c r="F61" i="5" s="1"/>
  <c r="G414" i="2"/>
  <c r="F61" i="4" s="1"/>
  <c r="F414" i="2"/>
  <c r="F61" i="3" s="1"/>
  <c r="H413" i="2"/>
  <c r="E61" i="5" s="1"/>
  <c r="G413" i="2"/>
  <c r="E61" i="4" s="1"/>
  <c r="A413" i="2"/>
  <c r="H412" i="2"/>
  <c r="D61" i="5" s="1"/>
  <c r="C412" i="2"/>
  <c r="A412" i="2"/>
  <c r="C411" i="2"/>
  <c r="A411" i="2"/>
  <c r="D410" i="2"/>
  <c r="E409" i="2"/>
  <c r="D409" i="2"/>
  <c r="F408" i="2"/>
  <c r="G60" i="3" s="1"/>
  <c r="E408" i="2"/>
  <c r="D408" i="2"/>
  <c r="F407" i="2"/>
  <c r="F60" i="3" s="1"/>
  <c r="E407" i="2"/>
  <c r="H406" i="2"/>
  <c r="E60" i="5" s="1"/>
  <c r="G406" i="2"/>
  <c r="E60" i="4" s="1"/>
  <c r="F406" i="2"/>
  <c r="E60" i="3" s="1"/>
  <c r="H405" i="2"/>
  <c r="D60" i="5" s="1"/>
  <c r="G405" i="2"/>
  <c r="D60" i="4" s="1"/>
  <c r="C405" i="2"/>
  <c r="A405" i="2"/>
  <c r="H404" i="2"/>
  <c r="C60" i="5" s="1"/>
  <c r="C404" i="2"/>
  <c r="A404" i="2"/>
  <c r="C403" i="2"/>
  <c r="A60" i="20" s="1"/>
  <c r="A403" i="2"/>
  <c r="A59" i="20" s="1"/>
  <c r="F401" i="2"/>
  <c r="D401" i="2"/>
  <c r="F400" i="2"/>
  <c r="E400" i="2"/>
  <c r="D400" i="2"/>
  <c r="H399" i="2"/>
  <c r="G399" i="2"/>
  <c r="F399" i="2"/>
  <c r="E399" i="2"/>
  <c r="H398" i="2"/>
  <c r="G398" i="2"/>
  <c r="F398" i="2"/>
  <c r="H397" i="2"/>
  <c r="G397" i="2"/>
  <c r="C397" i="2"/>
  <c r="H396" i="2"/>
  <c r="C396" i="2"/>
  <c r="A396" i="2"/>
  <c r="C395" i="2"/>
  <c r="A395" i="2"/>
  <c r="E394" i="2"/>
  <c r="D394" i="2"/>
  <c r="E393" i="2"/>
  <c r="D393" i="2"/>
  <c r="E392" i="2"/>
  <c r="D392" i="2"/>
  <c r="H391" i="2"/>
  <c r="G391" i="2"/>
  <c r="F391" i="2"/>
  <c r="E391" i="2"/>
  <c r="H390" i="2"/>
  <c r="G390" i="2"/>
  <c r="F390" i="2"/>
  <c r="C390" i="2"/>
  <c r="A390" i="2"/>
  <c r="H389" i="2"/>
  <c r="G389" i="2"/>
  <c r="C389" i="2"/>
  <c r="A389" i="2"/>
  <c r="H388" i="2"/>
  <c r="H58" i="5" s="1"/>
  <c r="C388" i="2"/>
  <c r="A388" i="2"/>
  <c r="D387" i="2"/>
  <c r="C387" i="2"/>
  <c r="A387" i="2"/>
  <c r="D386" i="2"/>
  <c r="G385" i="2"/>
  <c r="E58" i="4" s="1"/>
  <c r="F385" i="2"/>
  <c r="E58" i="3" s="1"/>
  <c r="E385" i="2"/>
  <c r="D385" i="2"/>
  <c r="F384" i="2"/>
  <c r="D58" i="3" s="1"/>
  <c r="E384" i="2"/>
  <c r="D384" i="2"/>
  <c r="G383" i="2"/>
  <c r="C58" i="4" s="1"/>
  <c r="F383" i="2"/>
  <c r="C58" i="3" s="1"/>
  <c r="E383" i="2"/>
  <c r="G382" i="2"/>
  <c r="B58" i="10" s="1"/>
  <c r="F382" i="2"/>
  <c r="B58" i="9" s="1"/>
  <c r="H381" i="2"/>
  <c r="H57" i="5" s="1"/>
  <c r="G381" i="2"/>
  <c r="H57" i="4" s="1"/>
  <c r="C381" i="2"/>
  <c r="A381" i="2"/>
  <c r="H380" i="2"/>
  <c r="G57" i="5" s="1"/>
  <c r="C380" i="2"/>
  <c r="A380" i="2"/>
  <c r="C379" i="2"/>
  <c r="A379" i="2"/>
  <c r="D378" i="2"/>
  <c r="D377" i="2"/>
  <c r="F376" i="2"/>
  <c r="C57" i="3" s="1"/>
  <c r="E376" i="2"/>
  <c r="D376" i="2"/>
  <c r="G375" i="2"/>
  <c r="B57" i="10" s="1"/>
  <c r="F375" i="2"/>
  <c r="B57" i="9" s="1"/>
  <c r="E375" i="2"/>
  <c r="H374" i="2"/>
  <c r="H56" i="5" s="1"/>
  <c r="G374" i="2"/>
  <c r="H56" i="4" s="1"/>
  <c r="F374" i="2"/>
  <c r="H56" i="3" s="1"/>
  <c r="H373" i="2"/>
  <c r="G56" i="5" s="1"/>
  <c r="G373" i="2"/>
  <c r="G56" i="4" s="1"/>
  <c r="H372" i="2"/>
  <c r="F56" i="5" s="1"/>
  <c r="C372" i="2"/>
  <c r="A372" i="2"/>
  <c r="C371" i="2"/>
  <c r="A371" i="2"/>
  <c r="G370" i="2"/>
  <c r="D56" i="4" s="1"/>
  <c r="F370" i="2"/>
  <c r="D56" i="3" s="1"/>
  <c r="E370" i="2"/>
  <c r="D370" i="2"/>
  <c r="E369" i="2"/>
  <c r="D369" i="2"/>
  <c r="F368" i="2"/>
  <c r="B56" i="9" s="1"/>
  <c r="E368" i="2"/>
  <c r="D368" i="2"/>
  <c r="F367" i="2"/>
  <c r="H55" i="3" s="1"/>
  <c r="E367" i="2"/>
  <c r="H366" i="2"/>
  <c r="G55" i="5" s="1"/>
  <c r="G366" i="2"/>
  <c r="G55" i="4" s="1"/>
  <c r="F366" i="2"/>
  <c r="G55" i="3" s="1"/>
  <c r="A366" i="2"/>
  <c r="H365" i="2"/>
  <c r="F55" i="5" s="1"/>
  <c r="G365" i="2"/>
  <c r="F55" i="4" s="1"/>
  <c r="C365" i="2"/>
  <c r="A365" i="2"/>
  <c r="H364" i="2"/>
  <c r="E55" i="5" s="1"/>
  <c r="C364" i="2"/>
  <c r="A364" i="2"/>
  <c r="E363" i="2"/>
  <c r="C363" i="2"/>
  <c r="A363" i="2"/>
  <c r="F361" i="2"/>
  <c r="B55" i="3" s="1"/>
  <c r="E361" i="2"/>
  <c r="D361" i="2"/>
  <c r="G360" i="2"/>
  <c r="H54" i="4" s="1"/>
  <c r="F360" i="2"/>
  <c r="H54" i="3" s="1"/>
  <c r="E360" i="2"/>
  <c r="D360" i="2"/>
  <c r="G359" i="2"/>
  <c r="G54" i="4" s="1"/>
  <c r="F359" i="2"/>
  <c r="G54" i="3" s="1"/>
  <c r="E359" i="2"/>
  <c r="A359" i="2"/>
  <c r="G358" i="2"/>
  <c r="F54" i="4" s="1"/>
  <c r="F358" i="2"/>
  <c r="F54" i="3" s="1"/>
  <c r="H357" i="2"/>
  <c r="E54" i="5" s="1"/>
  <c r="G357" i="2"/>
  <c r="E54" i="4" s="1"/>
  <c r="C357" i="2"/>
  <c r="A357" i="2"/>
  <c r="H356" i="2"/>
  <c r="D54" i="5" s="1"/>
  <c r="C356" i="2"/>
  <c r="A356" i="2"/>
  <c r="C355" i="2"/>
  <c r="A355" i="2"/>
  <c r="D354" i="2"/>
  <c r="E353" i="2"/>
  <c r="D353" i="2"/>
  <c r="G352" i="2"/>
  <c r="G53" i="4" s="1"/>
  <c r="E352" i="2"/>
  <c r="D352" i="2"/>
  <c r="G351" i="2"/>
  <c r="F53" i="4" s="1"/>
  <c r="F351" i="2"/>
  <c r="F53" i="3" s="1"/>
  <c r="E351" i="2"/>
  <c r="H350" i="2"/>
  <c r="E53" i="5" s="1"/>
  <c r="G350" i="2"/>
  <c r="E53" i="4" s="1"/>
  <c r="F350" i="2"/>
  <c r="E53" i="3" s="1"/>
  <c r="H349" i="2"/>
  <c r="D53" i="5" s="1"/>
  <c r="G349" i="2"/>
  <c r="D53" i="4" s="1"/>
  <c r="A349" i="2"/>
  <c r="H348" i="2"/>
  <c r="C53" i="5" s="1"/>
  <c r="C348" i="2"/>
  <c r="A348" i="2"/>
  <c r="C347" i="2"/>
  <c r="A53" i="20" s="1"/>
  <c r="A347" i="2"/>
  <c r="D346" i="2"/>
  <c r="G345" i="2"/>
  <c r="G52" i="4" s="1"/>
  <c r="F345" i="2"/>
  <c r="G52" i="3" s="1"/>
  <c r="E345" i="2"/>
  <c r="D345" i="2"/>
  <c r="F344" i="2"/>
  <c r="F52" i="3" s="1"/>
  <c r="E344" i="2"/>
  <c r="D344" i="2"/>
  <c r="F343" i="2"/>
  <c r="E52" i="3" s="1"/>
  <c r="E343" i="2"/>
  <c r="H342" i="2"/>
  <c r="D52" i="5" s="1"/>
  <c r="G342" i="2"/>
  <c r="D52" i="4" s="1"/>
  <c r="F342" i="2"/>
  <c r="D52" i="3" s="1"/>
  <c r="A342" i="2"/>
  <c r="H341" i="2"/>
  <c r="C52" i="5" s="1"/>
  <c r="G341" i="2"/>
  <c r="C52" i="4" s="1"/>
  <c r="C341" i="2"/>
  <c r="A341" i="2"/>
  <c r="H340" i="2"/>
  <c r="C340" i="2"/>
  <c r="A52" i="20" s="1"/>
  <c r="A340" i="2"/>
  <c r="C339" i="2"/>
  <c r="A339" i="2"/>
  <c r="D337" i="2"/>
  <c r="F336" i="2"/>
  <c r="E51" i="3" s="1"/>
  <c r="E336" i="2"/>
  <c r="D336" i="2"/>
  <c r="G335" i="2"/>
  <c r="D51" i="4" s="1"/>
  <c r="F335" i="2"/>
  <c r="D51" i="3" s="1"/>
  <c r="E335" i="2"/>
  <c r="H334" i="2"/>
  <c r="C51" i="5" s="1"/>
  <c r="G334" i="2"/>
  <c r="C51" i="4" s="1"/>
  <c r="F334" i="2"/>
  <c r="C51" i="3" s="1"/>
  <c r="H333" i="2"/>
  <c r="G333" i="2"/>
  <c r="B51" i="10" s="1"/>
  <c r="C333" i="2"/>
  <c r="A51" i="20" s="1"/>
  <c r="H332" i="2"/>
  <c r="H50" i="5" s="1"/>
  <c r="C332" i="2"/>
  <c r="A332" i="2"/>
  <c r="D331" i="2"/>
  <c r="C331" i="2"/>
  <c r="A331" i="2"/>
  <c r="E330" i="2"/>
  <c r="D330" i="2"/>
  <c r="E329" i="2"/>
  <c r="D329" i="2"/>
  <c r="E328" i="2"/>
  <c r="D328" i="2"/>
  <c r="G327" i="2"/>
  <c r="C50" i="4" s="1"/>
  <c r="F327" i="2"/>
  <c r="C50" i="3" s="1"/>
  <c r="E327" i="2"/>
  <c r="H326" i="2"/>
  <c r="G326" i="2"/>
  <c r="B50" i="10" s="1"/>
  <c r="F326" i="2"/>
  <c r="B50" i="9" s="1"/>
  <c r="H325" i="2"/>
  <c r="H49" i="5" s="1"/>
  <c r="G325" i="2"/>
  <c r="H49" i="4" s="1"/>
  <c r="C325" i="2"/>
  <c r="A325" i="2"/>
  <c r="H324" i="2"/>
  <c r="G49" i="5" s="1"/>
  <c r="C324" i="2"/>
  <c r="A324" i="2"/>
  <c r="C323" i="2"/>
  <c r="A323" i="2"/>
  <c r="E322" i="2"/>
  <c r="D322" i="2"/>
  <c r="E321" i="2"/>
  <c r="D321" i="2"/>
  <c r="G320" i="2"/>
  <c r="C49" i="4" s="1"/>
  <c r="F320" i="2"/>
  <c r="C49" i="3" s="1"/>
  <c r="E320" i="2"/>
  <c r="D320" i="2"/>
  <c r="G319" i="2"/>
  <c r="B49" i="10" s="1"/>
  <c r="F319" i="2"/>
  <c r="B49" i="9" s="1"/>
  <c r="E319" i="2"/>
  <c r="A48" i="5"/>
  <c r="G318" i="2"/>
  <c r="F318" i="2"/>
  <c r="C318" i="2"/>
  <c r="H317" i="2"/>
  <c r="G317" i="2"/>
  <c r="C317" i="2"/>
  <c r="A317" i="2"/>
  <c r="H316" i="2"/>
  <c r="D316" i="2"/>
  <c r="C316" i="2"/>
  <c r="A316" i="2"/>
  <c r="C315" i="2"/>
  <c r="A315" i="2"/>
  <c r="D314" i="2"/>
  <c r="D313" i="2"/>
  <c r="F312" i="2"/>
  <c r="E312" i="2"/>
  <c r="D312" i="2"/>
  <c r="G311" i="2"/>
  <c r="F311" i="2"/>
  <c r="E311" i="2"/>
  <c r="H310" i="2"/>
  <c r="G310" i="2"/>
  <c r="F310" i="2"/>
  <c r="H309" i="2"/>
  <c r="G309" i="2"/>
  <c r="H308" i="2"/>
  <c r="C308" i="2"/>
  <c r="A308" i="2"/>
  <c r="E307" i="2"/>
  <c r="D307" i="2"/>
  <c r="C307" i="2"/>
  <c r="A307" i="2"/>
  <c r="D306" i="2"/>
  <c r="G305" i="2"/>
  <c r="F305" i="2"/>
  <c r="E305" i="2"/>
  <c r="D305" i="2"/>
  <c r="F304" i="2"/>
  <c r="H47" i="3" s="1"/>
  <c r="E304" i="2"/>
  <c r="D304" i="2"/>
  <c r="H303" i="2"/>
  <c r="G47" i="5" s="1"/>
  <c r="F303" i="2"/>
  <c r="G47" i="3" s="1"/>
  <c r="E303" i="2"/>
  <c r="H302" i="2"/>
  <c r="F47" i="5" s="1"/>
  <c r="G302" i="2"/>
  <c r="F47" i="4" s="1"/>
  <c r="F302" i="2"/>
  <c r="F47" i="3" s="1"/>
  <c r="A302" i="2"/>
  <c r="H301" i="2"/>
  <c r="E47" i="5" s="1"/>
  <c r="G301" i="2"/>
  <c r="E47" i="4" s="1"/>
  <c r="C301" i="2"/>
  <c r="A301" i="2"/>
  <c r="H300" i="2"/>
  <c r="D47" i="5" s="1"/>
  <c r="C300" i="2"/>
  <c r="A300" i="2"/>
  <c r="C299" i="2"/>
  <c r="A299" i="2"/>
  <c r="E297" i="2"/>
  <c r="D297" i="2"/>
  <c r="F296" i="2"/>
  <c r="G45" i="3" s="1"/>
  <c r="E296" i="2"/>
  <c r="D296" i="2"/>
  <c r="G295" i="2"/>
  <c r="F45" i="4" s="1"/>
  <c r="F295" i="2"/>
  <c r="F45" i="3" s="1"/>
  <c r="E295" i="2"/>
  <c r="G294" i="2"/>
  <c r="E45" i="4" s="1"/>
  <c r="F294" i="2"/>
  <c r="E45" i="3" s="1"/>
  <c r="C294" i="2"/>
  <c r="H293" i="2"/>
  <c r="D45" i="5" s="1"/>
  <c r="G293" i="2"/>
  <c r="D45" i="4" s="1"/>
  <c r="C293" i="2"/>
  <c r="A293" i="2"/>
  <c r="H292" i="2"/>
  <c r="C45" i="5" s="1"/>
  <c r="C292" i="2"/>
  <c r="A292" i="2"/>
  <c r="C291" i="2"/>
  <c r="A45" i="20" s="1"/>
  <c r="A291" i="2"/>
  <c r="E290" i="2"/>
  <c r="D290" i="2"/>
  <c r="E289" i="2"/>
  <c r="D289" i="2"/>
  <c r="E288" i="2"/>
  <c r="D288" i="2"/>
  <c r="H287" i="2"/>
  <c r="E43" i="5" s="1"/>
  <c r="G287" i="2"/>
  <c r="E43" i="4" s="1"/>
  <c r="F287" i="2"/>
  <c r="E43" i="3" s="1"/>
  <c r="E287" i="2"/>
  <c r="H286" i="2"/>
  <c r="D43" i="5" s="1"/>
  <c r="G286" i="2"/>
  <c r="D43" i="4" s="1"/>
  <c r="F286" i="2"/>
  <c r="D43" i="3" s="1"/>
  <c r="A286" i="2"/>
  <c r="H285" i="2"/>
  <c r="C43" i="5" s="1"/>
  <c r="G285" i="2"/>
  <c r="C43" i="4" s="1"/>
  <c r="A285" i="2"/>
  <c r="H284" i="2"/>
  <c r="C284" i="2"/>
  <c r="A43" i="20" s="1"/>
  <c r="A284" i="2"/>
  <c r="E283" i="2"/>
  <c r="D283" i="2"/>
  <c r="C283" i="2"/>
  <c r="A283" i="2"/>
  <c r="D282" i="2"/>
  <c r="F281" i="2"/>
  <c r="F42" i="3" s="1"/>
  <c r="E281" i="2"/>
  <c r="D281" i="2"/>
  <c r="F280" i="2"/>
  <c r="E42" i="3" s="1"/>
  <c r="E280" i="2"/>
  <c r="D280" i="2"/>
  <c r="F279" i="2"/>
  <c r="D42" i="3" s="1"/>
  <c r="E279" i="2"/>
  <c r="H278" i="2"/>
  <c r="C42" i="5" s="1"/>
  <c r="G278" i="2"/>
  <c r="C42" i="4" s="1"/>
  <c r="F278" i="2"/>
  <c r="C42" i="3" s="1"/>
  <c r="C278" i="2"/>
  <c r="H277" i="2"/>
  <c r="G277" i="2"/>
  <c r="B42" i="10" s="1"/>
  <c r="C277" i="2"/>
  <c r="A42" i="20" s="1"/>
  <c r="A277" i="2"/>
  <c r="H276" i="2"/>
  <c r="H41" i="5" s="1"/>
  <c r="C276" i="2"/>
  <c r="A276" i="2"/>
  <c r="C275" i="2"/>
  <c r="A275" i="2"/>
  <c r="G273" i="2"/>
  <c r="E41" i="4" s="1"/>
  <c r="F273" i="2"/>
  <c r="E41" i="3" s="1"/>
  <c r="D273" i="2"/>
  <c r="F272" i="2"/>
  <c r="D41" i="3" s="1"/>
  <c r="E272" i="2"/>
  <c r="D272" i="2"/>
  <c r="A272" i="2"/>
  <c r="H271" i="2"/>
  <c r="C41" i="5" s="1"/>
  <c r="G271" i="2"/>
  <c r="C41" i="4" s="1"/>
  <c r="F271" i="2"/>
  <c r="C41" i="3" s="1"/>
  <c r="E271" i="2"/>
  <c r="H270" i="2"/>
  <c r="G270" i="2"/>
  <c r="B41" i="10" s="1"/>
  <c r="F270" i="2"/>
  <c r="B41" i="9" s="1"/>
  <c r="A270" i="2"/>
  <c r="H269" i="2"/>
  <c r="H40" i="5" s="1"/>
  <c r="G269" i="2"/>
  <c r="H40" i="4" s="1"/>
  <c r="A269" i="2"/>
  <c r="H268" i="2"/>
  <c r="G40" i="5" s="1"/>
  <c r="C268" i="2"/>
  <c r="A268" i="2"/>
  <c r="D267" i="2"/>
  <c r="C267" i="2"/>
  <c r="A267" i="2"/>
  <c r="D266" i="2"/>
  <c r="E265" i="2"/>
  <c r="D265" i="2"/>
  <c r="F264" i="2"/>
  <c r="C40" i="3" s="1"/>
  <c r="E264" i="2"/>
  <c r="D264" i="2"/>
  <c r="G263" i="2"/>
  <c r="B40" i="10" s="1"/>
  <c r="F263" i="2"/>
  <c r="B40" i="9" s="1"/>
  <c r="E263" i="2"/>
  <c r="H262" i="2"/>
  <c r="H39" i="5" s="1"/>
  <c r="G262" i="2"/>
  <c r="H39" i="4" s="1"/>
  <c r="F262" i="2"/>
  <c r="H39" i="3" s="1"/>
  <c r="H261" i="2"/>
  <c r="G39" i="5" s="1"/>
  <c r="G261" i="2"/>
  <c r="G39" i="4" s="1"/>
  <c r="A261" i="2"/>
  <c r="H260" i="2"/>
  <c r="F39" i="5" s="1"/>
  <c r="C260" i="2"/>
  <c r="A260" i="2"/>
  <c r="C259" i="2"/>
  <c r="A259" i="2"/>
  <c r="E258" i="2"/>
  <c r="D258" i="2"/>
  <c r="F257" i="2"/>
  <c r="C39" i="3" s="1"/>
  <c r="E257" i="2"/>
  <c r="D257" i="2"/>
  <c r="F256" i="2"/>
  <c r="B39" i="9" s="1"/>
  <c r="E256" i="2"/>
  <c r="D256" i="2"/>
  <c r="H255" i="2"/>
  <c r="H38" i="5" s="1"/>
  <c r="G255" i="2"/>
  <c r="H38" i="4" s="1"/>
  <c r="F255" i="2"/>
  <c r="H38" i="3" s="1"/>
  <c r="E255" i="2"/>
  <c r="H254" i="2"/>
  <c r="G38" i="5" s="1"/>
  <c r="G254" i="2"/>
  <c r="G38" i="4" s="1"/>
  <c r="F254" i="2"/>
  <c r="G38" i="3" s="1"/>
  <c r="A254" i="2"/>
  <c r="H253" i="2"/>
  <c r="F38" i="5" s="1"/>
  <c r="G253" i="2"/>
  <c r="F38" i="4" s="1"/>
  <c r="A253" i="2"/>
  <c r="H252" i="2"/>
  <c r="E38" i="5" s="1"/>
  <c r="C252" i="2"/>
  <c r="A252" i="2"/>
  <c r="D251" i="2"/>
  <c r="C251" i="2"/>
  <c r="A251" i="2"/>
  <c r="D250" i="2"/>
  <c r="F249" i="2"/>
  <c r="B38" i="9" s="1"/>
  <c r="E249" i="2"/>
  <c r="D249" i="2"/>
  <c r="G248" i="2"/>
  <c r="F248" i="2"/>
  <c r="E248" i="2"/>
  <c r="D248" i="2"/>
  <c r="G247" i="2"/>
  <c r="F247" i="2"/>
  <c r="E247" i="2"/>
  <c r="H246" i="2"/>
  <c r="G246" i="2"/>
  <c r="F246" i="2"/>
  <c r="H245" i="2"/>
  <c r="G245" i="2"/>
  <c r="A245" i="2"/>
  <c r="H244" i="2"/>
  <c r="C244" i="2"/>
  <c r="A244" i="2"/>
  <c r="C243" i="2"/>
  <c r="A243" i="2"/>
  <c r="F242" i="2"/>
  <c r="E242" i="2"/>
  <c r="D242" i="2"/>
  <c r="E241" i="2"/>
  <c r="D241" i="2"/>
  <c r="G240" i="2"/>
  <c r="F240" i="2"/>
  <c r="E240" i="2"/>
  <c r="D240" i="2"/>
  <c r="G239" i="2"/>
  <c r="F239" i="2"/>
  <c r="E239" i="2"/>
  <c r="H238" i="2"/>
  <c r="G238" i="2"/>
  <c r="F238" i="2"/>
  <c r="H237" i="2"/>
  <c r="G237" i="2"/>
  <c r="A237" i="2"/>
  <c r="H236" i="2"/>
  <c r="C236" i="2"/>
  <c r="A236" i="2"/>
  <c r="C235" i="2"/>
  <c r="A235" i="2"/>
  <c r="D234" i="2"/>
  <c r="E233" i="2"/>
  <c r="D233" i="2"/>
  <c r="H232" i="2"/>
  <c r="F36" i="5" s="1"/>
  <c r="G232" i="2"/>
  <c r="F36" i="4" s="1"/>
  <c r="F232" i="2"/>
  <c r="F36" i="3" s="1"/>
  <c r="E232" i="2"/>
  <c r="D232" i="2"/>
  <c r="G231" i="2"/>
  <c r="E36" i="4" s="1"/>
  <c r="F231" i="2"/>
  <c r="E36" i="3" s="1"/>
  <c r="E231" i="2"/>
  <c r="C231" i="2"/>
  <c r="H230" i="2"/>
  <c r="D36" i="5" s="1"/>
  <c r="G230" i="2"/>
  <c r="D36" i="4" s="1"/>
  <c r="F230" i="2"/>
  <c r="D36" i="3" s="1"/>
  <c r="H229" i="2"/>
  <c r="C36" i="5" s="1"/>
  <c r="G229" i="2"/>
  <c r="C36" i="4" s="1"/>
  <c r="A229" i="2"/>
  <c r="H228" i="2"/>
  <c r="C228" i="2"/>
  <c r="A36" i="20" s="1"/>
  <c r="A228" i="2"/>
  <c r="C227" i="2"/>
  <c r="A227" i="2"/>
  <c r="E226" i="2"/>
  <c r="D226" i="2"/>
  <c r="E225" i="2"/>
  <c r="D225" i="2"/>
  <c r="G224" i="2"/>
  <c r="E35" i="4" s="1"/>
  <c r="F224" i="2"/>
  <c r="E35" i="3" s="1"/>
  <c r="E224" i="2"/>
  <c r="D224" i="2"/>
  <c r="G223" i="2"/>
  <c r="D35" i="4" s="1"/>
  <c r="F223" i="2"/>
  <c r="D35" i="3" s="1"/>
  <c r="E223" i="2"/>
  <c r="H222" i="2"/>
  <c r="C35" i="5" s="1"/>
  <c r="G222" i="2"/>
  <c r="C35" i="4" s="1"/>
  <c r="F222" i="2"/>
  <c r="C35" i="3" s="1"/>
  <c r="A222" i="2"/>
  <c r="H221" i="2"/>
  <c r="G221" i="2"/>
  <c r="B35" i="10" s="1"/>
  <c r="A221" i="2"/>
  <c r="H220" i="2"/>
  <c r="H34" i="5" s="1"/>
  <c r="C220" i="2"/>
  <c r="A220" i="2"/>
  <c r="D219" i="2"/>
  <c r="C219" i="2"/>
  <c r="A219" i="2"/>
  <c r="D218" i="2"/>
  <c r="F217" i="2"/>
  <c r="E34" i="3" s="1"/>
  <c r="E217" i="2"/>
  <c r="D217" i="2"/>
  <c r="F216" i="2"/>
  <c r="D34" i="3" s="1"/>
  <c r="E216" i="2"/>
  <c r="D216" i="2"/>
  <c r="G215" i="2"/>
  <c r="C34" i="4" s="1"/>
  <c r="F215" i="2"/>
  <c r="C34" i="3" s="1"/>
  <c r="E215" i="2"/>
  <c r="H214" i="2"/>
  <c r="G214" i="2"/>
  <c r="B34" i="10" s="1"/>
  <c r="F214" i="2"/>
  <c r="B34" i="9" s="1"/>
  <c r="H213" i="2"/>
  <c r="H33" i="5" s="1"/>
  <c r="G213" i="2"/>
  <c r="H33" i="4" s="1"/>
  <c r="A213" i="2"/>
  <c r="H212" i="2"/>
  <c r="G33" i="5" s="1"/>
  <c r="C212" i="2"/>
  <c r="A212" i="2"/>
  <c r="C211" i="2"/>
  <c r="A211" i="2"/>
  <c r="D210" i="2"/>
  <c r="F209" i="2"/>
  <c r="D33" i="3" s="1"/>
  <c r="E209" i="2"/>
  <c r="D209" i="2"/>
  <c r="F208" i="2"/>
  <c r="C33" i="3" s="1"/>
  <c r="E208" i="2"/>
  <c r="D208" i="2"/>
  <c r="H207" i="2"/>
  <c r="B33" i="5" s="1"/>
  <c r="G207" i="2"/>
  <c r="B33" i="4" s="1"/>
  <c r="F207" i="2"/>
  <c r="B33" i="3" s="1"/>
  <c r="E207" i="2"/>
  <c r="H206" i="2"/>
  <c r="H32" i="5" s="1"/>
  <c r="G206" i="2"/>
  <c r="H32" i="4" s="1"/>
  <c r="F206" i="2"/>
  <c r="H32" i="3" s="1"/>
  <c r="A206" i="2"/>
  <c r="H205" i="2"/>
  <c r="G32" i="5" s="1"/>
  <c r="G205" i="2"/>
  <c r="G32" i="4" s="1"/>
  <c r="A205" i="2"/>
  <c r="H204" i="2"/>
  <c r="F32" i="5" s="1"/>
  <c r="C204" i="2"/>
  <c r="A204" i="2"/>
  <c r="E203" i="2"/>
  <c r="D203" i="2"/>
  <c r="C203" i="2"/>
  <c r="A203" i="2"/>
  <c r="D202" i="2"/>
  <c r="F201" i="2"/>
  <c r="C32" i="3" s="1"/>
  <c r="E201" i="2"/>
  <c r="D201" i="2"/>
  <c r="F200" i="2"/>
  <c r="B32" i="9" s="1"/>
  <c r="E200" i="2"/>
  <c r="D200" i="2"/>
  <c r="G199" i="2"/>
  <c r="H31" i="4" s="1"/>
  <c r="F199" i="2"/>
  <c r="H31" i="3" s="1"/>
  <c r="E199" i="2"/>
  <c r="H198" i="2"/>
  <c r="G31" i="5" s="1"/>
  <c r="G198" i="2"/>
  <c r="G31" i="4" s="1"/>
  <c r="F198" i="2"/>
  <c r="G31" i="3" s="1"/>
  <c r="H197" i="2"/>
  <c r="F31" i="5" s="1"/>
  <c r="G197" i="2"/>
  <c r="F31" i="4" s="1"/>
  <c r="A197" i="2"/>
  <c r="H196" i="2"/>
  <c r="E31" i="5" s="1"/>
  <c r="C196" i="2"/>
  <c r="A196" i="2"/>
  <c r="C195" i="2"/>
  <c r="A195" i="2"/>
  <c r="E194" i="2"/>
  <c r="D194" i="2"/>
  <c r="E193" i="2"/>
  <c r="D193" i="2"/>
  <c r="F192" i="2"/>
  <c r="H30" i="3" s="1"/>
  <c r="E192" i="2"/>
  <c r="D192" i="2"/>
  <c r="G191" i="2"/>
  <c r="G30" i="4" s="1"/>
  <c r="F191" i="2"/>
  <c r="G30" i="3" s="1"/>
  <c r="E191" i="2"/>
  <c r="A191" i="2"/>
  <c r="H190" i="2"/>
  <c r="F30" i="5" s="1"/>
  <c r="G190" i="2"/>
  <c r="F30" i="4" s="1"/>
  <c r="F190" i="2"/>
  <c r="F30" i="3" s="1"/>
  <c r="H189" i="2"/>
  <c r="E30" i="5" s="1"/>
  <c r="G189" i="2"/>
  <c r="E30" i="4" s="1"/>
  <c r="A189" i="2"/>
  <c r="H188" i="2"/>
  <c r="D30" i="5" s="1"/>
  <c r="C188" i="2"/>
  <c r="A188" i="2"/>
  <c r="C187" i="2"/>
  <c r="A187" i="2"/>
  <c r="D186" i="2"/>
  <c r="E185" i="2"/>
  <c r="D185" i="2"/>
  <c r="G184" i="2"/>
  <c r="G29" i="4" s="1"/>
  <c r="F184" i="2"/>
  <c r="G29" i="3" s="1"/>
  <c r="E184" i="2"/>
  <c r="D184" i="2"/>
  <c r="G183" i="2"/>
  <c r="F29" i="4" s="1"/>
  <c r="F183" i="2"/>
  <c r="F29" i="3" s="1"/>
  <c r="E183" i="2"/>
  <c r="C183" i="2"/>
  <c r="A183" i="2"/>
  <c r="H182" i="2"/>
  <c r="E29" i="5" s="1"/>
  <c r="G182" i="2"/>
  <c r="E29" i="4" s="1"/>
  <c r="F182" i="2"/>
  <c r="E29" i="3" s="1"/>
  <c r="H181" i="2"/>
  <c r="D29" i="5" s="1"/>
  <c r="G181" i="2"/>
  <c r="D29" i="4" s="1"/>
  <c r="A181" i="2"/>
  <c r="H180" i="2"/>
  <c r="C29" i="5" s="1"/>
  <c r="C180" i="2"/>
  <c r="A180" i="2"/>
  <c r="C179" i="2"/>
  <c r="A29" i="20" s="1"/>
  <c r="A179" i="2"/>
  <c r="E178" i="2"/>
  <c r="D178" i="2"/>
  <c r="E177" i="2"/>
  <c r="D177" i="2"/>
  <c r="F176" i="2"/>
  <c r="F28" i="3" s="1"/>
  <c r="E176" i="2"/>
  <c r="D176" i="2"/>
  <c r="G175" i="2"/>
  <c r="E28" i="4" s="1"/>
  <c r="F175" i="2"/>
  <c r="E28" i="3" s="1"/>
  <c r="E175" i="2"/>
  <c r="H174" i="2"/>
  <c r="D28" i="5" s="1"/>
  <c r="G174" i="2"/>
  <c r="D28" i="4" s="1"/>
  <c r="F174" i="2"/>
  <c r="D28" i="3" s="1"/>
  <c r="H173" i="2"/>
  <c r="C28" i="5" s="1"/>
  <c r="G173" i="2"/>
  <c r="C28" i="4" s="1"/>
  <c r="A173" i="2"/>
  <c r="H172" i="2"/>
  <c r="C172" i="2"/>
  <c r="A28" i="20" s="1"/>
  <c r="A172" i="2"/>
  <c r="C171" i="2"/>
  <c r="A171" i="2"/>
  <c r="E170" i="2"/>
  <c r="D170" i="2"/>
  <c r="E169" i="2"/>
  <c r="D169" i="2"/>
  <c r="F168" i="2"/>
  <c r="E27" i="3" s="1"/>
  <c r="E168" i="2"/>
  <c r="D168" i="2"/>
  <c r="G167" i="2"/>
  <c r="D27" i="4" s="1"/>
  <c r="F167" i="2"/>
  <c r="D27" i="3" s="1"/>
  <c r="E167" i="2"/>
  <c r="H166" i="2"/>
  <c r="C27" i="5" s="1"/>
  <c r="G166" i="2"/>
  <c r="C27" i="4" s="1"/>
  <c r="F166" i="2"/>
  <c r="C27" i="3" s="1"/>
  <c r="H165" i="2"/>
  <c r="G165" i="2"/>
  <c r="B27" i="10" s="1"/>
  <c r="A165" i="2"/>
  <c r="A26" i="20" s="1"/>
  <c r="H164" i="2"/>
  <c r="C164" i="2"/>
  <c r="A164" i="2"/>
  <c r="C163" i="2"/>
  <c r="A163" i="2"/>
  <c r="E162" i="2"/>
  <c r="D162" i="2"/>
  <c r="E161" i="2"/>
  <c r="D161" i="2"/>
  <c r="G160" i="2"/>
  <c r="F160" i="2"/>
  <c r="E160" i="2"/>
  <c r="D160" i="2"/>
  <c r="G159" i="2"/>
  <c r="F159" i="2"/>
  <c r="E159" i="2"/>
  <c r="A159" i="2"/>
  <c r="H158" i="2"/>
  <c r="G158" i="2"/>
  <c r="F158" i="2"/>
  <c r="H157" i="2"/>
  <c r="G157" i="2"/>
  <c r="A157" i="2"/>
  <c r="H156" i="2"/>
  <c r="C156" i="2"/>
  <c r="A156" i="2"/>
  <c r="C155" i="2"/>
  <c r="A155" i="2"/>
  <c r="D154" i="2"/>
  <c r="E153" i="2"/>
  <c r="D153" i="2"/>
  <c r="G152" i="2"/>
  <c r="F152" i="2"/>
  <c r="E152" i="2"/>
  <c r="D152" i="2"/>
  <c r="G151" i="2"/>
  <c r="F151" i="2"/>
  <c r="E151" i="2"/>
  <c r="A151" i="2"/>
  <c r="H150" i="2"/>
  <c r="H25" i="5" s="1"/>
  <c r="G150" i="2"/>
  <c r="H25" i="4" s="1"/>
  <c r="F150" i="2"/>
  <c r="H25" i="3" s="1"/>
  <c r="H149" i="2"/>
  <c r="G25" i="5" s="1"/>
  <c r="G149" i="2"/>
  <c r="G25" i="4" s="1"/>
  <c r="A149" i="2"/>
  <c r="H148" i="2"/>
  <c r="F25" i="5" s="1"/>
  <c r="D148" i="2"/>
  <c r="C148" i="2"/>
  <c r="A148" i="2"/>
  <c r="C147" i="2"/>
  <c r="A147" i="2"/>
  <c r="E146" i="2"/>
  <c r="D146" i="2"/>
  <c r="E145" i="2"/>
  <c r="D145" i="2"/>
  <c r="F144" i="2"/>
  <c r="B25" i="9" s="1"/>
  <c r="E144" i="2"/>
  <c r="D144" i="2"/>
  <c r="G143" i="2"/>
  <c r="H24" i="4" s="1"/>
  <c r="F143" i="2"/>
  <c r="H24" i="3" s="1"/>
  <c r="E143" i="2"/>
  <c r="H142" i="2"/>
  <c r="G24" i="5" s="1"/>
  <c r="G142" i="2"/>
  <c r="G24" i="4" s="1"/>
  <c r="F142" i="2"/>
  <c r="G24" i="3" s="1"/>
  <c r="A142" i="2"/>
  <c r="H141" i="2"/>
  <c r="F24" i="5" s="1"/>
  <c r="G141" i="2"/>
  <c r="F24" i="4" s="1"/>
  <c r="A141" i="2"/>
  <c r="H140" i="2"/>
  <c r="E24" i="5" s="1"/>
  <c r="C140" i="2"/>
  <c r="A140" i="2"/>
  <c r="D139" i="2"/>
  <c r="C139" i="2"/>
  <c r="A139" i="2"/>
  <c r="D138" i="2"/>
  <c r="F137" i="2"/>
  <c r="B24" i="9" s="1"/>
  <c r="E137" i="2"/>
  <c r="D137" i="2"/>
  <c r="G136" i="2"/>
  <c r="F136" i="2"/>
  <c r="E136" i="2"/>
  <c r="D136" i="2"/>
  <c r="G135" i="2"/>
  <c r="G23" i="10" s="1"/>
  <c r="F135" i="2"/>
  <c r="G23" i="9" s="1"/>
  <c r="E135" i="2"/>
  <c r="A135" i="2"/>
  <c r="H134" i="2"/>
  <c r="G134" i="2"/>
  <c r="F23" i="10" s="1"/>
  <c r="F134" i="2"/>
  <c r="F23" i="9" s="1"/>
  <c r="H133" i="2"/>
  <c r="G133" i="2"/>
  <c r="E23" i="10" s="1"/>
  <c r="A133" i="2"/>
  <c r="H132" i="2"/>
  <c r="C132" i="2"/>
  <c r="A132" i="2"/>
  <c r="C131" i="2"/>
  <c r="A131" i="2"/>
  <c r="D130" i="2"/>
  <c r="E129" i="2"/>
  <c r="D129" i="2"/>
  <c r="G128" i="2"/>
  <c r="G22" i="10" s="1"/>
  <c r="F128" i="2"/>
  <c r="G22" i="9" s="1"/>
  <c r="E128" i="2"/>
  <c r="D128" i="2"/>
  <c r="G127" i="2"/>
  <c r="F22" i="10" s="1"/>
  <c r="F127" i="2"/>
  <c r="F22" i="9" s="1"/>
  <c r="E127" i="2"/>
  <c r="H126" i="2"/>
  <c r="G126" i="2"/>
  <c r="E22" i="10" s="1"/>
  <c r="F126" i="2"/>
  <c r="E22" i="9" s="1"/>
  <c r="H125" i="2"/>
  <c r="G125" i="2"/>
  <c r="D22" i="10" s="1"/>
  <c r="A125" i="2"/>
  <c r="H124" i="2"/>
  <c r="D124" i="2"/>
  <c r="C124" i="2"/>
  <c r="A124" i="2"/>
  <c r="C123" i="2"/>
  <c r="A123" i="2"/>
  <c r="E122" i="2"/>
  <c r="D122" i="2"/>
  <c r="E121" i="2"/>
  <c r="D121" i="2"/>
  <c r="F120" i="2"/>
  <c r="F21" i="3" s="1"/>
  <c r="E120" i="2"/>
  <c r="D120" i="2"/>
  <c r="G119" i="2"/>
  <c r="E21" i="4" s="1"/>
  <c r="F119" i="2"/>
  <c r="E21" i="3" s="1"/>
  <c r="E119" i="2"/>
  <c r="H118" i="2"/>
  <c r="D21" i="5" s="1"/>
  <c r="G118" i="2"/>
  <c r="D21" i="4" s="1"/>
  <c r="F118" i="2"/>
  <c r="D21" i="3" s="1"/>
  <c r="H117" i="2"/>
  <c r="C21" i="5" s="1"/>
  <c r="G117" i="2"/>
  <c r="C21" i="4" s="1"/>
  <c r="A117" i="2"/>
  <c r="H116" i="2"/>
  <c r="C116" i="2"/>
  <c r="A21" i="20" s="1"/>
  <c r="A116" i="2"/>
  <c r="C115" i="2"/>
  <c r="A115" i="2"/>
  <c r="E114" i="2"/>
  <c r="D114" i="2"/>
  <c r="E113" i="2"/>
  <c r="D113" i="2"/>
  <c r="F112" i="2"/>
  <c r="E20" i="3" s="1"/>
  <c r="E112" i="2"/>
  <c r="D112" i="2"/>
  <c r="G111" i="2"/>
  <c r="D20" i="4" s="1"/>
  <c r="F111" i="2"/>
  <c r="D20" i="3" s="1"/>
  <c r="E111" i="2"/>
  <c r="H110" i="2"/>
  <c r="C20" i="5" s="1"/>
  <c r="G110" i="2"/>
  <c r="C20" i="4" s="1"/>
  <c r="F110" i="2"/>
  <c r="C20" i="3" s="1"/>
  <c r="H109" i="2"/>
  <c r="G109" i="2"/>
  <c r="B20" i="10" s="1"/>
  <c r="A109" i="2"/>
  <c r="H108" i="2"/>
  <c r="H19" i="5" s="1"/>
  <c r="C108" i="2"/>
  <c r="A108" i="2"/>
  <c r="C107" i="2"/>
  <c r="A107" i="2"/>
  <c r="E106" i="2"/>
  <c r="D106" i="2"/>
  <c r="E105" i="2"/>
  <c r="D105" i="2"/>
  <c r="G104" i="2"/>
  <c r="D19" i="4" s="1"/>
  <c r="F104" i="2"/>
  <c r="D19" i="3" s="1"/>
  <c r="E104" i="2"/>
  <c r="D104" i="2"/>
  <c r="G103" i="2"/>
  <c r="C19" i="4" s="1"/>
  <c r="F103" i="2"/>
  <c r="C19" i="3" s="1"/>
  <c r="E103" i="2"/>
  <c r="H102" i="2"/>
  <c r="G102" i="2"/>
  <c r="B19" i="10" s="1"/>
  <c r="F102" i="2"/>
  <c r="B19" i="9" s="1"/>
  <c r="H101" i="2"/>
  <c r="H18" i="5" s="1"/>
  <c r="G101" i="2"/>
  <c r="H18" i="4" s="1"/>
  <c r="A101" i="2"/>
  <c r="H100" i="2"/>
  <c r="G18" i="5" s="1"/>
  <c r="C100" i="2"/>
  <c r="A100" i="2"/>
  <c r="C99" i="2"/>
  <c r="A99" i="2"/>
  <c r="D98" i="2"/>
  <c r="E97" i="2"/>
  <c r="D97" i="2"/>
  <c r="G96" i="2"/>
  <c r="C18" i="4" s="1"/>
  <c r="F96" i="2"/>
  <c r="C18" i="3" s="1"/>
  <c r="E96" i="2"/>
  <c r="D96" i="2"/>
  <c r="G95" i="2"/>
  <c r="B18" i="10" s="1"/>
  <c r="F95" i="2"/>
  <c r="B18" i="9" s="1"/>
  <c r="E95" i="2"/>
  <c r="H94" i="2"/>
  <c r="H17" i="5" s="1"/>
  <c r="G94" i="2"/>
  <c r="H17" i="4" s="1"/>
  <c r="F94" i="2"/>
  <c r="H17" i="3" s="1"/>
  <c r="H93" i="2"/>
  <c r="G17" i="5" s="1"/>
  <c r="G93" i="2"/>
  <c r="G17" i="4" s="1"/>
  <c r="A93" i="2"/>
  <c r="H92" i="2"/>
  <c r="F17" i="5" s="1"/>
  <c r="D92" i="2"/>
  <c r="C92" i="2"/>
  <c r="A92" i="2"/>
  <c r="C91" i="2"/>
  <c r="A91" i="2"/>
  <c r="E90" i="2"/>
  <c r="D90" i="2"/>
  <c r="E89" i="2"/>
  <c r="D89" i="2"/>
  <c r="F88" i="2"/>
  <c r="B17" i="9" s="1"/>
  <c r="E88" i="2"/>
  <c r="D88" i="2"/>
  <c r="G87" i="2"/>
  <c r="H16" i="4" s="1"/>
  <c r="F87" i="2"/>
  <c r="H16" i="3" s="1"/>
  <c r="E87" i="2"/>
  <c r="H86" i="2"/>
  <c r="G16" i="5" s="1"/>
  <c r="G86" i="2"/>
  <c r="G16" i="4" s="1"/>
  <c r="F86" i="2"/>
  <c r="G16" i="3" s="1"/>
  <c r="H85" i="2"/>
  <c r="F16" i="5" s="1"/>
  <c r="G85" i="2"/>
  <c r="F16" i="4" s="1"/>
  <c r="A85" i="2"/>
  <c r="H84" i="2"/>
  <c r="E16" i="5" s="1"/>
  <c r="C84" i="2"/>
  <c r="A84" i="2"/>
  <c r="C83" i="2"/>
  <c r="A83" i="2"/>
  <c r="E82" i="2"/>
  <c r="D82" i="2"/>
  <c r="E81" i="2"/>
  <c r="D81" i="2"/>
  <c r="F80" i="2"/>
  <c r="E80" i="2"/>
  <c r="D80" i="2"/>
  <c r="G79" i="2"/>
  <c r="F79" i="2"/>
  <c r="E79" i="2"/>
  <c r="H78" i="2"/>
  <c r="G78" i="2"/>
  <c r="F78" i="2"/>
  <c r="H77" i="2"/>
  <c r="G77" i="2"/>
  <c r="A77" i="2"/>
  <c r="H76" i="2"/>
  <c r="C76" i="2"/>
  <c r="A76" i="2"/>
  <c r="C75" i="2"/>
  <c r="A75" i="2"/>
  <c r="D74" i="2"/>
  <c r="E73" i="2"/>
  <c r="D73" i="2"/>
  <c r="G72" i="2"/>
  <c r="F72" i="2"/>
  <c r="E72" i="2"/>
  <c r="D72" i="2"/>
  <c r="G71" i="2"/>
  <c r="F71" i="2"/>
  <c r="E71" i="2"/>
  <c r="H70" i="2"/>
  <c r="G70" i="2"/>
  <c r="F70" i="2"/>
  <c r="H69" i="2"/>
  <c r="G69" i="2"/>
  <c r="A69" i="2"/>
  <c r="H68" i="2"/>
  <c r="D68" i="2"/>
  <c r="C68" i="2"/>
  <c r="A68" i="2"/>
  <c r="C67" i="2"/>
  <c r="A67" i="2"/>
  <c r="E66" i="2"/>
  <c r="D66" i="2"/>
  <c r="E65" i="2"/>
  <c r="D65" i="2"/>
  <c r="F64" i="2"/>
  <c r="F14" i="3" s="1"/>
  <c r="E64" i="2"/>
  <c r="D64" i="2"/>
  <c r="G63" i="2"/>
  <c r="E14" i="4" s="1"/>
  <c r="F63" i="2"/>
  <c r="E14" i="3" s="1"/>
  <c r="E63" i="2"/>
  <c r="H62" i="2"/>
  <c r="D14" i="5" s="1"/>
  <c r="G62" i="2"/>
  <c r="D14" i="4" s="1"/>
  <c r="F62" i="2"/>
  <c r="D14" i="3" s="1"/>
  <c r="H61" i="2"/>
  <c r="C14" i="5" s="1"/>
  <c r="G61" i="2"/>
  <c r="C14" i="4" s="1"/>
  <c r="A61" i="2"/>
  <c r="H60" i="2"/>
  <c r="C60" i="2"/>
  <c r="A14" i="20" s="1"/>
  <c r="A168" i="20" s="1"/>
  <c r="A60" i="2"/>
  <c r="C59" i="2"/>
  <c r="A59" i="2"/>
  <c r="F58" i="2"/>
  <c r="G13" i="3" s="1"/>
  <c r="E58" i="2"/>
  <c r="D58" i="2"/>
  <c r="E57" i="2"/>
  <c r="D57" i="2"/>
  <c r="G56" i="2"/>
  <c r="E13" i="4" s="1"/>
  <c r="F56" i="2"/>
  <c r="E13" i="3" s="1"/>
  <c r="E56" i="2"/>
  <c r="D56" i="2"/>
  <c r="G55" i="2"/>
  <c r="D13" i="4" s="1"/>
  <c r="F55" i="2"/>
  <c r="D13" i="3" s="1"/>
  <c r="E55" i="2"/>
  <c r="H54" i="2"/>
  <c r="C13" i="5" s="1"/>
  <c r="G54" i="2"/>
  <c r="C13" i="4" s="1"/>
  <c r="F54" i="2"/>
  <c r="C13" i="3" s="1"/>
  <c r="H53" i="2"/>
  <c r="G53" i="2"/>
  <c r="B13" i="10" s="1"/>
  <c r="A53" i="2"/>
  <c r="H52" i="2"/>
  <c r="H12" i="5" s="1"/>
  <c r="C52" i="2"/>
  <c r="A52" i="2"/>
  <c r="C51" i="2"/>
  <c r="A51" i="2"/>
  <c r="D50" i="2"/>
  <c r="E49" i="2"/>
  <c r="D49" i="2"/>
  <c r="H48" i="2"/>
  <c r="D12" i="5" s="1"/>
  <c r="G48" i="2"/>
  <c r="D12" i="4" s="1"/>
  <c r="F48" i="2"/>
  <c r="D12" i="3" s="1"/>
  <c r="E48" i="2"/>
  <c r="D48" i="2"/>
  <c r="G47" i="2"/>
  <c r="C12" i="4" s="1"/>
  <c r="F47" i="2"/>
  <c r="C12" i="3" s="1"/>
  <c r="E47" i="2"/>
  <c r="H46" i="2"/>
  <c r="G46" i="2"/>
  <c r="B12" i="10" s="1"/>
  <c r="F46" i="2"/>
  <c r="B12" i="9" s="1"/>
  <c r="H45" i="2"/>
  <c r="H10" i="5" s="1"/>
  <c r="G45" i="2"/>
  <c r="H10" i="4" s="1"/>
  <c r="A45" i="2"/>
  <c r="H44" i="2"/>
  <c r="G10" i="5" s="1"/>
  <c r="D44" i="2"/>
  <c r="C44" i="2"/>
  <c r="A44" i="2"/>
  <c r="C43" i="2"/>
  <c r="A43" i="2"/>
  <c r="E42" i="2"/>
  <c r="D42" i="2"/>
  <c r="E41" i="2"/>
  <c r="D41" i="2"/>
  <c r="F40" i="2"/>
  <c r="C10" i="3" s="1"/>
  <c r="E40" i="2"/>
  <c r="D40" i="2"/>
  <c r="G39" i="2"/>
  <c r="B10" i="10" s="1"/>
  <c r="F39" i="2"/>
  <c r="B10" i="9" s="1"/>
  <c r="E39" i="2"/>
  <c r="H38" i="2"/>
  <c r="H9" i="5" s="1"/>
  <c r="G38" i="2"/>
  <c r="H9" i="4" s="1"/>
  <c r="F38" i="2"/>
  <c r="H9" i="3" s="1"/>
  <c r="H37" i="2"/>
  <c r="G9" i="5" s="1"/>
  <c r="G37" i="2"/>
  <c r="G9" i="4" s="1"/>
  <c r="A37" i="2"/>
  <c r="H36" i="2"/>
  <c r="F9" i="5" s="1"/>
  <c r="C36" i="2"/>
  <c r="A36" i="2"/>
  <c r="C35" i="2"/>
  <c r="A35" i="2"/>
  <c r="F34" i="2"/>
  <c r="D9" i="3" s="1"/>
  <c r="E34" i="2"/>
  <c r="D34" i="2"/>
  <c r="E33" i="2"/>
  <c r="D33" i="2"/>
  <c r="G32" i="2"/>
  <c r="B9" i="10" s="1"/>
  <c r="F32" i="2"/>
  <c r="B9" i="9" s="1"/>
  <c r="E32" i="2"/>
  <c r="D32" i="2"/>
  <c r="G31" i="2"/>
  <c r="H8" i="4" s="1"/>
  <c r="F31" i="2"/>
  <c r="H8" i="3" s="1"/>
  <c r="E31" i="2"/>
  <c r="H30" i="2"/>
  <c r="G8" i="5" s="1"/>
  <c r="G30" i="2"/>
  <c r="G8" i="4" s="1"/>
  <c r="F30" i="2"/>
  <c r="G8" i="3" s="1"/>
  <c r="H29" i="2"/>
  <c r="F8" i="5" s="1"/>
  <c r="G29" i="2"/>
  <c r="F8" i="4" s="1"/>
  <c r="A29" i="2"/>
  <c r="H28" i="2"/>
  <c r="E8" i="5" s="1"/>
  <c r="C28" i="2"/>
  <c r="A28" i="2"/>
  <c r="C27" i="2"/>
  <c r="A27" i="2"/>
  <c r="D26" i="2"/>
  <c r="E25" i="2"/>
  <c r="D25" i="2"/>
  <c r="H24" i="2"/>
  <c r="H7" i="5" s="1"/>
  <c r="G24" i="2"/>
  <c r="H7" i="4" s="1"/>
  <c r="F24" i="2"/>
  <c r="H7" i="3" s="1"/>
  <c r="E24" i="2"/>
  <c r="D24" i="2"/>
  <c r="G23" i="2"/>
  <c r="G7" i="4" s="1"/>
  <c r="F23" i="2"/>
  <c r="G7" i="3" s="1"/>
  <c r="E23" i="2"/>
  <c r="H22" i="2"/>
  <c r="F7" i="5" s="1"/>
  <c r="G22" i="2"/>
  <c r="F7" i="4" s="1"/>
  <c r="F22" i="2"/>
  <c r="F7" i="3" s="1"/>
  <c r="H21" i="2"/>
  <c r="E7" i="5" s="1"/>
  <c r="G21" i="2"/>
  <c r="E7" i="4" s="1"/>
  <c r="A21" i="2"/>
  <c r="H20" i="2"/>
  <c r="D7" i="5" s="1"/>
  <c r="C20" i="2"/>
  <c r="A20" i="2"/>
  <c r="C19" i="2"/>
  <c r="A19" i="2"/>
  <c r="D18" i="2"/>
  <c r="F17" i="2"/>
  <c r="H6" i="3" s="1"/>
  <c r="E17" i="2"/>
  <c r="D17" i="2"/>
  <c r="F16" i="2"/>
  <c r="G6" i="3" s="1"/>
  <c r="E16" i="2"/>
  <c r="D16" i="2"/>
  <c r="H15" i="2"/>
  <c r="F6" i="5" s="1"/>
  <c r="G15" i="2"/>
  <c r="F6" i="4" s="1"/>
  <c r="F15" i="2"/>
  <c r="F6" i="3" s="1"/>
  <c r="E15" i="2"/>
  <c r="H14" i="2"/>
  <c r="E6" i="5" s="1"/>
  <c r="G14" i="2"/>
  <c r="E6" i="4" s="1"/>
  <c r="F14" i="2"/>
  <c r="E6" i="3" s="1"/>
  <c r="A14" i="2"/>
  <c r="H13" i="2"/>
  <c r="D6" i="5" s="1"/>
  <c r="G13" i="2"/>
  <c r="D6" i="4" s="1"/>
  <c r="A13" i="2"/>
  <c r="H12" i="2"/>
  <c r="C6" i="5" s="1"/>
  <c r="C12" i="2"/>
  <c r="A12" i="2"/>
  <c r="D11" i="2"/>
  <c r="C11" i="2"/>
  <c r="A6" i="20" s="1"/>
  <c r="A160" i="20" s="1"/>
  <c r="A11" i="2"/>
  <c r="D10" i="2"/>
  <c r="H3" i="3"/>
  <c r="F9" i="2"/>
  <c r="G5" i="3" s="1"/>
  <c r="E9" i="2"/>
  <c r="D9" i="2"/>
  <c r="F8" i="2"/>
  <c r="F5" i="3" s="1"/>
  <c r="E8" i="2"/>
  <c r="D8" i="2"/>
  <c r="G7" i="2"/>
  <c r="E5" i="4" s="1"/>
  <c r="F7" i="2"/>
  <c r="E5" i="3" s="1"/>
  <c r="E7" i="2"/>
  <c r="H6" i="2"/>
  <c r="D5" i="5" s="1"/>
  <c r="G6" i="2"/>
  <c r="D5" i="4" s="1"/>
  <c r="F6" i="2"/>
  <c r="D5" i="3" s="1"/>
  <c r="H5" i="2"/>
  <c r="C5" i="5" s="1"/>
  <c r="G5" i="2"/>
  <c r="C5" i="4" s="1"/>
  <c r="A5" i="2"/>
  <c r="H4" i="2"/>
  <c r="C4" i="2"/>
  <c r="A5" i="20" s="1"/>
  <c r="A159" i="20" s="1"/>
  <c r="K132" i="10" l="1"/>
  <c r="J132" i="10"/>
  <c r="I132" i="10"/>
  <c r="J132" i="11"/>
  <c r="K132" i="11"/>
  <c r="I132" i="11"/>
  <c r="I133" i="10"/>
  <c r="I133" i="16" s="1"/>
  <c r="J133" i="10"/>
  <c r="J133" i="16" s="1"/>
  <c r="K133" i="10"/>
  <c r="K133" i="16" s="1"/>
  <c r="K133" i="11"/>
  <c r="K133" i="17" s="1"/>
  <c r="J133" i="11"/>
  <c r="J133" i="17" s="1"/>
  <c r="I133" i="11"/>
  <c r="I133" i="17" s="1"/>
  <c r="J133" i="9"/>
  <c r="J133" i="18" s="1"/>
  <c r="K133" i="9"/>
  <c r="K133" i="18" s="1"/>
  <c r="K132" i="9"/>
  <c r="K132" i="18" s="1"/>
  <c r="J132" i="9"/>
  <c r="J132" i="18" s="1"/>
  <c r="H132" i="10"/>
  <c r="H22" i="9"/>
  <c r="H99" i="10"/>
  <c r="H133" i="10"/>
  <c r="H133" i="16" s="1"/>
  <c r="H23" i="9"/>
  <c r="H22" i="10"/>
  <c r="H100" i="9"/>
  <c r="H99" i="9"/>
  <c r="H23" i="10"/>
  <c r="H133" i="9"/>
  <c r="H133" i="18" s="1"/>
  <c r="I133" i="9"/>
  <c r="I133" i="18" s="1"/>
  <c r="H100" i="10"/>
  <c r="H132" i="9"/>
  <c r="H132" i="18" s="1"/>
  <c r="I132" i="9"/>
  <c r="I132" i="18" s="1"/>
  <c r="A156" i="20"/>
  <c r="A112" i="20"/>
  <c r="A145" i="20"/>
  <c r="A101" i="20"/>
  <c r="A134" i="20"/>
  <c r="A123" i="20"/>
  <c r="A88" i="20"/>
  <c r="A77" i="20"/>
  <c r="A132" i="20"/>
  <c r="A154" i="20"/>
  <c r="A143" i="20"/>
  <c r="A68" i="20"/>
  <c r="A46" i="20"/>
  <c r="A79" i="20"/>
  <c r="A35" i="20"/>
  <c r="A121" i="20"/>
  <c r="A110" i="20"/>
  <c r="A44" i="20"/>
  <c r="A66" i="20"/>
  <c r="A22" i="20"/>
  <c r="A11" i="20"/>
  <c r="A165" i="20" s="1"/>
  <c r="H188" i="10"/>
  <c r="H177" i="10" s="1"/>
  <c r="I177" i="10" s="1"/>
  <c r="A53" i="18"/>
  <c r="A53" i="17"/>
  <c r="A60" i="18"/>
  <c r="A60" i="17"/>
  <c r="A85" i="18"/>
  <c r="A85" i="17"/>
  <c r="A108" i="17"/>
  <c r="A108" i="18"/>
  <c r="A141" i="17"/>
  <c r="A141" i="18"/>
  <c r="A147" i="18"/>
  <c r="A147" i="17"/>
  <c r="A13" i="17"/>
  <c r="A13" i="18"/>
  <c r="A30" i="17"/>
  <c r="A30" i="18"/>
  <c r="A32" i="18"/>
  <c r="A32" i="17"/>
  <c r="A38" i="17"/>
  <c r="A38" i="18"/>
  <c r="A55" i="18"/>
  <c r="A55" i="17"/>
  <c r="A56" i="18"/>
  <c r="A56" i="17"/>
  <c r="A57" i="18"/>
  <c r="A57" i="17"/>
  <c r="A81" i="18"/>
  <c r="A81" i="17"/>
  <c r="A89" i="17"/>
  <c r="A89" i="18"/>
  <c r="A91" i="18"/>
  <c r="A91" i="17"/>
  <c r="A138" i="18"/>
  <c r="A138" i="17"/>
  <c r="A146" i="18"/>
  <c r="A146" i="17"/>
  <c r="A153" i="18"/>
  <c r="A153" i="17"/>
  <c r="A36" i="17"/>
  <c r="A36" i="18"/>
  <c r="A52" i="17"/>
  <c r="A52" i="18"/>
  <c r="A59" i="18"/>
  <c r="A59" i="17"/>
  <c r="A84" i="18"/>
  <c r="A84" i="17"/>
  <c r="A114" i="18"/>
  <c r="A114" i="17"/>
  <c r="A139" i="18"/>
  <c r="A139" i="17"/>
  <c r="A148" i="18"/>
  <c r="A148" i="17"/>
  <c r="A23" i="18"/>
  <c r="A23" i="17"/>
  <c r="A24" i="18"/>
  <c r="A24" i="17"/>
  <c r="A25" i="18"/>
  <c r="A25" i="17"/>
  <c r="A31" i="18"/>
  <c r="A31" i="17"/>
  <c r="A41" i="17"/>
  <c r="A41" i="18"/>
  <c r="A54" i="18"/>
  <c r="A54" i="17"/>
  <c r="A72" i="17"/>
  <c r="A72" i="18"/>
  <c r="A82" i="18"/>
  <c r="A82" i="17"/>
  <c r="A86" i="18"/>
  <c r="A86" i="17"/>
  <c r="A104" i="17"/>
  <c r="A104" i="18"/>
  <c r="A121" i="18"/>
  <c r="A110" i="18"/>
  <c r="A121" i="17"/>
  <c r="A110" i="17"/>
  <c r="A128" i="17"/>
  <c r="A128" i="18"/>
  <c r="A142" i="18"/>
  <c r="A142" i="17"/>
  <c r="A157" i="17"/>
  <c r="A157" i="18"/>
  <c r="A6" i="17"/>
  <c r="A6" i="18"/>
  <c r="A21" i="17"/>
  <c r="A21" i="18"/>
  <c r="A28" i="18"/>
  <c r="A28" i="17"/>
  <c r="A83" i="18"/>
  <c r="A83" i="17"/>
  <c r="A99" i="18"/>
  <c r="A99" i="17"/>
  <c r="A145" i="18"/>
  <c r="A156" i="17"/>
  <c r="A112" i="17"/>
  <c r="A156" i="18"/>
  <c r="A145" i="17"/>
  <c r="A101" i="18"/>
  <c r="A134" i="18"/>
  <c r="A123" i="18"/>
  <c r="A123" i="17"/>
  <c r="A101" i="17"/>
  <c r="A112" i="18"/>
  <c r="A134" i="17"/>
  <c r="A107" i="18"/>
  <c r="A107" i="17"/>
  <c r="A116" i="17"/>
  <c r="A116" i="18"/>
  <c r="A149" i="18"/>
  <c r="A149" i="17"/>
  <c r="A4" i="17"/>
  <c r="A4" i="18"/>
  <c r="A27" i="18"/>
  <c r="A27" i="17"/>
  <c r="A65" i="18"/>
  <c r="A65" i="17"/>
  <c r="A131" i="18"/>
  <c r="A131" i="17"/>
  <c r="A7" i="17"/>
  <c r="A7" i="18"/>
  <c r="A9" i="18"/>
  <c r="A9" i="17"/>
  <c r="A10" i="18"/>
  <c r="A10" i="17"/>
  <c r="A12" i="18"/>
  <c r="A12" i="17"/>
  <c r="A17" i="18"/>
  <c r="A17" i="17"/>
  <c r="A39" i="18"/>
  <c r="A39" i="17"/>
  <c r="A40" i="17"/>
  <c r="A40" i="18"/>
  <c r="A49" i="18"/>
  <c r="A49" i="17"/>
  <c r="A58" i="18"/>
  <c r="A58" i="17"/>
  <c r="A63" i="18"/>
  <c r="A63" i="17"/>
  <c r="A64" i="18"/>
  <c r="A64" i="17"/>
  <c r="A78" i="17"/>
  <c r="A78" i="18"/>
  <c r="A90" i="18"/>
  <c r="A90" i="17"/>
  <c r="A94" i="17"/>
  <c r="A94" i="18"/>
  <c r="A98" i="18"/>
  <c r="A98" i="17"/>
  <c r="A111" i="17"/>
  <c r="A111" i="18"/>
  <c r="A120" i="17"/>
  <c r="A120" i="18"/>
  <c r="A125" i="17"/>
  <c r="A125" i="18"/>
  <c r="A126" i="18"/>
  <c r="A126" i="17"/>
  <c r="A127" i="18"/>
  <c r="A127" i="17"/>
  <c r="A151" i="18"/>
  <c r="A151" i="17"/>
  <c r="A14" i="17"/>
  <c r="A14" i="18"/>
  <c r="A43" i="18"/>
  <c r="A43" i="17"/>
  <c r="A45" i="17"/>
  <c r="A45" i="18"/>
  <c r="A88" i="18"/>
  <c r="A88" i="17"/>
  <c r="A77" i="17"/>
  <c r="A77" i="18"/>
  <c r="A92" i="17"/>
  <c r="A92" i="18"/>
  <c r="A115" i="18"/>
  <c r="A115" i="17"/>
  <c r="A132" i="17"/>
  <c r="A132" i="18"/>
  <c r="A154" i="18"/>
  <c r="A154" i="17"/>
  <c r="A143" i="17"/>
  <c r="A143" i="18"/>
  <c r="A46" i="18"/>
  <c r="A35" i="18"/>
  <c r="A68" i="17"/>
  <c r="A68" i="18"/>
  <c r="A79" i="18"/>
  <c r="A46" i="17"/>
  <c r="A79" i="17"/>
  <c r="A35" i="17"/>
  <c r="A96" i="17"/>
  <c r="A96" i="18"/>
  <c r="A102" i="18"/>
  <c r="A102" i="17"/>
  <c r="A103" i="18"/>
  <c r="A103" i="17"/>
  <c r="A136" i="17"/>
  <c r="A136" i="18"/>
  <c r="A155" i="18"/>
  <c r="A155" i="17"/>
  <c r="A26" i="18"/>
  <c r="A26" i="17"/>
  <c r="A42" i="18"/>
  <c r="A42" i="17"/>
  <c r="A51" i="17"/>
  <c r="A51" i="18"/>
  <c r="A140" i="17"/>
  <c r="A140" i="18"/>
  <c r="A150" i="18"/>
  <c r="A150" i="17"/>
  <c r="A18" i="18"/>
  <c r="A18" i="17"/>
  <c r="A34" i="18"/>
  <c r="A34" i="17"/>
  <c r="A47" i="18"/>
  <c r="A47" i="17"/>
  <c r="A50" i="18"/>
  <c r="A50" i="17"/>
  <c r="A70" i="18"/>
  <c r="A70" i="17"/>
  <c r="A73" i="18"/>
  <c r="A73" i="17"/>
  <c r="A87" i="18"/>
  <c r="A87" i="17"/>
  <c r="A109" i="18"/>
  <c r="A109" i="17"/>
  <c r="A118" i="18"/>
  <c r="A118" i="17"/>
  <c r="A119" i="18"/>
  <c r="A119" i="17"/>
  <c r="A122" i="17"/>
  <c r="A122" i="18"/>
  <c r="A137" i="18"/>
  <c r="A137" i="17"/>
  <c r="A5" i="18"/>
  <c r="A5" i="17"/>
  <c r="A44" i="17"/>
  <c r="A44" i="18"/>
  <c r="A11" i="18"/>
  <c r="A22" i="17"/>
  <c r="A11" i="17"/>
  <c r="A66" i="18"/>
  <c r="A22" i="18"/>
  <c r="A66" i="17"/>
  <c r="A29" i="17"/>
  <c r="A29" i="18"/>
  <c r="A67" i="18"/>
  <c r="A67" i="17"/>
  <c r="A69" i="17"/>
  <c r="A69" i="18"/>
  <c r="A76" i="17"/>
  <c r="A76" i="18"/>
  <c r="A93" i="18"/>
  <c r="A93" i="17"/>
  <c r="A100" i="17"/>
  <c r="A100" i="18"/>
  <c r="A105" i="17"/>
  <c r="A105" i="18"/>
  <c r="A106" i="17"/>
  <c r="A106" i="18"/>
  <c r="A113" i="18"/>
  <c r="A113" i="17"/>
  <c r="A133" i="17"/>
  <c r="A133" i="18"/>
  <c r="A20" i="18"/>
  <c r="A20" i="17"/>
  <c r="A74" i="18"/>
  <c r="A74" i="17"/>
  <c r="A75" i="18"/>
  <c r="A75" i="17"/>
  <c r="A124" i="17"/>
  <c r="A124" i="18"/>
  <c r="A8" i="17"/>
  <c r="A8" i="18"/>
  <c r="A15" i="18"/>
  <c r="A15" i="17"/>
  <c r="A16" i="18"/>
  <c r="A16" i="17"/>
  <c r="A19" i="18"/>
  <c r="A19" i="17"/>
  <c r="A33" i="18"/>
  <c r="A33" i="17"/>
  <c r="A37" i="17"/>
  <c r="A37" i="18"/>
  <c r="A61" i="18"/>
  <c r="A61" i="17"/>
  <c r="A62" i="18"/>
  <c r="A62" i="17"/>
  <c r="A71" i="17"/>
  <c r="A71" i="18"/>
  <c r="A80" i="18"/>
  <c r="A80" i="17"/>
  <c r="A95" i="18"/>
  <c r="A95" i="17"/>
  <c r="A97" i="17"/>
  <c r="A97" i="18"/>
  <c r="A117" i="18"/>
  <c r="A117" i="17"/>
  <c r="A129" i="18"/>
  <c r="A129" i="17"/>
  <c r="A130" i="17"/>
  <c r="A130" i="18"/>
  <c r="A135" i="17"/>
  <c r="A135" i="18"/>
  <c r="A144" i="17"/>
  <c r="A144" i="18"/>
  <c r="A152" i="18"/>
  <c r="A152" i="17"/>
  <c r="G165" i="10"/>
  <c r="D165" i="10"/>
  <c r="B163" i="10"/>
  <c r="B167" i="10"/>
  <c r="F165" i="10"/>
  <c r="D188" i="10"/>
  <c r="D177" i="10" s="1"/>
  <c r="A14" i="16"/>
  <c r="A14" i="10"/>
  <c r="A168" i="10" s="1"/>
  <c r="A43" i="16"/>
  <c r="A43" i="10"/>
  <c r="A53" i="16"/>
  <c r="A53" i="10"/>
  <c r="A60" i="16"/>
  <c r="A60" i="10"/>
  <c r="A88" i="10"/>
  <c r="A77" i="10"/>
  <c r="A85" i="16"/>
  <c r="A85" i="10"/>
  <c r="A92" i="16"/>
  <c r="A92" i="10"/>
  <c r="A154" i="10"/>
  <c r="A143" i="10"/>
  <c r="A132" i="10"/>
  <c r="A13" i="16"/>
  <c r="A13" i="10"/>
  <c r="A167" i="10" s="1"/>
  <c r="A32" i="16"/>
  <c r="A32" i="10"/>
  <c r="A186" i="10" s="1"/>
  <c r="A56" i="16"/>
  <c r="A56" i="10"/>
  <c r="A57" i="16"/>
  <c r="A57" i="10"/>
  <c r="A81" i="16"/>
  <c r="A81" i="10"/>
  <c r="A89" i="16"/>
  <c r="A89" i="10"/>
  <c r="A91" i="16"/>
  <c r="A91" i="10"/>
  <c r="A96" i="16"/>
  <c r="A96" i="10"/>
  <c r="A102" i="16"/>
  <c r="A102" i="10"/>
  <c r="A103" i="16"/>
  <c r="A103" i="10"/>
  <c r="A136" i="16"/>
  <c r="A136" i="10"/>
  <c r="A138" i="16"/>
  <c r="A138" i="10"/>
  <c r="A146" i="16"/>
  <c r="A146" i="10"/>
  <c r="A153" i="16"/>
  <c r="A153" i="10"/>
  <c r="A155" i="16"/>
  <c r="A155" i="10"/>
  <c r="A26" i="16"/>
  <c r="A26" i="10"/>
  <c r="A36" i="16"/>
  <c r="A36" i="10"/>
  <c r="A190" i="10" s="1"/>
  <c r="A42" i="16"/>
  <c r="A42" i="10"/>
  <c r="A51" i="16"/>
  <c r="A51" i="10"/>
  <c r="A52" i="16"/>
  <c r="A52" i="10"/>
  <c r="A59" i="16"/>
  <c r="A59" i="10"/>
  <c r="A84" i="16"/>
  <c r="A84" i="10"/>
  <c r="B99" i="10"/>
  <c r="A114" i="16"/>
  <c r="A114" i="10"/>
  <c r="A139" i="16"/>
  <c r="A139" i="10"/>
  <c r="A140" i="16"/>
  <c r="A140" i="10"/>
  <c r="A150" i="16"/>
  <c r="A150" i="10"/>
  <c r="A148" i="16"/>
  <c r="A148" i="10"/>
  <c r="A18" i="16"/>
  <c r="A18" i="10"/>
  <c r="A172" i="10" s="1"/>
  <c r="A23" i="16"/>
  <c r="A23" i="10"/>
  <c r="A24" i="16"/>
  <c r="A24" i="10"/>
  <c r="A178" i="10" s="1"/>
  <c r="A25" i="16"/>
  <c r="A25" i="10"/>
  <c r="A179" i="10" s="1"/>
  <c r="A31" i="16"/>
  <c r="A31" i="10"/>
  <c r="A185" i="10" s="1"/>
  <c r="A34" i="16"/>
  <c r="A34" i="10"/>
  <c r="A41" i="16"/>
  <c r="A41" i="10"/>
  <c r="A47" i="16"/>
  <c r="A47" i="10"/>
  <c r="A50" i="16"/>
  <c r="A50" i="10"/>
  <c r="A54" i="16"/>
  <c r="A54" i="10"/>
  <c r="A70" i="16"/>
  <c r="A70" i="10"/>
  <c r="A72" i="16"/>
  <c r="A72" i="10"/>
  <c r="A73" i="16"/>
  <c r="A73" i="10"/>
  <c r="A82" i="16"/>
  <c r="A82" i="10"/>
  <c r="A86" i="16"/>
  <c r="A86" i="10"/>
  <c r="A87" i="16"/>
  <c r="A87" i="10"/>
  <c r="B100" i="10"/>
  <c r="A104" i="16"/>
  <c r="A104" i="10"/>
  <c r="A109" i="16"/>
  <c r="A109" i="10"/>
  <c r="A121" i="10"/>
  <c r="A110" i="10"/>
  <c r="A118" i="16"/>
  <c r="A118" i="10"/>
  <c r="A119" i="16"/>
  <c r="A119" i="10"/>
  <c r="A122" i="16"/>
  <c r="A122" i="10"/>
  <c r="A128" i="16"/>
  <c r="A128" i="10"/>
  <c r="A137" i="16"/>
  <c r="A137" i="10"/>
  <c r="A142" i="16"/>
  <c r="A142" i="10"/>
  <c r="A157" i="16"/>
  <c r="A157" i="10"/>
  <c r="B161" i="10"/>
  <c r="B164" i="10"/>
  <c r="B162" i="10"/>
  <c r="B168" i="10"/>
  <c r="A115" i="16"/>
  <c r="A115" i="10"/>
  <c r="A141" i="16"/>
  <c r="A141" i="10"/>
  <c r="A147" i="16"/>
  <c r="A147" i="10"/>
  <c r="A55" i="16"/>
  <c r="A55" i="10"/>
  <c r="A5" i="16"/>
  <c r="A5" i="10"/>
  <c r="A159" i="10" s="1"/>
  <c r="A6" i="16"/>
  <c r="A6" i="10"/>
  <c r="A160" i="10" s="1"/>
  <c r="A21" i="16"/>
  <c r="A21" i="10"/>
  <c r="A175" i="10" s="1"/>
  <c r="A28" i="16"/>
  <c r="A28" i="10"/>
  <c r="A182" i="10" s="1"/>
  <c r="A83" i="16"/>
  <c r="A83" i="10"/>
  <c r="A99" i="16"/>
  <c r="A99" i="10"/>
  <c r="A112" i="10"/>
  <c r="A101" i="10"/>
  <c r="A156" i="10"/>
  <c r="A145" i="10"/>
  <c r="A134" i="10"/>
  <c r="A123" i="10"/>
  <c r="A107" i="16"/>
  <c r="A107" i="10"/>
  <c r="A116" i="16"/>
  <c r="A116" i="10"/>
  <c r="A149" i="16"/>
  <c r="A149" i="10"/>
  <c r="A4" i="16"/>
  <c r="A4" i="10"/>
  <c r="A27" i="16"/>
  <c r="A27" i="10"/>
  <c r="A181" i="10" s="1"/>
  <c r="A65" i="16"/>
  <c r="A65" i="10"/>
  <c r="A131" i="16"/>
  <c r="A131" i="10"/>
  <c r="A7" i="16"/>
  <c r="A7" i="10"/>
  <c r="A161" i="10" s="1"/>
  <c r="A9" i="16"/>
  <c r="A9" i="10"/>
  <c r="A163" i="10" s="1"/>
  <c r="A10" i="16"/>
  <c r="A10" i="10"/>
  <c r="A164" i="10" s="1"/>
  <c r="A12" i="16"/>
  <c r="A12" i="10"/>
  <c r="A17" i="16"/>
  <c r="A17" i="10"/>
  <c r="A171" i="10" s="1"/>
  <c r="B22" i="10"/>
  <c r="A39" i="16"/>
  <c r="A39" i="10"/>
  <c r="A40" i="16"/>
  <c r="A40" i="10"/>
  <c r="A49" i="16"/>
  <c r="A49" i="10"/>
  <c r="A58" i="16"/>
  <c r="A58" i="10"/>
  <c r="A63" i="16"/>
  <c r="A63" i="10"/>
  <c r="A64" i="16"/>
  <c r="A64" i="10"/>
  <c r="A78" i="16"/>
  <c r="A78" i="10"/>
  <c r="A90" i="16"/>
  <c r="A90" i="10"/>
  <c r="A94" i="16"/>
  <c r="A94" i="10"/>
  <c r="A98" i="16"/>
  <c r="A98" i="10"/>
  <c r="A111" i="16"/>
  <c r="A111" i="10"/>
  <c r="A120" i="16"/>
  <c r="A120" i="10"/>
  <c r="A125" i="16"/>
  <c r="A125" i="10"/>
  <c r="A126" i="16"/>
  <c r="A126" i="10"/>
  <c r="A127" i="16"/>
  <c r="A127" i="10"/>
  <c r="B133" i="10"/>
  <c r="A151" i="16"/>
  <c r="A151" i="10"/>
  <c r="B159" i="10"/>
  <c r="B160" i="10"/>
  <c r="C165" i="10"/>
  <c r="A45" i="16"/>
  <c r="A45" i="10"/>
  <c r="A108" i="16"/>
  <c r="A108" i="10"/>
  <c r="A79" i="10"/>
  <c r="A68" i="10"/>
  <c r="A46" i="10"/>
  <c r="A35" i="10"/>
  <c r="A189" i="10" s="1"/>
  <c r="A30" i="16"/>
  <c r="A30" i="10"/>
  <c r="A184" i="10" s="1"/>
  <c r="A38" i="16"/>
  <c r="A38" i="10"/>
  <c r="A66" i="10"/>
  <c r="A22" i="10"/>
  <c r="A176" i="10" s="1"/>
  <c r="A11" i="10"/>
  <c r="A165" i="10" s="1"/>
  <c r="A44" i="10"/>
  <c r="A29" i="16"/>
  <c r="A29" i="10"/>
  <c r="A183" i="10" s="1"/>
  <c r="A67" i="16"/>
  <c r="A67" i="10"/>
  <c r="A69" i="16"/>
  <c r="A69" i="10"/>
  <c r="A76" i="16"/>
  <c r="A76" i="10"/>
  <c r="A93" i="16"/>
  <c r="A93" i="10"/>
  <c r="A100" i="16"/>
  <c r="A100" i="10"/>
  <c r="A105" i="16"/>
  <c r="A105" i="10"/>
  <c r="A106" i="16"/>
  <c r="A106" i="10"/>
  <c r="A113" i="16"/>
  <c r="A113" i="10"/>
  <c r="A133" i="16"/>
  <c r="A133" i="10"/>
  <c r="A20" i="16"/>
  <c r="A20" i="10"/>
  <c r="A174" i="10" s="1"/>
  <c r="A74" i="16"/>
  <c r="A74" i="10"/>
  <c r="A75" i="16"/>
  <c r="A75" i="10"/>
  <c r="A124" i="16"/>
  <c r="A124" i="10"/>
  <c r="A8" i="16"/>
  <c r="A8" i="10"/>
  <c r="A162" i="10" s="1"/>
  <c r="A15" i="16"/>
  <c r="A15" i="10"/>
  <c r="A16" i="16"/>
  <c r="A16" i="10"/>
  <c r="A170" i="10" s="1"/>
  <c r="A19" i="16"/>
  <c r="A19" i="10"/>
  <c r="A173" i="10" s="1"/>
  <c r="B23" i="10"/>
  <c r="A33" i="16"/>
  <c r="A33" i="10"/>
  <c r="A187" i="10" s="1"/>
  <c r="A37" i="16"/>
  <c r="A37" i="10"/>
  <c r="A61" i="16"/>
  <c r="A61" i="10"/>
  <c r="A62" i="16"/>
  <c r="A62" i="10"/>
  <c r="A71" i="16"/>
  <c r="A71" i="10"/>
  <c r="A80" i="16"/>
  <c r="A80" i="10"/>
  <c r="A95" i="16"/>
  <c r="A95" i="10"/>
  <c r="A97" i="16"/>
  <c r="A97" i="10"/>
  <c r="A117" i="16"/>
  <c r="A117" i="10"/>
  <c r="A129" i="16"/>
  <c r="A129" i="10"/>
  <c r="A130" i="16"/>
  <c r="A130" i="10"/>
  <c r="A135" i="16"/>
  <c r="A135" i="10"/>
  <c r="A144" i="16"/>
  <c r="A144" i="10"/>
  <c r="A152" i="16"/>
  <c r="A152" i="10"/>
  <c r="B166" i="10"/>
  <c r="E165" i="10"/>
  <c r="E188" i="10"/>
  <c r="E177" i="10" s="1"/>
  <c r="G188" i="10"/>
  <c r="G177" i="10" s="1"/>
  <c r="C188" i="10"/>
  <c r="C177" i="10" s="1"/>
  <c r="F188" i="10"/>
  <c r="F177" i="10" s="1"/>
  <c r="A88" i="16"/>
  <c r="A77" i="16"/>
  <c r="A154" i="16"/>
  <c r="A143" i="16"/>
  <c r="A132" i="16"/>
  <c r="A46" i="16"/>
  <c r="A79" i="16"/>
  <c r="A35" i="16"/>
  <c r="A68" i="16"/>
  <c r="A110" i="16"/>
  <c r="A121" i="16"/>
  <c r="A134" i="16"/>
  <c r="A123" i="16"/>
  <c r="A156" i="16"/>
  <c r="A112" i="16"/>
  <c r="A145" i="16"/>
  <c r="A101" i="16"/>
  <c r="A66" i="16"/>
  <c r="A22" i="16"/>
  <c r="A11" i="16"/>
  <c r="A44" i="16"/>
  <c r="G165" i="9"/>
  <c r="B13" i="4"/>
  <c r="B18" i="4"/>
  <c r="E23" i="4"/>
  <c r="H23" i="4"/>
  <c r="A43" i="9"/>
  <c r="A43" i="13"/>
  <c r="A43" i="11"/>
  <c r="A43" i="12"/>
  <c r="B51" i="4"/>
  <c r="A53" i="9"/>
  <c r="A53" i="13"/>
  <c r="A53" i="12"/>
  <c r="A53" i="11"/>
  <c r="A60" i="9"/>
  <c r="A60" i="12"/>
  <c r="A60" i="11"/>
  <c r="A60" i="13"/>
  <c r="B71" i="4"/>
  <c r="A77" i="13"/>
  <c r="A88" i="12"/>
  <c r="A88" i="11"/>
  <c r="A77" i="12"/>
  <c r="A77" i="11"/>
  <c r="A88" i="13"/>
  <c r="A85" i="9"/>
  <c r="A85" i="13"/>
  <c r="A85" i="12"/>
  <c r="A85" i="11"/>
  <c r="A92" i="9"/>
  <c r="A92" i="12"/>
  <c r="A92" i="11"/>
  <c r="A92" i="13"/>
  <c r="C99" i="5"/>
  <c r="C99" i="11"/>
  <c r="D99" i="5"/>
  <c r="D99" i="11"/>
  <c r="C100" i="4"/>
  <c r="B113" i="4"/>
  <c r="C133" i="5"/>
  <c r="C133" i="11"/>
  <c r="C133" i="17" s="1"/>
  <c r="B98" i="5"/>
  <c r="B98" i="11"/>
  <c r="E132" i="4"/>
  <c r="E133" i="5"/>
  <c r="E133" i="11"/>
  <c r="E133" i="17" s="1"/>
  <c r="B8" i="5"/>
  <c r="B8" i="11"/>
  <c r="B17" i="4"/>
  <c r="F22" i="5"/>
  <c r="F22" i="11"/>
  <c r="H22" i="5"/>
  <c r="H22" i="11"/>
  <c r="D23" i="4"/>
  <c r="A30" i="9"/>
  <c r="A184" i="9" s="1"/>
  <c r="A30" i="13"/>
  <c r="A30" i="11"/>
  <c r="A184" i="11" s="1"/>
  <c r="A30" i="12"/>
  <c r="A56" i="9"/>
  <c r="A56" i="12"/>
  <c r="A56" i="11"/>
  <c r="A56" i="13"/>
  <c r="A57" i="9"/>
  <c r="A57" i="13"/>
  <c r="A57" i="12"/>
  <c r="A57" i="11"/>
  <c r="B60" i="5"/>
  <c r="B60" i="11"/>
  <c r="B61" i="5"/>
  <c r="B61" i="11"/>
  <c r="B62" i="5"/>
  <c r="B62" i="11"/>
  <c r="B63" i="4"/>
  <c r="B71" i="5"/>
  <c r="B71" i="11"/>
  <c r="B78" i="4"/>
  <c r="B80" i="5"/>
  <c r="B80" i="11"/>
  <c r="A81" i="9"/>
  <c r="A81" i="13"/>
  <c r="A81" i="12"/>
  <c r="A81" i="11"/>
  <c r="B84" i="4"/>
  <c r="A89" i="9"/>
  <c r="A89" i="13"/>
  <c r="A89" i="12"/>
  <c r="A89" i="11"/>
  <c r="A91" i="9"/>
  <c r="A91" i="13"/>
  <c r="A91" i="11"/>
  <c r="A91" i="12"/>
  <c r="B93" i="5"/>
  <c r="B93" i="11"/>
  <c r="B94" i="4"/>
  <c r="B95" i="5"/>
  <c r="B95" i="11"/>
  <c r="A96" i="9"/>
  <c r="A96" i="12"/>
  <c r="A96" i="11"/>
  <c r="A96" i="13"/>
  <c r="B97" i="5"/>
  <c r="B97" i="11"/>
  <c r="F100" i="5"/>
  <c r="F100" i="11"/>
  <c r="G100" i="5"/>
  <c r="G100" i="11"/>
  <c r="H100" i="4"/>
  <c r="A102" i="9"/>
  <c r="A102" i="12"/>
  <c r="A102" i="11"/>
  <c r="A102" i="13"/>
  <c r="A103" i="9"/>
  <c r="A103" i="13"/>
  <c r="A103" i="12"/>
  <c r="A103" i="11"/>
  <c r="B107" i="4"/>
  <c r="B108" i="4"/>
  <c r="B116" i="4"/>
  <c r="B117" i="5"/>
  <c r="B117" i="11"/>
  <c r="B126" i="4"/>
  <c r="B127" i="4"/>
  <c r="B129" i="5"/>
  <c r="B129" i="11"/>
  <c r="B132" i="4"/>
  <c r="G132" i="5"/>
  <c r="G132" i="11"/>
  <c r="F133" i="5"/>
  <c r="F133" i="11"/>
  <c r="F133" i="17" s="1"/>
  <c r="B135" i="5"/>
  <c r="B135" i="11"/>
  <c r="A136" i="9"/>
  <c r="A136" i="12"/>
  <c r="A136" i="11"/>
  <c r="A136" i="13"/>
  <c r="A138" i="9"/>
  <c r="A138" i="13"/>
  <c r="A138" i="12"/>
  <c r="A138" i="11"/>
  <c r="B144" i="5"/>
  <c r="B144" i="11"/>
  <c r="A146" i="9"/>
  <c r="A146" i="13"/>
  <c r="A146" i="12"/>
  <c r="A146" i="11"/>
  <c r="B151" i="4"/>
  <c r="B152" i="5"/>
  <c r="B152" i="11"/>
  <c r="A153" i="9"/>
  <c r="A153" i="13"/>
  <c r="A153" i="12"/>
  <c r="A153" i="11"/>
  <c r="A155" i="9"/>
  <c r="A155" i="11"/>
  <c r="A155" i="13"/>
  <c r="A155" i="12"/>
  <c r="B5" i="5"/>
  <c r="B5" i="11"/>
  <c r="B10" i="4"/>
  <c r="B21" i="5"/>
  <c r="B21" i="11"/>
  <c r="D22" i="4"/>
  <c r="E22" i="5"/>
  <c r="E22" i="11"/>
  <c r="F23" i="4"/>
  <c r="A26" i="9"/>
  <c r="A26" i="13"/>
  <c r="A26" i="12"/>
  <c r="A26" i="11"/>
  <c r="B28" i="5"/>
  <c r="B28" i="11"/>
  <c r="B35" i="4"/>
  <c r="A36" i="9"/>
  <c r="A190" i="9" s="1"/>
  <c r="A36" i="12"/>
  <c r="A36" i="11"/>
  <c r="A190" i="11" s="1"/>
  <c r="A36" i="13"/>
  <c r="A42" i="9"/>
  <c r="A42" i="13"/>
  <c r="A42" i="12"/>
  <c r="A42" i="11"/>
  <c r="B49" i="4"/>
  <c r="B50" i="5"/>
  <c r="B50" i="11"/>
  <c r="A51" i="9"/>
  <c r="A51" i="13"/>
  <c r="A51" i="12"/>
  <c r="A51" i="11"/>
  <c r="A52" i="9"/>
  <c r="A52" i="12"/>
  <c r="A52" i="11"/>
  <c r="A52" i="13"/>
  <c r="A59" i="9"/>
  <c r="A59" i="13"/>
  <c r="A59" i="12"/>
  <c r="A59" i="11"/>
  <c r="B67" i="5"/>
  <c r="B67" i="11"/>
  <c r="B69" i="5"/>
  <c r="B69" i="11"/>
  <c r="B73" i="5"/>
  <c r="B73" i="11"/>
  <c r="B74" i="4"/>
  <c r="B83" i="4"/>
  <c r="A84" i="9"/>
  <c r="A84" i="12"/>
  <c r="A84" i="11"/>
  <c r="A84" i="13"/>
  <c r="B99" i="4"/>
  <c r="C99" i="4"/>
  <c r="D99" i="4"/>
  <c r="D100" i="4"/>
  <c r="B105" i="4"/>
  <c r="B106" i="5"/>
  <c r="B106" i="11"/>
  <c r="B107" i="5"/>
  <c r="B107" i="11"/>
  <c r="A114" i="9"/>
  <c r="A114" i="12"/>
  <c r="A114" i="13"/>
  <c r="A114" i="11"/>
  <c r="B124" i="5"/>
  <c r="B124" i="11"/>
  <c r="B131" i="4"/>
  <c r="C132" i="5"/>
  <c r="C132" i="11"/>
  <c r="D133" i="5"/>
  <c r="D133" i="11"/>
  <c r="D133" i="17" s="1"/>
  <c r="A139" i="9"/>
  <c r="A139" i="12"/>
  <c r="A139" i="13"/>
  <c r="A139" i="11"/>
  <c r="A140" i="9"/>
  <c r="A140" i="12"/>
  <c r="A140" i="11"/>
  <c r="A140" i="13"/>
  <c r="B149" i="5"/>
  <c r="B149" i="11"/>
  <c r="A150" i="9"/>
  <c r="A150" i="13"/>
  <c r="A150" i="12"/>
  <c r="A150" i="11"/>
  <c r="B58" i="5"/>
  <c r="B58" i="11"/>
  <c r="B64" i="4"/>
  <c r="B72" i="4"/>
  <c r="B111" i="4"/>
  <c r="B129" i="4"/>
  <c r="F132" i="4"/>
  <c r="G133" i="4"/>
  <c r="A148" i="9"/>
  <c r="A148" i="12"/>
  <c r="A148" i="11"/>
  <c r="A148" i="13"/>
  <c r="B6" i="5"/>
  <c r="B6" i="11"/>
  <c r="B8" i="4"/>
  <c r="B14" i="4"/>
  <c r="B16" i="4"/>
  <c r="A18" i="9"/>
  <c r="A172" i="9" s="1"/>
  <c r="A18" i="12"/>
  <c r="A161" i="16" s="1"/>
  <c r="A18" i="11"/>
  <c r="A172" i="11" s="1"/>
  <c r="A18" i="13"/>
  <c r="A161" i="17" s="1"/>
  <c r="B22" i="5"/>
  <c r="B22" i="11"/>
  <c r="G22" i="5"/>
  <c r="G22" i="11"/>
  <c r="H22" i="4"/>
  <c r="A23" i="9"/>
  <c r="A23" i="13"/>
  <c r="A166" i="17" s="1"/>
  <c r="A23" i="11"/>
  <c r="A23" i="12"/>
  <c r="A166" i="16" s="1"/>
  <c r="C23" i="4"/>
  <c r="G23" i="5"/>
  <c r="G23" i="11"/>
  <c r="A24" i="9"/>
  <c r="A178" i="9" s="1"/>
  <c r="A24" i="12"/>
  <c r="A167" i="16" s="1"/>
  <c r="A24" i="11"/>
  <c r="A178" i="11" s="1"/>
  <c r="A24" i="13"/>
  <c r="A167" i="17" s="1"/>
  <c r="A25" i="9"/>
  <c r="A179" i="9" s="1"/>
  <c r="A25" i="13"/>
  <c r="A168" i="17" s="1"/>
  <c r="A25" i="12"/>
  <c r="A168" i="16" s="1"/>
  <c r="A25" i="11"/>
  <c r="A179" i="11" s="1"/>
  <c r="B28" i="4"/>
  <c r="B30" i="5"/>
  <c r="B30" i="11"/>
  <c r="A31" i="9"/>
  <c r="A185" i="9" s="1"/>
  <c r="A31" i="12"/>
  <c r="A31" i="11"/>
  <c r="A185" i="11" s="1"/>
  <c r="A31" i="13"/>
  <c r="B32" i="5"/>
  <c r="B32" i="11"/>
  <c r="A34" i="9"/>
  <c r="A34" i="13"/>
  <c r="A34" i="12"/>
  <c r="A34" i="11"/>
  <c r="B36" i="4"/>
  <c r="B38" i="5"/>
  <c r="B38" i="11"/>
  <c r="A41" i="9"/>
  <c r="A41" i="13"/>
  <c r="A41" i="12"/>
  <c r="A41" i="11"/>
  <c r="A47" i="9"/>
  <c r="A47" i="11"/>
  <c r="A47" i="12"/>
  <c r="A47" i="13"/>
  <c r="A50" i="9"/>
  <c r="A50" i="13"/>
  <c r="A50" i="12"/>
  <c r="A50" i="11"/>
  <c r="B52" i="4"/>
  <c r="B53" i="5"/>
  <c r="B53" i="11"/>
  <c r="A54" i="9"/>
  <c r="A54" i="13"/>
  <c r="A54" i="11"/>
  <c r="A54" i="12"/>
  <c r="B56" i="5"/>
  <c r="B56" i="11"/>
  <c r="B57" i="5"/>
  <c r="B57" i="11"/>
  <c r="B60" i="4"/>
  <c r="B61" i="4"/>
  <c r="B62" i="4"/>
  <c r="A70" i="9"/>
  <c r="A70" i="13"/>
  <c r="A70" i="11"/>
  <c r="A70" i="12"/>
  <c r="A72" i="9"/>
  <c r="A72" i="12"/>
  <c r="A72" i="11"/>
  <c r="A72" i="13"/>
  <c r="A73" i="9"/>
  <c r="A73" i="13"/>
  <c r="A73" i="12"/>
  <c r="A73" i="11"/>
  <c r="B80" i="4"/>
  <c r="A82" i="9"/>
  <c r="A82" i="13"/>
  <c r="A82" i="12"/>
  <c r="A82" i="11"/>
  <c r="B85" i="5"/>
  <c r="B85" i="11"/>
  <c r="A86" i="9"/>
  <c r="A86" i="13"/>
  <c r="A86" i="11"/>
  <c r="A86" i="12"/>
  <c r="A87" i="9"/>
  <c r="A87" i="12"/>
  <c r="A87" i="11"/>
  <c r="A87" i="13"/>
  <c r="B89" i="5"/>
  <c r="B89" i="11"/>
  <c r="B93" i="4"/>
  <c r="B95" i="4"/>
  <c r="B96" i="5"/>
  <c r="B96" i="11"/>
  <c r="G99" i="5"/>
  <c r="G99" i="11"/>
  <c r="H99" i="5"/>
  <c r="H99" i="11"/>
  <c r="B100" i="4"/>
  <c r="G100" i="4"/>
  <c r="B101" i="5"/>
  <c r="B101" i="11"/>
  <c r="B102" i="5"/>
  <c r="B102" i="11"/>
  <c r="A104" i="9"/>
  <c r="A104" i="11"/>
  <c r="A104" i="13"/>
  <c r="A104" i="12"/>
  <c r="A109" i="9"/>
  <c r="A109" i="11"/>
  <c r="A109" i="13"/>
  <c r="A109" i="12"/>
  <c r="A110" i="12"/>
  <c r="A121" i="11"/>
  <c r="A121" i="13"/>
  <c r="A110" i="11"/>
  <c r="A121" i="12"/>
  <c r="A110" i="13"/>
  <c r="B117" i="4"/>
  <c r="A118" i="9"/>
  <c r="A118" i="12"/>
  <c r="A118" i="11"/>
  <c r="A118" i="13"/>
  <c r="A119" i="9"/>
  <c r="A119" i="13"/>
  <c r="A119" i="12"/>
  <c r="A119" i="11"/>
  <c r="A122" i="9"/>
  <c r="A122" i="12"/>
  <c r="A122" i="13"/>
  <c r="A122" i="11"/>
  <c r="A128" i="9"/>
  <c r="A128" i="11"/>
  <c r="A128" i="13"/>
  <c r="A128" i="12"/>
  <c r="F132" i="5"/>
  <c r="F132" i="11"/>
  <c r="G132" i="4"/>
  <c r="B133" i="5"/>
  <c r="B133" i="11"/>
  <c r="B133" i="17" s="1"/>
  <c r="C133" i="4"/>
  <c r="G133" i="5"/>
  <c r="G133" i="11"/>
  <c r="G133" i="17" s="1"/>
  <c r="H133" i="5"/>
  <c r="H133" i="11"/>
  <c r="H133" i="17" s="1"/>
  <c r="B135" i="4"/>
  <c r="A137" i="9"/>
  <c r="A137" i="13"/>
  <c r="A137" i="12"/>
  <c r="A137" i="11"/>
  <c r="B141" i="5"/>
  <c r="B141" i="11"/>
  <c r="A142" i="9"/>
  <c r="A142" i="13"/>
  <c r="A142" i="12"/>
  <c r="A142" i="11"/>
  <c r="B144" i="4"/>
  <c r="B146" i="5"/>
  <c r="B146" i="11"/>
  <c r="B152" i="4"/>
  <c r="B153" i="5"/>
  <c r="B153" i="11"/>
  <c r="A157" i="9"/>
  <c r="A157" i="13"/>
  <c r="A157" i="12"/>
  <c r="A157" i="11"/>
  <c r="A14" i="9"/>
  <c r="A168" i="9" s="1"/>
  <c r="A14" i="12"/>
  <c r="A168" i="12" s="1"/>
  <c r="A14" i="11"/>
  <c r="A168" i="11" s="1"/>
  <c r="A14" i="13"/>
  <c r="A168" i="13" s="1"/>
  <c r="B20" i="4"/>
  <c r="G23" i="4"/>
  <c r="B34" i="4"/>
  <c r="B35" i="5"/>
  <c r="B35" i="11"/>
  <c r="B36" i="5"/>
  <c r="B36" i="11"/>
  <c r="B42" i="4"/>
  <c r="A45" i="9"/>
  <c r="A45" i="13"/>
  <c r="A45" i="12"/>
  <c r="A45" i="11"/>
  <c r="B52" i="5"/>
  <c r="B52" i="11"/>
  <c r="B65" i="4"/>
  <c r="B84" i="5"/>
  <c r="B84" i="11"/>
  <c r="B99" i="5"/>
  <c r="B99" i="11"/>
  <c r="B105" i="5"/>
  <c r="B105" i="11"/>
  <c r="A108" i="9"/>
  <c r="A108" i="11"/>
  <c r="A108" i="13"/>
  <c r="A108" i="12"/>
  <c r="B139" i="4"/>
  <c r="B140" i="5"/>
  <c r="B140" i="11"/>
  <c r="A141" i="9"/>
  <c r="A141" i="13"/>
  <c r="A141" i="12"/>
  <c r="A141" i="11"/>
  <c r="A147" i="9"/>
  <c r="A147" i="11"/>
  <c r="A147" i="13"/>
  <c r="A147" i="12"/>
  <c r="A13" i="9"/>
  <c r="A167" i="9" s="1"/>
  <c r="A13" i="11"/>
  <c r="A167" i="11" s="1"/>
  <c r="A13" i="13"/>
  <c r="A167" i="13" s="1"/>
  <c r="A13" i="12"/>
  <c r="A167" i="12" s="1"/>
  <c r="B74" i="5"/>
  <c r="B74" i="11"/>
  <c r="B146" i="4"/>
  <c r="B7" i="4"/>
  <c r="B16" i="5"/>
  <c r="B16" i="11"/>
  <c r="C23" i="5"/>
  <c r="C23" i="11"/>
  <c r="A38" i="9"/>
  <c r="A38" i="13"/>
  <c r="A38" i="11"/>
  <c r="A38" i="12"/>
  <c r="B43" i="4"/>
  <c r="A5" i="9"/>
  <c r="A159" i="9" s="1"/>
  <c r="A5" i="11"/>
  <c r="A159" i="11" s="1"/>
  <c r="A5" i="13"/>
  <c r="A159" i="13" s="1"/>
  <c r="A5" i="12"/>
  <c r="A159" i="12" s="1"/>
  <c r="A6" i="9"/>
  <c r="A160" i="9" s="1"/>
  <c r="A6" i="12"/>
  <c r="A160" i="12" s="1"/>
  <c r="A6" i="11"/>
  <c r="A160" i="11" s="1"/>
  <c r="A6" i="13"/>
  <c r="A160" i="13" s="1"/>
  <c r="B12" i="5"/>
  <c r="B12" i="11"/>
  <c r="B19" i="5"/>
  <c r="B19" i="11"/>
  <c r="A21" i="9"/>
  <c r="A175" i="9" s="1"/>
  <c r="A21" i="11"/>
  <c r="A175" i="11" s="1"/>
  <c r="A21" i="13"/>
  <c r="A164" i="17" s="1"/>
  <c r="A21" i="12"/>
  <c r="A164" i="16" s="1"/>
  <c r="E22" i="4"/>
  <c r="F22" i="4"/>
  <c r="G22" i="4"/>
  <c r="D23" i="5"/>
  <c r="D23" i="11"/>
  <c r="A28" i="9"/>
  <c r="A182" i="9" s="1"/>
  <c r="A28" i="12"/>
  <c r="A28" i="11"/>
  <c r="A182" i="11" s="1"/>
  <c r="A28" i="13"/>
  <c r="B40" i="4"/>
  <c r="B50" i="4"/>
  <c r="B57" i="4"/>
  <c r="B58" i="4"/>
  <c r="B67" i="4"/>
  <c r="B75" i="5"/>
  <c r="B75" i="11"/>
  <c r="B76" i="5"/>
  <c r="B76" i="11"/>
  <c r="A83" i="9"/>
  <c r="A83" i="13"/>
  <c r="A83" i="12"/>
  <c r="A83" i="11"/>
  <c r="B90" i="5"/>
  <c r="B90" i="11"/>
  <c r="A99" i="9"/>
  <c r="A99" i="13"/>
  <c r="A99" i="12"/>
  <c r="A99" i="11"/>
  <c r="B100" i="5"/>
  <c r="B100" i="11"/>
  <c r="F100" i="4"/>
  <c r="A145" i="13"/>
  <c r="A134" i="13"/>
  <c r="A123" i="13"/>
  <c r="A156" i="12"/>
  <c r="A156" i="11"/>
  <c r="A112" i="11"/>
  <c r="A112" i="13"/>
  <c r="A145" i="12"/>
  <c r="A134" i="12"/>
  <c r="A123" i="12"/>
  <c r="A145" i="11"/>
  <c r="A101" i="11"/>
  <c r="A112" i="12"/>
  <c r="A134" i="11"/>
  <c r="A101" i="12"/>
  <c r="A123" i="11"/>
  <c r="A101" i="13"/>
  <c r="A156" i="13"/>
  <c r="B106" i="4"/>
  <c r="A107" i="9"/>
  <c r="A107" i="13"/>
  <c r="A107" i="12"/>
  <c r="A107" i="11"/>
  <c r="A116" i="9"/>
  <c r="A116" i="11"/>
  <c r="A116" i="13"/>
  <c r="A116" i="12"/>
  <c r="B124" i="4"/>
  <c r="C132" i="4"/>
  <c r="D132" i="5"/>
  <c r="D132" i="11"/>
  <c r="D133" i="4"/>
  <c r="E133" i="4"/>
  <c r="B138" i="4"/>
  <c r="B148" i="5"/>
  <c r="B148" i="11"/>
  <c r="A149" i="9"/>
  <c r="A149" i="13"/>
  <c r="A149" i="12"/>
  <c r="A149" i="11"/>
  <c r="B157" i="5"/>
  <c r="B157" i="11"/>
  <c r="A4" i="9"/>
  <c r="A4" i="11"/>
  <c r="A4" i="13"/>
  <c r="A4" i="12"/>
  <c r="A27" i="9"/>
  <c r="A181" i="9" s="1"/>
  <c r="A27" i="13"/>
  <c r="A27" i="12"/>
  <c r="A27" i="11"/>
  <c r="A181" i="11" s="1"/>
  <c r="A65" i="9"/>
  <c r="A65" i="13"/>
  <c r="A65" i="12"/>
  <c r="A65" i="11"/>
  <c r="B90" i="4"/>
  <c r="B91" i="5"/>
  <c r="B91" i="11"/>
  <c r="B97" i="4"/>
  <c r="E100" i="4"/>
  <c r="B119" i="4"/>
  <c r="A131" i="9"/>
  <c r="A131" i="13"/>
  <c r="A131" i="12"/>
  <c r="A131" i="11"/>
  <c r="B137" i="4"/>
  <c r="B153" i="4"/>
  <c r="B155" i="5"/>
  <c r="B155" i="11"/>
  <c r="B5" i="4"/>
  <c r="B6" i="4"/>
  <c r="A7" i="9"/>
  <c r="A161" i="9" s="1"/>
  <c r="A7" i="13"/>
  <c r="A161" i="13" s="1"/>
  <c r="A7" i="12"/>
  <c r="A161" i="12" s="1"/>
  <c r="A7" i="11"/>
  <c r="A161" i="11" s="1"/>
  <c r="A9" i="9"/>
  <c r="A163" i="9" s="1"/>
  <c r="A9" i="11"/>
  <c r="A163" i="11" s="1"/>
  <c r="A9" i="13"/>
  <c r="A163" i="13" s="1"/>
  <c r="A9" i="12"/>
  <c r="A163" i="12" s="1"/>
  <c r="A10" i="9"/>
  <c r="A164" i="9" s="1"/>
  <c r="A10" i="12"/>
  <c r="A164" i="12" s="1"/>
  <c r="A10" i="13"/>
  <c r="A164" i="13" s="1"/>
  <c r="A10" i="11"/>
  <c r="A164" i="11" s="1"/>
  <c r="A12" i="9"/>
  <c r="A12" i="11"/>
  <c r="A12" i="13"/>
  <c r="A12" i="12"/>
  <c r="A17" i="9"/>
  <c r="A171" i="9" s="1"/>
  <c r="A17" i="11"/>
  <c r="A171" i="11" s="1"/>
  <c r="A17" i="13"/>
  <c r="A160" i="17" s="1"/>
  <c r="A17" i="12"/>
  <c r="A160" i="16" s="1"/>
  <c r="B18" i="5"/>
  <c r="B18" i="11"/>
  <c r="B22" i="4"/>
  <c r="C22" i="4"/>
  <c r="B23" i="5"/>
  <c r="B23" i="11"/>
  <c r="H23" i="5"/>
  <c r="H23" i="11"/>
  <c r="B24" i="5"/>
  <c r="B24" i="11"/>
  <c r="B25" i="5"/>
  <c r="B25" i="11"/>
  <c r="B30" i="4"/>
  <c r="B31" i="5"/>
  <c r="B31" i="11"/>
  <c r="B32" i="4"/>
  <c r="B38" i="4"/>
  <c r="A39" i="9"/>
  <c r="A39" i="11"/>
  <c r="A39" i="13"/>
  <c r="A39" i="12"/>
  <c r="A40" i="9"/>
  <c r="A40" i="12"/>
  <c r="A40" i="11"/>
  <c r="A40" i="13"/>
  <c r="B45" i="5"/>
  <c r="B45" i="11"/>
  <c r="B47" i="5"/>
  <c r="B47" i="11"/>
  <c r="A49" i="9"/>
  <c r="A49" i="13"/>
  <c r="A49" i="12"/>
  <c r="A49" i="11"/>
  <c r="B53" i="4"/>
  <c r="B54" i="5"/>
  <c r="B54" i="11"/>
  <c r="B56" i="4"/>
  <c r="A58" i="9"/>
  <c r="A58" i="13"/>
  <c r="A58" i="12"/>
  <c r="A58" i="11"/>
  <c r="A63" i="9"/>
  <c r="A63" i="12"/>
  <c r="A63" i="11"/>
  <c r="A63" i="13"/>
  <c r="A64" i="9"/>
  <c r="A64" i="12"/>
  <c r="A64" i="11"/>
  <c r="A64" i="13"/>
  <c r="B72" i="5"/>
  <c r="B72" i="11"/>
  <c r="A78" i="9"/>
  <c r="A78" i="13"/>
  <c r="A78" i="11"/>
  <c r="A78" i="12"/>
  <c r="B85" i="4"/>
  <c r="B86" i="5"/>
  <c r="B86" i="11"/>
  <c r="B87" i="5"/>
  <c r="B87" i="11"/>
  <c r="B89" i="4"/>
  <c r="A90" i="9"/>
  <c r="A90" i="13"/>
  <c r="A90" i="12"/>
  <c r="A90" i="11"/>
  <c r="A94" i="9"/>
  <c r="A94" i="13"/>
  <c r="A94" i="11"/>
  <c r="A94" i="12"/>
  <c r="B96" i="4"/>
  <c r="A98" i="9"/>
  <c r="A98" i="13"/>
  <c r="A98" i="12"/>
  <c r="A98" i="11"/>
  <c r="F99" i="5"/>
  <c r="F99" i="11"/>
  <c r="G99" i="4"/>
  <c r="H99" i="4"/>
  <c r="B100" i="9"/>
  <c r="B101" i="4"/>
  <c r="B102" i="4"/>
  <c r="B104" i="5"/>
  <c r="B104" i="11"/>
  <c r="B109" i="5"/>
  <c r="B109" i="11"/>
  <c r="A111" i="9"/>
  <c r="A111" i="13"/>
  <c r="A111" i="12"/>
  <c r="A111" i="11"/>
  <c r="B118" i="5"/>
  <c r="B118" i="11"/>
  <c r="B119" i="5"/>
  <c r="B119" i="11"/>
  <c r="A120" i="9"/>
  <c r="A120" i="11"/>
  <c r="A120" i="13"/>
  <c r="A120" i="12"/>
  <c r="A125" i="9"/>
  <c r="A125" i="11"/>
  <c r="A125" i="13"/>
  <c r="A125" i="12"/>
  <c r="A126" i="9"/>
  <c r="A126" i="12"/>
  <c r="A126" i="11"/>
  <c r="A126" i="13"/>
  <c r="A127" i="9"/>
  <c r="A127" i="13"/>
  <c r="A127" i="12"/>
  <c r="A127" i="11"/>
  <c r="B128" i="5"/>
  <c r="B128" i="11"/>
  <c r="H132" i="5"/>
  <c r="H132" i="11"/>
  <c r="B133" i="4"/>
  <c r="H133" i="4"/>
  <c r="B137" i="5"/>
  <c r="B137" i="11"/>
  <c r="B140" i="4"/>
  <c r="B141" i="4"/>
  <c r="B142" i="5"/>
  <c r="B142" i="11"/>
  <c r="B149" i="4"/>
  <c r="B150" i="5"/>
  <c r="B150" i="11"/>
  <c r="A151" i="9"/>
  <c r="A151" i="13"/>
  <c r="A151" i="12"/>
  <c r="A151" i="11"/>
  <c r="B9" i="4"/>
  <c r="D22" i="5"/>
  <c r="D22" i="11"/>
  <c r="F23" i="5"/>
  <c r="F23" i="11"/>
  <c r="B27" i="4"/>
  <c r="B41" i="4"/>
  <c r="B82" i="4"/>
  <c r="B83" i="5"/>
  <c r="B83" i="11"/>
  <c r="D100" i="5"/>
  <c r="D100" i="11"/>
  <c r="A115" i="9"/>
  <c r="A115" i="13"/>
  <c r="A115" i="12"/>
  <c r="A115" i="11"/>
  <c r="B122" i="4"/>
  <c r="B131" i="5"/>
  <c r="B131" i="11"/>
  <c r="A132" i="11"/>
  <c r="A154" i="13"/>
  <c r="A132" i="13"/>
  <c r="A143" i="13"/>
  <c r="A143" i="12"/>
  <c r="A143" i="11"/>
  <c r="A154" i="12"/>
  <c r="A132" i="12"/>
  <c r="A154" i="11"/>
  <c r="A68" i="12"/>
  <c r="A68" i="11"/>
  <c r="A46" i="13"/>
  <c r="A35" i="13"/>
  <c r="A46" i="11"/>
  <c r="A68" i="13"/>
  <c r="A35" i="12"/>
  <c r="A79" i="11"/>
  <c r="A79" i="12"/>
  <c r="A35" i="11"/>
  <c r="A189" i="11" s="1"/>
  <c r="A79" i="13"/>
  <c r="A46" i="12"/>
  <c r="B73" i="4"/>
  <c r="B23" i="9"/>
  <c r="B29" i="4"/>
  <c r="A32" i="9"/>
  <c r="A186" i="9" s="1"/>
  <c r="A32" i="12"/>
  <c r="A32" i="11"/>
  <c r="A186" i="11" s="1"/>
  <c r="A32" i="13"/>
  <c r="B39" i="4"/>
  <c r="A55" i="9"/>
  <c r="A55" i="11"/>
  <c r="A55" i="13"/>
  <c r="A55" i="12"/>
  <c r="B12" i="4"/>
  <c r="B13" i="5"/>
  <c r="B13" i="11"/>
  <c r="B14" i="5"/>
  <c r="B14" i="11"/>
  <c r="B19" i="4"/>
  <c r="B20" i="5"/>
  <c r="B20" i="11"/>
  <c r="A11" i="13"/>
  <c r="A165" i="13" s="1"/>
  <c r="A44" i="12"/>
  <c r="A22" i="12"/>
  <c r="A165" i="16" s="1"/>
  <c r="A44" i="11"/>
  <c r="A66" i="13"/>
  <c r="A11" i="12"/>
  <c r="A165" i="12" s="1"/>
  <c r="A66" i="12"/>
  <c r="A22" i="11"/>
  <c r="A176" i="11" s="1"/>
  <c r="A44" i="13"/>
  <c r="A22" i="13"/>
  <c r="A165" i="17" s="1"/>
  <c r="A11" i="11"/>
  <c r="A165" i="11" s="1"/>
  <c r="A66" i="11"/>
  <c r="C22" i="5"/>
  <c r="C22" i="11"/>
  <c r="E23" i="5"/>
  <c r="E23" i="11"/>
  <c r="B27" i="5"/>
  <c r="B27" i="11"/>
  <c r="A29" i="9"/>
  <c r="A183" i="9" s="1"/>
  <c r="A29" i="13"/>
  <c r="A29" i="12"/>
  <c r="A29" i="11"/>
  <c r="A183" i="11" s="1"/>
  <c r="B34" i="5"/>
  <c r="B34" i="11"/>
  <c r="B41" i="5"/>
  <c r="B41" i="11"/>
  <c r="B42" i="5"/>
  <c r="B42" i="11"/>
  <c r="B43" i="5"/>
  <c r="B43" i="11"/>
  <c r="B51" i="5"/>
  <c r="B51" i="11"/>
  <c r="B65" i="5"/>
  <c r="B65" i="11"/>
  <c r="A67" i="9"/>
  <c r="A67" i="13"/>
  <c r="A67" i="11"/>
  <c r="A67" i="12"/>
  <c r="A69" i="9"/>
  <c r="A69" i="13"/>
  <c r="A69" i="12"/>
  <c r="A69" i="11"/>
  <c r="B75" i="4"/>
  <c r="A76" i="9"/>
  <c r="A76" i="12"/>
  <c r="A76" i="11"/>
  <c r="A76" i="13"/>
  <c r="B82" i="5"/>
  <c r="B82" i="11"/>
  <c r="B91" i="4"/>
  <c r="A93" i="9"/>
  <c r="A93" i="13"/>
  <c r="A93" i="12"/>
  <c r="A93" i="11"/>
  <c r="B98" i="4"/>
  <c r="A100" i="9"/>
  <c r="A100" i="13"/>
  <c r="A100" i="11"/>
  <c r="A100" i="12"/>
  <c r="C100" i="5"/>
  <c r="C100" i="11"/>
  <c r="A105" i="9"/>
  <c r="A105" i="11"/>
  <c r="A105" i="13"/>
  <c r="A105" i="12"/>
  <c r="A106" i="9"/>
  <c r="A106" i="12"/>
  <c r="A106" i="13"/>
  <c r="A106" i="11"/>
  <c r="A113" i="9"/>
  <c r="A113" i="11"/>
  <c r="A113" i="13"/>
  <c r="A113" i="12"/>
  <c r="B115" i="5"/>
  <c r="B115" i="11"/>
  <c r="B122" i="5"/>
  <c r="B122" i="11"/>
  <c r="B130" i="4"/>
  <c r="B132" i="5"/>
  <c r="B132" i="11"/>
  <c r="D132" i="4"/>
  <c r="A133" i="9"/>
  <c r="A133" i="11"/>
  <c r="A133" i="12"/>
  <c r="A133" i="13"/>
  <c r="B135" i="9"/>
  <c r="B139" i="5"/>
  <c r="B139" i="11"/>
  <c r="B148" i="4"/>
  <c r="B157" i="4"/>
  <c r="A20" i="9"/>
  <c r="A174" i="9" s="1"/>
  <c r="A20" i="11"/>
  <c r="A174" i="11" s="1"/>
  <c r="A20" i="13"/>
  <c r="A163" i="17" s="1"/>
  <c r="A20" i="12"/>
  <c r="A163" i="16" s="1"/>
  <c r="A74" i="9"/>
  <c r="A74" i="13"/>
  <c r="A74" i="12"/>
  <c r="A74" i="11"/>
  <c r="A75" i="9"/>
  <c r="A75" i="13"/>
  <c r="A75" i="12"/>
  <c r="A75" i="11"/>
  <c r="E99" i="4"/>
  <c r="B104" i="4"/>
  <c r="B113" i="5"/>
  <c r="B113" i="11"/>
  <c r="B120" i="4"/>
  <c r="A124" i="9"/>
  <c r="A124" i="11"/>
  <c r="A124" i="13"/>
  <c r="A124" i="12"/>
  <c r="B130" i="5"/>
  <c r="B130" i="11"/>
  <c r="E132" i="5"/>
  <c r="E132" i="11"/>
  <c r="F133" i="4"/>
  <c r="B138" i="5"/>
  <c r="B138" i="11"/>
  <c r="B155" i="4"/>
  <c r="B7" i="5"/>
  <c r="B7" i="11"/>
  <c r="A8" i="9"/>
  <c r="A162" i="9" s="1"/>
  <c r="A8" i="11"/>
  <c r="A162" i="11" s="1"/>
  <c r="A8" i="13"/>
  <c r="A162" i="13" s="1"/>
  <c r="A8" i="12"/>
  <c r="A162" i="12" s="1"/>
  <c r="B9" i="5"/>
  <c r="B9" i="11"/>
  <c r="B10" i="5"/>
  <c r="B10" i="11"/>
  <c r="A15" i="9"/>
  <c r="A15" i="13"/>
  <c r="A15" i="12"/>
  <c r="A15" i="11"/>
  <c r="A16" i="9"/>
  <c r="A170" i="9" s="1"/>
  <c r="A16" i="11"/>
  <c r="A170" i="11" s="1"/>
  <c r="A16" i="13"/>
  <c r="A159" i="17" s="1"/>
  <c r="A16" i="12"/>
  <c r="A159" i="16" s="1"/>
  <c r="B17" i="5"/>
  <c r="B17" i="11"/>
  <c r="A19" i="9"/>
  <c r="A173" i="9" s="1"/>
  <c r="A19" i="13"/>
  <c r="A162" i="17" s="1"/>
  <c r="A19" i="12"/>
  <c r="A162" i="16" s="1"/>
  <c r="A19" i="11"/>
  <c r="A173" i="11" s="1"/>
  <c r="B21" i="4"/>
  <c r="B22" i="9"/>
  <c r="B23" i="4"/>
  <c r="B24" i="4"/>
  <c r="B25" i="4"/>
  <c r="B29" i="5"/>
  <c r="B29" i="11"/>
  <c r="B31" i="4"/>
  <c r="A33" i="9"/>
  <c r="A187" i="9" s="1"/>
  <c r="A33" i="13"/>
  <c r="A33" i="12"/>
  <c r="A33" i="11"/>
  <c r="A187" i="11" s="1"/>
  <c r="A37" i="9"/>
  <c r="A37" i="13"/>
  <c r="A37" i="12"/>
  <c r="A37" i="11"/>
  <c r="B39" i="5"/>
  <c r="B39" i="11"/>
  <c r="B40" i="5"/>
  <c r="B40" i="11"/>
  <c r="B45" i="4"/>
  <c r="B47" i="4"/>
  <c r="B49" i="5"/>
  <c r="B49" i="11"/>
  <c r="B54" i="4"/>
  <c r="A61" i="9"/>
  <c r="A61" i="13"/>
  <c r="A61" i="12"/>
  <c r="A61" i="11"/>
  <c r="A62" i="9"/>
  <c r="A62" i="13"/>
  <c r="A62" i="11"/>
  <c r="A62" i="12"/>
  <c r="B63" i="5"/>
  <c r="B63" i="11"/>
  <c r="B64" i="5"/>
  <c r="B64" i="11"/>
  <c r="B69" i="4"/>
  <c r="A71" i="9"/>
  <c r="A71" i="11"/>
  <c r="A71" i="13"/>
  <c r="A71" i="12"/>
  <c r="B76" i="4"/>
  <c r="B78" i="5"/>
  <c r="B78" i="11"/>
  <c r="A80" i="9"/>
  <c r="A80" i="12"/>
  <c r="A80" i="11"/>
  <c r="A80" i="13"/>
  <c r="B86" i="4"/>
  <c r="B87" i="4"/>
  <c r="B94" i="5"/>
  <c r="B94" i="11"/>
  <c r="A95" i="9"/>
  <c r="A95" i="11"/>
  <c r="A95" i="13"/>
  <c r="A95" i="12"/>
  <c r="A97" i="9"/>
  <c r="A97" i="13"/>
  <c r="A97" i="12"/>
  <c r="A97" i="11"/>
  <c r="B99" i="9"/>
  <c r="E99" i="5"/>
  <c r="E99" i="11"/>
  <c r="F99" i="4"/>
  <c r="E100" i="5"/>
  <c r="E100" i="11"/>
  <c r="H100" i="5"/>
  <c r="H100" i="11"/>
  <c r="B108" i="5"/>
  <c r="B108" i="11"/>
  <c r="B109" i="4"/>
  <c r="B111" i="5"/>
  <c r="B111" i="11"/>
  <c r="B115" i="4"/>
  <c r="B116" i="5"/>
  <c r="B116" i="11"/>
  <c r="A117" i="9"/>
  <c r="A117" i="11"/>
  <c r="A117" i="12"/>
  <c r="A117" i="13"/>
  <c r="B118" i="4"/>
  <c r="B120" i="5"/>
  <c r="B120" i="11"/>
  <c r="B126" i="5"/>
  <c r="B126" i="11"/>
  <c r="B127" i="5"/>
  <c r="B127" i="11"/>
  <c r="B128" i="4"/>
  <c r="A129" i="9"/>
  <c r="A129" i="11"/>
  <c r="A129" i="13"/>
  <c r="A129" i="12"/>
  <c r="A130" i="9"/>
  <c r="A130" i="12"/>
  <c r="A130" i="13"/>
  <c r="A130" i="11"/>
  <c r="H132" i="4"/>
  <c r="B133" i="9"/>
  <c r="B133" i="18" s="1"/>
  <c r="B133" i="6" s="1"/>
  <c r="A135" i="9"/>
  <c r="A135" i="13"/>
  <c r="A135" i="12"/>
  <c r="A135" i="11"/>
  <c r="B142" i="4"/>
  <c r="A144" i="9"/>
  <c r="A144" i="12"/>
  <c r="A144" i="11"/>
  <c r="A144" i="13"/>
  <c r="B150" i="4"/>
  <c r="B151" i="5"/>
  <c r="B151" i="11"/>
  <c r="A152" i="9"/>
  <c r="A152" i="12"/>
  <c r="A152" i="11"/>
  <c r="A152" i="13"/>
  <c r="E188" i="11"/>
  <c r="E177" i="11" s="1"/>
  <c r="G188" i="11"/>
  <c r="G177" i="11" s="1"/>
  <c r="D188" i="11"/>
  <c r="D177" i="11" s="1"/>
  <c r="H188" i="11"/>
  <c r="H177" i="11" s="1"/>
  <c r="I177" i="11" s="1"/>
  <c r="F188" i="11"/>
  <c r="F177" i="11" s="1"/>
  <c r="C188" i="11"/>
  <c r="C177" i="11" s="1"/>
  <c r="B166" i="9"/>
  <c r="B163" i="9"/>
  <c r="B164" i="9"/>
  <c r="E165" i="9"/>
  <c r="F165" i="9"/>
  <c r="A88" i="9"/>
  <c r="A77" i="9"/>
  <c r="A154" i="9"/>
  <c r="A143" i="9"/>
  <c r="A132" i="9"/>
  <c r="A79" i="9"/>
  <c r="A68" i="9"/>
  <c r="A46" i="9"/>
  <c r="A35" i="9"/>
  <c r="A189" i="9" s="1"/>
  <c r="A121" i="9"/>
  <c r="A110" i="9"/>
  <c r="B161" i="9"/>
  <c r="B167" i="9"/>
  <c r="A112" i="9"/>
  <c r="A101" i="9"/>
  <c r="A156" i="9"/>
  <c r="A145" i="9"/>
  <c r="A134" i="9"/>
  <c r="A123" i="9"/>
  <c r="B162" i="9"/>
  <c r="A66" i="9"/>
  <c r="A22" i="9"/>
  <c r="A176" i="9" s="1"/>
  <c r="A11" i="9"/>
  <c r="A165" i="9" s="1"/>
  <c r="A44" i="9"/>
  <c r="B159" i="9"/>
  <c r="B160" i="9"/>
  <c r="C165" i="9"/>
  <c r="D165" i="9"/>
  <c r="C188" i="9"/>
  <c r="C177" i="9" s="1"/>
  <c r="D188" i="9"/>
  <c r="D177" i="9" s="1"/>
  <c r="E188" i="9"/>
  <c r="E177" i="9" s="1"/>
  <c r="G188" i="9"/>
  <c r="G177" i="9" s="1"/>
  <c r="F188" i="9"/>
  <c r="F177" i="9" s="1"/>
  <c r="H188" i="9"/>
  <c r="H177" i="9" s="1"/>
  <c r="I177" i="9" s="1"/>
  <c r="B9" i="3"/>
  <c r="H23" i="3"/>
  <c r="B41" i="3"/>
  <c r="A42" i="3"/>
  <c r="A42" i="6"/>
  <c r="A42" i="7"/>
  <c r="A84" i="3"/>
  <c r="A84" i="6"/>
  <c r="A84" i="7"/>
  <c r="B113" i="3"/>
  <c r="A114" i="6"/>
  <c r="A114" i="7"/>
  <c r="A140" i="3"/>
  <c r="A140" i="6"/>
  <c r="A140" i="7"/>
  <c r="B96" i="3"/>
  <c r="B13" i="3"/>
  <c r="D23" i="3"/>
  <c r="B29" i="3"/>
  <c r="A34" i="3"/>
  <c r="A34" i="6"/>
  <c r="A34" i="7"/>
  <c r="B43" i="3"/>
  <c r="B12" i="3"/>
  <c r="A14" i="4"/>
  <c r="A168" i="4" s="1"/>
  <c r="A14" i="6"/>
  <c r="A168" i="6" s="1"/>
  <c r="A14" i="7"/>
  <c r="A168" i="7" s="1"/>
  <c r="B19" i="3"/>
  <c r="A43" i="3"/>
  <c r="A43" i="6"/>
  <c r="A43" i="7"/>
  <c r="A45" i="6"/>
  <c r="A45" i="7"/>
  <c r="A53" i="6"/>
  <c r="A53" i="7"/>
  <c r="A60" i="3"/>
  <c r="A60" i="6"/>
  <c r="A60" i="7"/>
  <c r="A88" i="4"/>
  <c r="A77" i="6"/>
  <c r="A88" i="6"/>
  <c r="A88" i="7"/>
  <c r="A77" i="7"/>
  <c r="A85" i="6"/>
  <c r="A85" i="7"/>
  <c r="B91" i="3"/>
  <c r="A92" i="3"/>
  <c r="A92" i="6"/>
  <c r="A92" i="7"/>
  <c r="B98" i="3"/>
  <c r="A108" i="3"/>
  <c r="A108" i="6"/>
  <c r="A108" i="7"/>
  <c r="B111" i="3"/>
  <c r="A115" i="5"/>
  <c r="A115" i="6"/>
  <c r="A115" i="7"/>
  <c r="B130" i="3"/>
  <c r="A132" i="5"/>
  <c r="A143" i="6"/>
  <c r="A154" i="6"/>
  <c r="A132" i="6"/>
  <c r="A154" i="7"/>
  <c r="A143" i="7"/>
  <c r="A132" i="7"/>
  <c r="D132" i="3"/>
  <c r="E132" i="3"/>
  <c r="F133" i="3"/>
  <c r="A141" i="6"/>
  <c r="A141" i="7"/>
  <c r="A147" i="6"/>
  <c r="A147" i="7"/>
  <c r="B155" i="3"/>
  <c r="B157" i="3"/>
  <c r="A13" i="6"/>
  <c r="A167" i="6" s="1"/>
  <c r="A13" i="7"/>
  <c r="A167" i="7" s="1"/>
  <c r="A35" i="5"/>
  <c r="A79" i="6"/>
  <c r="A35" i="6"/>
  <c r="A46" i="6"/>
  <c r="A68" i="6"/>
  <c r="A46" i="7"/>
  <c r="A79" i="7"/>
  <c r="A35" i="7"/>
  <c r="A68" i="7"/>
  <c r="E99" i="3"/>
  <c r="G100" i="3"/>
  <c r="H133" i="3"/>
  <c r="B21" i="3"/>
  <c r="B23" i="3"/>
  <c r="A30" i="6"/>
  <c r="A30" i="7"/>
  <c r="B31" i="3"/>
  <c r="A32" i="4"/>
  <c r="A32" i="6"/>
  <c r="A32" i="7"/>
  <c r="B35" i="3"/>
  <c r="A38" i="6"/>
  <c r="A38" i="7"/>
  <c r="B42" i="3"/>
  <c r="B45" i="3"/>
  <c r="B47" i="3"/>
  <c r="B51" i="3"/>
  <c r="B54" i="3"/>
  <c r="A55" i="3"/>
  <c r="A55" i="6"/>
  <c r="A55" i="7"/>
  <c r="A56" i="5"/>
  <c r="A56" i="6"/>
  <c r="A56" i="7"/>
  <c r="A57" i="5"/>
  <c r="A57" i="6"/>
  <c r="A57" i="7"/>
  <c r="B69" i="3"/>
  <c r="B76" i="3"/>
  <c r="A81" i="4"/>
  <c r="A81" i="6"/>
  <c r="A81" i="7"/>
  <c r="B83" i="3"/>
  <c r="B86" i="3"/>
  <c r="A89" i="5"/>
  <c r="A89" i="6"/>
  <c r="A89" i="7"/>
  <c r="A91" i="6"/>
  <c r="A91" i="7"/>
  <c r="A96" i="5"/>
  <c r="A96" i="6"/>
  <c r="A96" i="7"/>
  <c r="F99" i="3"/>
  <c r="A102" i="6"/>
  <c r="A102" i="7"/>
  <c r="A103" i="3"/>
  <c r="A103" i="6"/>
  <c r="A103" i="7"/>
  <c r="B106" i="3"/>
  <c r="B109" i="3"/>
  <c r="B115" i="3"/>
  <c r="B118" i="3"/>
  <c r="B124" i="3"/>
  <c r="H132" i="3"/>
  <c r="A136" i="4"/>
  <c r="A136" i="6"/>
  <c r="A136" i="7"/>
  <c r="A138" i="6"/>
  <c r="A138" i="7"/>
  <c r="B142" i="3"/>
  <c r="A146" i="5"/>
  <c r="A146" i="6"/>
  <c r="A146" i="7"/>
  <c r="B150" i="3"/>
  <c r="A153" i="5"/>
  <c r="A153" i="6"/>
  <c r="A153" i="7"/>
  <c r="A155" i="6"/>
  <c r="A155" i="7"/>
  <c r="B18" i="3"/>
  <c r="G23" i="3"/>
  <c r="A26" i="6"/>
  <c r="A26" i="7"/>
  <c r="A36" i="3"/>
  <c r="A36" i="6"/>
  <c r="A36" i="7"/>
  <c r="B39" i="3"/>
  <c r="A51" i="4"/>
  <c r="A51" i="6"/>
  <c r="A51" i="7"/>
  <c r="B71" i="3"/>
  <c r="B82" i="3"/>
  <c r="B97" i="3"/>
  <c r="B120" i="3"/>
  <c r="B122" i="3"/>
  <c r="B87" i="3"/>
  <c r="B128" i="3"/>
  <c r="B146" i="3"/>
  <c r="A148" i="3"/>
  <c r="A148" i="6"/>
  <c r="A148" i="7"/>
  <c r="B7" i="3"/>
  <c r="A18" i="3"/>
  <c r="A18" i="6"/>
  <c r="A161" i="18" s="1"/>
  <c r="A18" i="7"/>
  <c r="A23" i="3"/>
  <c r="A23" i="6"/>
  <c r="A166" i="18" s="1"/>
  <c r="A23" i="7"/>
  <c r="A24" i="6"/>
  <c r="A167" i="18" s="1"/>
  <c r="A24" i="7"/>
  <c r="A25" i="5"/>
  <c r="A25" i="6"/>
  <c r="A168" i="18" s="1"/>
  <c r="A25" i="7"/>
  <c r="A70" i="6"/>
  <c r="A70" i="7"/>
  <c r="A82" i="5"/>
  <c r="A82" i="6"/>
  <c r="A82" i="7"/>
  <c r="A87" i="3"/>
  <c r="A87" i="6"/>
  <c r="A87" i="7"/>
  <c r="A104" i="4"/>
  <c r="A104" i="6"/>
  <c r="A104" i="7"/>
  <c r="B116" i="3"/>
  <c r="A119" i="3"/>
  <c r="A119" i="6"/>
  <c r="A119" i="7"/>
  <c r="B126" i="3"/>
  <c r="B127" i="3"/>
  <c r="A128" i="4"/>
  <c r="A128" i="6"/>
  <c r="A128" i="7"/>
  <c r="B139" i="3"/>
  <c r="A142" i="6"/>
  <c r="A142" i="7"/>
  <c r="A157" i="6"/>
  <c r="A157" i="7"/>
  <c r="A5" i="4"/>
  <c r="A159" i="4" s="1"/>
  <c r="A5" i="6"/>
  <c r="A159" i="6" s="1"/>
  <c r="A5" i="7"/>
  <c r="A159" i="7" s="1"/>
  <c r="A6" i="6"/>
  <c r="A160" i="6" s="1"/>
  <c r="A6" i="7"/>
  <c r="A160" i="7" s="1"/>
  <c r="B10" i="3"/>
  <c r="A21" i="6"/>
  <c r="A164" i="18" s="1"/>
  <c r="A21" i="7"/>
  <c r="F23" i="3"/>
  <c r="A28" i="3"/>
  <c r="A28" i="6"/>
  <c r="A28" i="7"/>
  <c r="B38" i="3"/>
  <c r="B49" i="3"/>
  <c r="B73" i="3"/>
  <c r="B74" i="3"/>
  <c r="A83" i="4"/>
  <c r="A83" i="6"/>
  <c r="A83" i="7"/>
  <c r="A99" i="4"/>
  <c r="A99" i="6"/>
  <c r="A99" i="7"/>
  <c r="C99" i="3"/>
  <c r="D99" i="3"/>
  <c r="D100" i="3"/>
  <c r="E100" i="3"/>
  <c r="A145" i="6"/>
  <c r="A101" i="6"/>
  <c r="A134" i="6"/>
  <c r="A156" i="6"/>
  <c r="A112" i="6"/>
  <c r="A123" i="6"/>
  <c r="A134" i="7"/>
  <c r="A112" i="7"/>
  <c r="A123" i="7"/>
  <c r="A156" i="7"/>
  <c r="A145" i="7"/>
  <c r="A101" i="7"/>
  <c r="B104" i="3"/>
  <c r="B105" i="3"/>
  <c r="A107" i="6"/>
  <c r="A107" i="7"/>
  <c r="A116" i="3"/>
  <c r="A116" i="6"/>
  <c r="A116" i="7"/>
  <c r="B129" i="3"/>
  <c r="A149" i="6"/>
  <c r="A149" i="7"/>
  <c r="A4" i="3"/>
  <c r="A4" i="6"/>
  <c r="A4" i="7"/>
  <c r="A27" i="3"/>
  <c r="A27" i="6"/>
  <c r="A27" i="7"/>
  <c r="A65" i="4"/>
  <c r="A65" i="6"/>
  <c r="A65" i="7"/>
  <c r="B72" i="3"/>
  <c r="B89" i="3"/>
  <c r="A131" i="5"/>
  <c r="A131" i="6"/>
  <c r="A131" i="7"/>
  <c r="F132" i="3"/>
  <c r="G133" i="3"/>
  <c r="A7" i="3"/>
  <c r="A161" i="3" s="1"/>
  <c r="A7" i="6"/>
  <c r="A161" i="6" s="1"/>
  <c r="A7" i="7"/>
  <c r="A161" i="7" s="1"/>
  <c r="B8" i="3"/>
  <c r="A9" i="4"/>
  <c r="A163" i="4" s="1"/>
  <c r="A9" i="6"/>
  <c r="A163" i="6" s="1"/>
  <c r="A9" i="7"/>
  <c r="A163" i="7" s="1"/>
  <c r="A10" i="4"/>
  <c r="A164" i="4" s="1"/>
  <c r="A10" i="6"/>
  <c r="A164" i="6" s="1"/>
  <c r="A10" i="7"/>
  <c r="A164" i="7" s="1"/>
  <c r="A12" i="3"/>
  <c r="A166" i="3" s="1"/>
  <c r="A12" i="6"/>
  <c r="A12" i="7"/>
  <c r="A166" i="7" s="1"/>
  <c r="B14" i="3"/>
  <c r="B16" i="3"/>
  <c r="A17" i="5"/>
  <c r="A17" i="6"/>
  <c r="A160" i="18" s="1"/>
  <c r="A17" i="7"/>
  <c r="B20" i="3"/>
  <c r="H22" i="3"/>
  <c r="C23" i="3"/>
  <c r="B28" i="3"/>
  <c r="B36" i="3"/>
  <c r="A39" i="3"/>
  <c r="A39" i="6"/>
  <c r="A39" i="7"/>
  <c r="A40" i="6"/>
  <c r="A40" i="7"/>
  <c r="A49" i="5"/>
  <c r="A49" i="6"/>
  <c r="A49" i="7"/>
  <c r="B52" i="3"/>
  <c r="A58" i="5"/>
  <c r="A58" i="6"/>
  <c r="A58" i="7"/>
  <c r="B60" i="3"/>
  <c r="B61" i="3"/>
  <c r="A63" i="3"/>
  <c r="A63" i="6"/>
  <c r="A63" i="7"/>
  <c r="A64" i="4"/>
  <c r="A64" i="6"/>
  <c r="A64" i="7"/>
  <c r="A78" i="6"/>
  <c r="A78" i="7"/>
  <c r="B80" i="3"/>
  <c r="A90" i="4"/>
  <c r="A90" i="6"/>
  <c r="A90" i="7"/>
  <c r="B93" i="3"/>
  <c r="A94" i="6"/>
  <c r="A94" i="7"/>
  <c r="B95" i="3"/>
  <c r="A98" i="4"/>
  <c r="A98" i="6"/>
  <c r="A98" i="7"/>
  <c r="B100" i="3"/>
  <c r="C100" i="3"/>
  <c r="A111" i="3"/>
  <c r="A111" i="6"/>
  <c r="A111" i="7"/>
  <c r="B117" i="3"/>
  <c r="A120" i="6"/>
  <c r="A120" i="7"/>
  <c r="A125" i="6"/>
  <c r="A125" i="7"/>
  <c r="A126" i="6"/>
  <c r="A126" i="7"/>
  <c r="A127" i="3"/>
  <c r="A127" i="6"/>
  <c r="A127" i="7"/>
  <c r="B131" i="3"/>
  <c r="G132" i="3"/>
  <c r="C133" i="3"/>
  <c r="D133" i="3"/>
  <c r="B144" i="3"/>
  <c r="A151" i="3"/>
  <c r="A151" i="6"/>
  <c r="A151" i="7"/>
  <c r="B152" i="3"/>
  <c r="B24" i="3"/>
  <c r="B25" i="3"/>
  <c r="B34" i="3"/>
  <c r="A52" i="5"/>
  <c r="A52" i="6"/>
  <c r="A52" i="7"/>
  <c r="B56" i="3"/>
  <c r="A59" i="3"/>
  <c r="A59" i="6"/>
  <c r="A59" i="7"/>
  <c r="B63" i="3"/>
  <c r="B65" i="3"/>
  <c r="A139" i="6"/>
  <c r="A139" i="7"/>
  <c r="A150" i="6"/>
  <c r="A150" i="7"/>
  <c r="B62" i="3"/>
  <c r="A31" i="3"/>
  <c r="A31" i="6"/>
  <c r="A31" i="7"/>
  <c r="A41" i="6"/>
  <c r="A41" i="7"/>
  <c r="A47" i="3"/>
  <c r="A47" i="6"/>
  <c r="A47" i="7"/>
  <c r="A50" i="3"/>
  <c r="A50" i="6"/>
  <c r="A50" i="7"/>
  <c r="A54" i="3"/>
  <c r="A54" i="6"/>
  <c r="A54" i="7"/>
  <c r="A72" i="5"/>
  <c r="A72" i="6"/>
  <c r="A72" i="7"/>
  <c r="A73" i="5"/>
  <c r="A73" i="6"/>
  <c r="A73" i="7"/>
  <c r="B78" i="3"/>
  <c r="B84" i="3"/>
  <c r="A86" i="6"/>
  <c r="A86" i="7"/>
  <c r="B94" i="3"/>
  <c r="H100" i="3"/>
  <c r="B107" i="3"/>
  <c r="B108" i="3"/>
  <c r="A109" i="6"/>
  <c r="A109" i="7"/>
  <c r="A121" i="3"/>
  <c r="A121" i="6"/>
  <c r="A110" i="6"/>
  <c r="A110" i="7"/>
  <c r="A121" i="7"/>
  <c r="A118" i="6"/>
  <c r="A118" i="7"/>
  <c r="A122" i="5"/>
  <c r="A122" i="6"/>
  <c r="A122" i="7"/>
  <c r="B132" i="3"/>
  <c r="C132" i="3"/>
  <c r="A137" i="6"/>
  <c r="A137" i="7"/>
  <c r="B148" i="3"/>
  <c r="B151" i="3"/>
  <c r="B17" i="3"/>
  <c r="A66" i="5"/>
  <c r="A11" i="6"/>
  <c r="A165" i="6" s="1"/>
  <c r="A66" i="6"/>
  <c r="A44" i="6"/>
  <c r="A22" i="6"/>
  <c r="A165" i="18" s="1"/>
  <c r="A66" i="7"/>
  <c r="A22" i="7"/>
  <c r="A11" i="7"/>
  <c r="A165" i="7" s="1"/>
  <c r="A44" i="7"/>
  <c r="E22" i="3"/>
  <c r="F22" i="3"/>
  <c r="G22" i="3"/>
  <c r="A29" i="6"/>
  <c r="A29" i="7"/>
  <c r="B32" i="3"/>
  <c r="B40" i="3"/>
  <c r="B50" i="3"/>
  <c r="B57" i="3"/>
  <c r="B58" i="3"/>
  <c r="B64" i="3"/>
  <c r="A67" i="6"/>
  <c r="A67" i="7"/>
  <c r="A69" i="6"/>
  <c r="A69" i="7"/>
  <c r="A76" i="5"/>
  <c r="A76" i="6"/>
  <c r="A76" i="7"/>
  <c r="B90" i="3"/>
  <c r="A93" i="6"/>
  <c r="A93" i="7"/>
  <c r="A100" i="3"/>
  <c r="A100" i="6"/>
  <c r="A100" i="7"/>
  <c r="F100" i="3"/>
  <c r="A105" i="6"/>
  <c r="A105" i="7"/>
  <c r="A106" i="6"/>
  <c r="A106" i="7"/>
  <c r="A113" i="4"/>
  <c r="A113" i="6"/>
  <c r="A113" i="7"/>
  <c r="A133" i="6"/>
  <c r="A133" i="7"/>
  <c r="E133" i="3"/>
  <c r="B135" i="3"/>
  <c r="B137" i="3"/>
  <c r="B138" i="3"/>
  <c r="A20" i="3"/>
  <c r="A20" i="6"/>
  <c r="A163" i="18" s="1"/>
  <c r="A20" i="7"/>
  <c r="A74" i="4"/>
  <c r="A74" i="6"/>
  <c r="A74" i="7"/>
  <c r="A75" i="4"/>
  <c r="A75" i="6"/>
  <c r="A75" i="7"/>
  <c r="B119" i="3"/>
  <c r="A124" i="3"/>
  <c r="A124" i="6"/>
  <c r="A124" i="7"/>
  <c r="B153" i="3"/>
  <c r="B5" i="3"/>
  <c r="B6" i="3"/>
  <c r="A8" i="6"/>
  <c r="A162" i="6" s="1"/>
  <c r="A8" i="7"/>
  <c r="A162" i="7" s="1"/>
  <c r="A15" i="6"/>
  <c r="A15" i="7"/>
  <c r="A16" i="6"/>
  <c r="A159" i="18" s="1"/>
  <c r="A16" i="7"/>
  <c r="A19" i="4"/>
  <c r="A19" i="6"/>
  <c r="A162" i="18" s="1"/>
  <c r="A19" i="7"/>
  <c r="B22" i="3"/>
  <c r="C22" i="3"/>
  <c r="D22" i="3"/>
  <c r="E23" i="3"/>
  <c r="B27" i="3"/>
  <c r="B30" i="3"/>
  <c r="A33" i="6"/>
  <c r="A33" i="7"/>
  <c r="A37" i="6"/>
  <c r="A37" i="7"/>
  <c r="B53" i="3"/>
  <c r="A61" i="6"/>
  <c r="A61" i="7"/>
  <c r="A62" i="6"/>
  <c r="A62" i="7"/>
  <c r="B67" i="3"/>
  <c r="A71" i="5"/>
  <c r="A71" i="6"/>
  <c r="A71" i="7"/>
  <c r="B75" i="3"/>
  <c r="A80" i="5"/>
  <c r="A80" i="6"/>
  <c r="A80" i="7"/>
  <c r="B85" i="3"/>
  <c r="A95" i="3"/>
  <c r="A95" i="6"/>
  <c r="A95" i="7"/>
  <c r="A97" i="6"/>
  <c r="A97" i="7"/>
  <c r="B99" i="3"/>
  <c r="G99" i="3"/>
  <c r="H99" i="3"/>
  <c r="B101" i="3"/>
  <c r="B102" i="3"/>
  <c r="A117" i="6"/>
  <c r="A117" i="7"/>
  <c r="A129" i="4"/>
  <c r="A129" i="6"/>
  <c r="A129" i="7"/>
  <c r="A130" i="5"/>
  <c r="A130" i="6"/>
  <c r="A130" i="7"/>
  <c r="B133" i="3"/>
  <c r="A135" i="3"/>
  <c r="A135" i="6"/>
  <c r="A135" i="7"/>
  <c r="B140" i="3"/>
  <c r="B141" i="3"/>
  <c r="A144" i="4"/>
  <c r="A144" i="6"/>
  <c r="A144" i="7"/>
  <c r="B149" i="3"/>
  <c r="A152" i="4"/>
  <c r="A152" i="6"/>
  <c r="A152" i="7"/>
  <c r="A103" i="5"/>
  <c r="A103" i="4"/>
  <c r="A15" i="3"/>
  <c r="A15" i="4"/>
  <c r="A26" i="3"/>
  <c r="A26" i="4"/>
  <c r="A26" i="5"/>
  <c r="A6" i="3"/>
  <c r="A160" i="3" s="1"/>
  <c r="A6" i="5"/>
  <c r="A160" i="5" s="1"/>
  <c r="A13" i="3"/>
  <c r="A167" i="3" s="1"/>
  <c r="A13" i="5"/>
  <c r="A167" i="5" s="1"/>
  <c r="A13" i="4"/>
  <c r="A167" i="4" s="1"/>
  <c r="A21" i="3"/>
  <c r="A21" i="5"/>
  <c r="A21" i="4"/>
  <c r="A24" i="3"/>
  <c r="A24" i="5"/>
  <c r="A29" i="3"/>
  <c r="A29" i="5"/>
  <c r="A29" i="4"/>
  <c r="A33" i="3"/>
  <c r="A33" i="5"/>
  <c r="A40" i="3"/>
  <c r="A40" i="5"/>
  <c r="A45" i="3"/>
  <c r="A45" i="5"/>
  <c r="A45" i="4"/>
  <c r="A53" i="5"/>
  <c r="A53" i="4"/>
  <c r="A61" i="3"/>
  <c r="A61" i="5"/>
  <c r="A61" i="4"/>
  <c r="A62" i="3"/>
  <c r="A62" i="5"/>
  <c r="A62" i="4"/>
  <c r="A67" i="3"/>
  <c r="A67" i="4"/>
  <c r="A78" i="5"/>
  <c r="A78" i="4"/>
  <c r="A85" i="3"/>
  <c r="A85" i="5"/>
  <c r="A85" i="4"/>
  <c r="A94" i="5"/>
  <c r="A94" i="4"/>
  <c r="A97" i="3"/>
  <c r="A97" i="5"/>
  <c r="A123" i="3"/>
  <c r="A101" i="5"/>
  <c r="A134" i="5"/>
  <c r="A123" i="4"/>
  <c r="A112" i="5"/>
  <c r="A101" i="4"/>
  <c r="A145" i="5"/>
  <c r="A134" i="4"/>
  <c r="A107" i="3"/>
  <c r="A107" i="4"/>
  <c r="A109" i="3"/>
  <c r="A109" i="5"/>
  <c r="A109" i="4"/>
  <c r="A120" i="3"/>
  <c r="A120" i="5"/>
  <c r="A133" i="3"/>
  <c r="A133" i="5"/>
  <c r="A133" i="4"/>
  <c r="A138" i="3"/>
  <c r="A138" i="4"/>
  <c r="A149" i="5"/>
  <c r="A149" i="4"/>
  <c r="A155" i="3"/>
  <c r="A155" i="4"/>
  <c r="A37" i="3"/>
  <c r="A37" i="5"/>
  <c r="A37" i="4"/>
  <c r="A70" i="3"/>
  <c r="A70" i="5"/>
  <c r="A70" i="4"/>
  <c r="A114" i="3"/>
  <c r="A114" i="4"/>
  <c r="A147" i="3"/>
  <c r="A147" i="4"/>
  <c r="A10" i="3"/>
  <c r="A164" i="3" s="1"/>
  <c r="A58" i="4"/>
  <c r="A42" i="5"/>
  <c r="A90" i="5"/>
  <c r="A154" i="5"/>
  <c r="A75" i="3"/>
  <c r="A98" i="3"/>
  <c r="A6" i="4"/>
  <c r="A160" i="4" s="1"/>
  <c r="A35" i="4"/>
  <c r="A151" i="4"/>
  <c r="A7" i="5"/>
  <c r="A161" i="5" s="1"/>
  <c r="A39" i="5"/>
  <c r="A87" i="5"/>
  <c r="A119" i="5"/>
  <c r="A151" i="5"/>
  <c r="A49" i="3"/>
  <c r="A52" i="3"/>
  <c r="A56" i="3"/>
  <c r="A34" i="4"/>
  <c r="A84" i="4"/>
  <c r="A36" i="5"/>
  <c r="A84" i="5"/>
  <c r="A71" i="3"/>
  <c r="A78" i="3"/>
  <c r="A90" i="3"/>
  <c r="A134" i="3"/>
  <c r="A48" i="3"/>
  <c r="A57" i="3"/>
  <c r="A58" i="3"/>
  <c r="A4" i="4"/>
  <c r="A12" i="4"/>
  <c r="A166" i="4" s="1"/>
  <c r="A23" i="4"/>
  <c r="A33" i="4"/>
  <c r="A43" i="4"/>
  <c r="A55" i="4"/>
  <c r="A97" i="4"/>
  <c r="A145" i="4"/>
  <c r="E3" i="5"/>
  <c r="A19" i="5"/>
  <c r="A51" i="5"/>
  <c r="A67" i="5"/>
  <c r="A83" i="5"/>
  <c r="A99" i="5"/>
  <c r="A147" i="5"/>
  <c r="A77" i="3"/>
  <c r="A17" i="3"/>
  <c r="A96" i="3"/>
  <c r="A101" i="3"/>
  <c r="A149" i="3"/>
  <c r="A153" i="3"/>
  <c r="A11" i="4"/>
  <c r="A165" i="4" s="1"/>
  <c r="A20" i="4"/>
  <c r="A42" i="4"/>
  <c r="A52" i="4"/>
  <c r="A80" i="4"/>
  <c r="A96" i="4"/>
  <c r="A112" i="4"/>
  <c r="A18" i="5"/>
  <c r="A34" i="5"/>
  <c r="A50" i="5"/>
  <c r="A98" i="5"/>
  <c r="A114" i="5"/>
  <c r="A44" i="3"/>
  <c r="A66" i="4"/>
  <c r="A22" i="5"/>
  <c r="A22" i="4"/>
  <c r="A79" i="3"/>
  <c r="A46" i="5"/>
  <c r="A46" i="4"/>
  <c r="A41" i="3"/>
  <c r="A41" i="5"/>
  <c r="A65" i="3"/>
  <c r="A65" i="5"/>
  <c r="A93" i="5"/>
  <c r="A93" i="4"/>
  <c r="A105" i="3"/>
  <c r="A105" i="5"/>
  <c r="A113" i="3"/>
  <c r="A113" i="5"/>
  <c r="A117" i="3"/>
  <c r="A117" i="5"/>
  <c r="A117" i="4"/>
  <c r="A118" i="3"/>
  <c r="A118" i="5"/>
  <c r="A118" i="4"/>
  <c r="A128" i="3"/>
  <c r="A128" i="5"/>
  <c r="A129" i="3"/>
  <c r="A129" i="5"/>
  <c r="A143" i="3"/>
  <c r="A154" i="4"/>
  <c r="A139" i="3"/>
  <c r="A139" i="4"/>
  <c r="A141" i="3"/>
  <c r="A141" i="5"/>
  <c r="A141" i="4"/>
  <c r="A144" i="3"/>
  <c r="A144" i="5"/>
  <c r="A146" i="3"/>
  <c r="A146" i="4"/>
  <c r="A150" i="3"/>
  <c r="A150" i="5"/>
  <c r="A150" i="4"/>
  <c r="A152" i="3"/>
  <c r="A152" i="5"/>
  <c r="A81" i="3"/>
  <c r="A81" i="5"/>
  <c r="A136" i="3"/>
  <c r="A136" i="5"/>
  <c r="A76" i="3"/>
  <c r="A25" i="3"/>
  <c r="A7" i="4"/>
  <c r="A161" i="4" s="1"/>
  <c r="A10" i="5"/>
  <c r="A164" i="5" s="1"/>
  <c r="A74" i="5"/>
  <c r="A93" i="3"/>
  <c r="A47" i="4"/>
  <c r="A71" i="4"/>
  <c r="A119" i="4"/>
  <c r="A55" i="5"/>
  <c r="A72" i="3"/>
  <c r="A19" i="3"/>
  <c r="A51" i="3"/>
  <c r="A44" i="4"/>
  <c r="A68" i="4"/>
  <c r="A116" i="4"/>
  <c r="A148" i="4"/>
  <c r="A4" i="5"/>
  <c r="A100" i="5"/>
  <c r="A148" i="5"/>
  <c r="A74" i="3"/>
  <c r="A31" i="4"/>
  <c r="A79" i="4"/>
  <c r="A111" i="4"/>
  <c r="A143" i="4"/>
  <c r="A31" i="5"/>
  <c r="A63" i="5"/>
  <c r="A111" i="5"/>
  <c r="A143" i="5"/>
  <c r="A73" i="3"/>
  <c r="A83" i="3"/>
  <c r="A89" i="3"/>
  <c r="A94" i="3"/>
  <c r="A99" i="3"/>
  <c r="A18" i="4"/>
  <c r="A28" i="4"/>
  <c r="A40" i="4"/>
  <c r="A50" i="4"/>
  <c r="A60" i="4"/>
  <c r="A76" i="4"/>
  <c r="A92" i="4"/>
  <c r="A108" i="4"/>
  <c r="A124" i="4"/>
  <c r="A140" i="4"/>
  <c r="A156" i="4"/>
  <c r="A12" i="5"/>
  <c r="A166" i="5" s="1"/>
  <c r="A28" i="5"/>
  <c r="A44" i="5"/>
  <c r="A60" i="5"/>
  <c r="A92" i="5"/>
  <c r="A108" i="5"/>
  <c r="A124" i="5"/>
  <c r="A140" i="5"/>
  <c r="A156" i="5"/>
  <c r="A5" i="3"/>
  <c r="A159" i="3" s="1"/>
  <c r="A5" i="5"/>
  <c r="A159" i="5" s="1"/>
  <c r="A8" i="3"/>
  <c r="A162" i="3" s="1"/>
  <c r="A8" i="5"/>
  <c r="A162" i="5" s="1"/>
  <c r="A9" i="3"/>
  <c r="A163" i="3" s="1"/>
  <c r="A9" i="5"/>
  <c r="A163" i="5" s="1"/>
  <c r="A14" i="3"/>
  <c r="A168" i="3" s="1"/>
  <c r="A14" i="5"/>
  <c r="A168" i="5" s="1"/>
  <c r="A16" i="3"/>
  <c r="A16" i="5"/>
  <c r="A30" i="3"/>
  <c r="A30" i="5"/>
  <c r="A30" i="4"/>
  <c r="A32" i="3"/>
  <c r="A32" i="5"/>
  <c r="A38" i="3"/>
  <c r="A38" i="5"/>
  <c r="A38" i="4"/>
  <c r="A54" i="5"/>
  <c r="A54" i="4"/>
  <c r="A64" i="3"/>
  <c r="A64" i="5"/>
  <c r="A69" i="3"/>
  <c r="A69" i="5"/>
  <c r="A69" i="4"/>
  <c r="A88" i="3"/>
  <c r="A77" i="5"/>
  <c r="A88" i="5"/>
  <c r="A77" i="4"/>
  <c r="A82" i="3"/>
  <c r="A82" i="4"/>
  <c r="A86" i="5"/>
  <c r="A86" i="4"/>
  <c r="A91" i="3"/>
  <c r="A91" i="4"/>
  <c r="A102" i="5"/>
  <c r="A102" i="4"/>
  <c r="A104" i="3"/>
  <c r="A104" i="5"/>
  <c r="A106" i="3"/>
  <c r="A106" i="4"/>
  <c r="A110" i="3"/>
  <c r="A110" i="5"/>
  <c r="A121" i="5"/>
  <c r="A110" i="4"/>
  <c r="A115" i="3"/>
  <c r="A115" i="4"/>
  <c r="A122" i="3"/>
  <c r="A122" i="4"/>
  <c r="A126" i="3"/>
  <c r="A126" i="5"/>
  <c r="A126" i="4"/>
  <c r="A130" i="3"/>
  <c r="A130" i="4"/>
  <c r="A131" i="3"/>
  <c r="A131" i="4"/>
  <c r="A137" i="3"/>
  <c r="A137" i="5"/>
  <c r="A142" i="3"/>
  <c r="A142" i="5"/>
  <c r="A142" i="4"/>
  <c r="A157" i="5"/>
  <c r="A157" i="4"/>
  <c r="A125" i="3"/>
  <c r="A125" i="5"/>
  <c r="A125" i="4"/>
  <c r="A157" i="3"/>
  <c r="A16" i="4"/>
  <c r="A36" i="4"/>
  <c r="A72" i="4"/>
  <c r="A120" i="4"/>
  <c r="A106" i="5"/>
  <c r="A138" i="5"/>
  <c r="A86" i="3"/>
  <c r="A102" i="3"/>
  <c r="A156" i="3"/>
  <c r="A25" i="4"/>
  <c r="A57" i="4"/>
  <c r="A87" i="4"/>
  <c r="A135" i="4"/>
  <c r="A23" i="5"/>
  <c r="A135" i="5"/>
  <c r="A145" i="3"/>
  <c r="A53" i="3"/>
  <c r="A24" i="4"/>
  <c r="A56" i="4"/>
  <c r="A100" i="4"/>
  <c r="A132" i="4"/>
  <c r="A20" i="5"/>
  <c r="A68" i="5"/>
  <c r="A116" i="5"/>
  <c r="A22" i="3"/>
  <c r="A41" i="4"/>
  <c r="A63" i="4"/>
  <c r="A95" i="4"/>
  <c r="A127" i="4"/>
  <c r="A15" i="5"/>
  <c r="A47" i="5"/>
  <c r="A79" i="5"/>
  <c r="A95" i="5"/>
  <c r="A127" i="5"/>
  <c r="A80" i="3"/>
  <c r="A8" i="4"/>
  <c r="A162" i="4" s="1"/>
  <c r="A17" i="4"/>
  <c r="A27" i="4"/>
  <c r="A39" i="4"/>
  <c r="A49" i="4"/>
  <c r="A59" i="4"/>
  <c r="A73" i="4"/>
  <c r="A89" i="4"/>
  <c r="A105" i="4"/>
  <c r="A121" i="4"/>
  <c r="A137" i="4"/>
  <c r="A153" i="4"/>
  <c r="A11" i="5"/>
  <c r="A165" i="5" s="1"/>
  <c r="A27" i="5"/>
  <c r="A43" i="5"/>
  <c r="A59" i="5"/>
  <c r="A75" i="5"/>
  <c r="A91" i="5"/>
  <c r="A107" i="5"/>
  <c r="A123" i="5"/>
  <c r="A139" i="5"/>
  <c r="A155" i="5"/>
  <c r="D3" i="5"/>
  <c r="D3" i="4"/>
  <c r="E3" i="4"/>
  <c r="F3" i="4"/>
  <c r="H3" i="4"/>
  <c r="H3" i="5"/>
  <c r="G3" i="4"/>
  <c r="G3" i="5"/>
  <c r="F3" i="5"/>
  <c r="C3" i="4"/>
  <c r="C3" i="5"/>
  <c r="B3" i="5"/>
  <c r="B3" i="4"/>
  <c r="H167" i="5"/>
  <c r="G167" i="5"/>
  <c r="H167" i="4"/>
  <c r="H189" i="10" s="1"/>
  <c r="H178" i="10" s="1"/>
  <c r="I178" i="10" s="1"/>
  <c r="D167" i="5"/>
  <c r="D168" i="5"/>
  <c r="D159" i="5"/>
  <c r="D181" i="11" s="1"/>
  <c r="D170" i="11" s="1"/>
  <c r="D162" i="5"/>
  <c r="D184" i="11" s="1"/>
  <c r="D173" i="11" s="1"/>
  <c r="H159" i="5"/>
  <c r="H163" i="5"/>
  <c r="F168" i="5"/>
  <c r="H168" i="5"/>
  <c r="C159" i="5"/>
  <c r="C181" i="11" s="1"/>
  <c r="C170" i="11" s="1"/>
  <c r="C160" i="5"/>
  <c r="C182" i="11" s="1"/>
  <c r="C171" i="11" s="1"/>
  <c r="C161" i="5"/>
  <c r="C183" i="11" s="1"/>
  <c r="C172" i="11" s="1"/>
  <c r="C162" i="5"/>
  <c r="C184" i="11" s="1"/>
  <c r="C173" i="11" s="1"/>
  <c r="C163" i="5"/>
  <c r="C164" i="5"/>
  <c r="G159" i="5"/>
  <c r="G181" i="11" s="1"/>
  <c r="G170" i="11" s="1"/>
  <c r="G160" i="5"/>
  <c r="G182" i="11" s="1"/>
  <c r="G171" i="11" s="1"/>
  <c r="G161" i="5"/>
  <c r="G183" i="11" s="1"/>
  <c r="G172" i="11" s="1"/>
  <c r="G162" i="5"/>
  <c r="G184" i="11" s="1"/>
  <c r="G173" i="11" s="1"/>
  <c r="G163" i="5"/>
  <c r="G164" i="5"/>
  <c r="E168" i="5"/>
  <c r="G168" i="5"/>
  <c r="D160" i="5"/>
  <c r="D182" i="11" s="1"/>
  <c r="D171" i="11" s="1"/>
  <c r="D163" i="5"/>
  <c r="C167" i="5"/>
  <c r="H160" i="5"/>
  <c r="H162" i="5"/>
  <c r="F167" i="5"/>
  <c r="F159" i="5"/>
  <c r="F181" i="11" s="1"/>
  <c r="F170" i="11" s="1"/>
  <c r="F160" i="5"/>
  <c r="F182" i="11" s="1"/>
  <c r="F171" i="11" s="1"/>
  <c r="F161" i="5"/>
  <c r="F183" i="11" s="1"/>
  <c r="F172" i="11" s="1"/>
  <c r="F162" i="5"/>
  <c r="F184" i="11" s="1"/>
  <c r="F173" i="11" s="1"/>
  <c r="F163" i="5"/>
  <c r="F164" i="5"/>
  <c r="D161" i="5"/>
  <c r="D183" i="11" s="1"/>
  <c r="D172" i="11" s="1"/>
  <c r="D164" i="5"/>
  <c r="C168" i="5"/>
  <c r="H161" i="5"/>
  <c r="H164" i="5"/>
  <c r="E167" i="5"/>
  <c r="E159" i="5"/>
  <c r="E181" i="11" s="1"/>
  <c r="E170" i="11" s="1"/>
  <c r="E160" i="5"/>
  <c r="E182" i="11" s="1"/>
  <c r="E171" i="11" s="1"/>
  <c r="E161" i="5"/>
  <c r="E183" i="11" s="1"/>
  <c r="E172" i="11" s="1"/>
  <c r="E162" i="5"/>
  <c r="E184" i="11" s="1"/>
  <c r="E173" i="11" s="1"/>
  <c r="E163" i="5"/>
  <c r="E164" i="5"/>
  <c r="G167" i="4"/>
  <c r="G189" i="10" s="1"/>
  <c r="G178" i="10" s="1"/>
  <c r="D159" i="4"/>
  <c r="D181" i="10" s="1"/>
  <c r="D170" i="10" s="1"/>
  <c r="D160" i="4"/>
  <c r="D182" i="10" s="1"/>
  <c r="D171" i="10" s="1"/>
  <c r="D161" i="4"/>
  <c r="D183" i="10" s="1"/>
  <c r="D172" i="10" s="1"/>
  <c r="D162" i="4"/>
  <c r="D184" i="10" s="1"/>
  <c r="D173" i="10" s="1"/>
  <c r="D163" i="4"/>
  <c r="D185" i="10" s="1"/>
  <c r="D174" i="10" s="1"/>
  <c r="D164" i="4"/>
  <c r="D186" i="10" s="1"/>
  <c r="D175" i="10" s="1"/>
  <c r="C167" i="4"/>
  <c r="C189" i="10" s="1"/>
  <c r="C178" i="10" s="1"/>
  <c r="C168" i="4"/>
  <c r="C190" i="10" s="1"/>
  <c r="C179" i="10" s="1"/>
  <c r="H159" i="4"/>
  <c r="H181" i="10" s="1"/>
  <c r="H170" i="10" s="1"/>
  <c r="I170" i="10" s="1"/>
  <c r="H160" i="4"/>
  <c r="H182" i="10" s="1"/>
  <c r="H171" i="10" s="1"/>
  <c r="I171" i="10" s="1"/>
  <c r="H161" i="4"/>
  <c r="H183" i="10" s="1"/>
  <c r="H172" i="10" s="1"/>
  <c r="I172" i="10" s="1"/>
  <c r="H162" i="4"/>
  <c r="H184" i="10" s="1"/>
  <c r="H173" i="10" s="1"/>
  <c r="I173" i="10" s="1"/>
  <c r="H163" i="4"/>
  <c r="H185" i="10" s="1"/>
  <c r="H174" i="10" s="1"/>
  <c r="I174" i="10" s="1"/>
  <c r="H164" i="4"/>
  <c r="H186" i="10" s="1"/>
  <c r="H175" i="10" s="1"/>
  <c r="I175" i="10" s="1"/>
  <c r="F168" i="4"/>
  <c r="F190" i="10" s="1"/>
  <c r="F179" i="10" s="1"/>
  <c r="E167" i="4"/>
  <c r="E189" i="10" s="1"/>
  <c r="E178" i="10" s="1"/>
  <c r="H168" i="4"/>
  <c r="H190" i="10" s="1"/>
  <c r="H179" i="10" s="1"/>
  <c r="I179" i="10" s="1"/>
  <c r="F167" i="4"/>
  <c r="F189" i="10" s="1"/>
  <c r="F178" i="10" s="1"/>
  <c r="D167" i="4"/>
  <c r="D189" i="10" s="1"/>
  <c r="D178" i="10" s="1"/>
  <c r="C159" i="4"/>
  <c r="C181" i="10" s="1"/>
  <c r="C170" i="10" s="1"/>
  <c r="C160" i="4"/>
  <c r="C182" i="10" s="1"/>
  <c r="C171" i="10" s="1"/>
  <c r="C161" i="4"/>
  <c r="C183" i="10" s="1"/>
  <c r="C172" i="10" s="1"/>
  <c r="C162" i="4"/>
  <c r="C184" i="10" s="1"/>
  <c r="C173" i="10" s="1"/>
  <c r="C163" i="4"/>
  <c r="C185" i="10" s="1"/>
  <c r="C174" i="10" s="1"/>
  <c r="C164" i="4"/>
  <c r="C186" i="10" s="1"/>
  <c r="C175" i="10" s="1"/>
  <c r="G159" i="4"/>
  <c r="G181" i="10" s="1"/>
  <c r="G170" i="10" s="1"/>
  <c r="G160" i="4"/>
  <c r="G182" i="10" s="1"/>
  <c r="G171" i="10" s="1"/>
  <c r="G161" i="4"/>
  <c r="G183" i="10" s="1"/>
  <c r="G172" i="10" s="1"/>
  <c r="G162" i="4"/>
  <c r="G184" i="10" s="1"/>
  <c r="G173" i="10" s="1"/>
  <c r="G163" i="4"/>
  <c r="G185" i="10" s="1"/>
  <c r="G174" i="10" s="1"/>
  <c r="G164" i="4"/>
  <c r="G186" i="10" s="1"/>
  <c r="G175" i="10" s="1"/>
  <c r="E168" i="4"/>
  <c r="E190" i="10" s="1"/>
  <c r="E179" i="10" s="1"/>
  <c r="G168" i="4"/>
  <c r="G190" i="10" s="1"/>
  <c r="G179" i="10" s="1"/>
  <c r="D168" i="4"/>
  <c r="D190" i="10" s="1"/>
  <c r="D179" i="10" s="1"/>
  <c r="F159" i="4"/>
  <c r="F181" i="10" s="1"/>
  <c r="F170" i="10" s="1"/>
  <c r="F160" i="4"/>
  <c r="F182" i="10" s="1"/>
  <c r="F171" i="10" s="1"/>
  <c r="F161" i="4"/>
  <c r="F183" i="10" s="1"/>
  <c r="F172" i="10" s="1"/>
  <c r="F162" i="4"/>
  <c r="F184" i="10" s="1"/>
  <c r="F173" i="10" s="1"/>
  <c r="F163" i="4"/>
  <c r="F185" i="10" s="1"/>
  <c r="F174" i="10" s="1"/>
  <c r="F164" i="4"/>
  <c r="F186" i="10" s="1"/>
  <c r="F175" i="10" s="1"/>
  <c r="G161" i="3"/>
  <c r="G183" i="9" s="1"/>
  <c r="G172" i="9" s="1"/>
  <c r="H163" i="3"/>
  <c r="H164" i="3"/>
  <c r="G160" i="3"/>
  <c r="G182" i="9" s="1"/>
  <c r="G171" i="9" s="1"/>
  <c r="E159" i="4"/>
  <c r="E181" i="10" s="1"/>
  <c r="E170" i="10" s="1"/>
  <c r="E160" i="4"/>
  <c r="E182" i="10" s="1"/>
  <c r="E171" i="10" s="1"/>
  <c r="E161" i="4"/>
  <c r="E183" i="10" s="1"/>
  <c r="E172" i="10" s="1"/>
  <c r="E162" i="4"/>
  <c r="E184" i="10" s="1"/>
  <c r="E173" i="10" s="1"/>
  <c r="E163" i="4"/>
  <c r="E185" i="10" s="1"/>
  <c r="E174" i="10" s="1"/>
  <c r="E164" i="4"/>
  <c r="E186" i="10" s="1"/>
  <c r="E175" i="10" s="1"/>
  <c r="G159" i="3"/>
  <c r="G181" i="9" s="1"/>
  <c r="G170" i="9" s="1"/>
  <c r="H168" i="3"/>
  <c r="G168" i="3"/>
  <c r="G167" i="3"/>
  <c r="C163" i="3"/>
  <c r="C168" i="3"/>
  <c r="C159" i="3"/>
  <c r="C181" i="9" s="1"/>
  <c r="C170" i="9" s="1"/>
  <c r="H160" i="3"/>
  <c r="H182" i="9" s="1"/>
  <c r="H171" i="9" s="1"/>
  <c r="I171" i="9" s="1"/>
  <c r="H161" i="3"/>
  <c r="H183" i="9" s="1"/>
  <c r="H172" i="9" s="1"/>
  <c r="I172" i="9" s="1"/>
  <c r="H159" i="3"/>
  <c r="H181" i="9" s="1"/>
  <c r="H170" i="9" s="1"/>
  <c r="I170" i="9" s="1"/>
  <c r="D164" i="3"/>
  <c r="C161" i="3"/>
  <c r="C183" i="9" s="1"/>
  <c r="C172" i="9" s="1"/>
  <c r="G163" i="3"/>
  <c r="F163" i="3"/>
  <c r="D167" i="3"/>
  <c r="E159" i="3"/>
  <c r="E181" i="9" s="1"/>
  <c r="E170" i="9" s="1"/>
  <c r="C160" i="3"/>
  <c r="C182" i="9" s="1"/>
  <c r="C171" i="9" s="1"/>
  <c r="E160" i="3"/>
  <c r="E182" i="9" s="1"/>
  <c r="E171" i="9" s="1"/>
  <c r="E161" i="3"/>
  <c r="E183" i="9" s="1"/>
  <c r="E172" i="9" s="1"/>
  <c r="E162" i="3"/>
  <c r="E184" i="9" s="1"/>
  <c r="E173" i="9" s="1"/>
  <c r="D163" i="3"/>
  <c r="F168" i="3"/>
  <c r="C167" i="3"/>
  <c r="G162" i="3"/>
  <c r="G184" i="9" s="1"/>
  <c r="G173" i="9" s="1"/>
  <c r="D159" i="3"/>
  <c r="D181" i="9" s="1"/>
  <c r="D170" i="9" s="1"/>
  <c r="D160" i="3"/>
  <c r="D182" i="9" s="1"/>
  <c r="D171" i="9" s="1"/>
  <c r="C162" i="3"/>
  <c r="C184" i="9" s="1"/>
  <c r="C173" i="9" s="1"/>
  <c r="F162" i="3"/>
  <c r="F184" i="9" s="1"/>
  <c r="F173" i="9" s="1"/>
  <c r="E164" i="3"/>
  <c r="G164" i="3"/>
  <c r="E167" i="3"/>
  <c r="H167" i="3"/>
  <c r="D168" i="3"/>
  <c r="E168" i="3"/>
  <c r="F159" i="3"/>
  <c r="F181" i="9" s="1"/>
  <c r="F170" i="9" s="1"/>
  <c r="D161" i="3"/>
  <c r="D183" i="9" s="1"/>
  <c r="D172" i="9" s="1"/>
  <c r="F161" i="3"/>
  <c r="F183" i="9" s="1"/>
  <c r="F172" i="9" s="1"/>
  <c r="D162" i="3"/>
  <c r="D184" i="9" s="1"/>
  <c r="D173" i="9" s="1"/>
  <c r="E163" i="3"/>
  <c r="C164" i="3"/>
  <c r="F164" i="3"/>
  <c r="F167" i="3"/>
  <c r="F160" i="3"/>
  <c r="F182" i="9" s="1"/>
  <c r="F171" i="9" s="1"/>
  <c r="H162" i="3"/>
  <c r="H184" i="9" s="1"/>
  <c r="H173" i="9" s="1"/>
  <c r="I173" i="9" s="1"/>
  <c r="A68" i="3"/>
  <c r="A66" i="3"/>
  <c r="A46" i="3"/>
  <c r="A11" i="3"/>
  <c r="A165" i="3" s="1"/>
  <c r="A112" i="3"/>
  <c r="A132" i="3"/>
  <c r="A35" i="3"/>
  <c r="A154" i="3"/>
  <c r="J172" i="9" l="1"/>
  <c r="J177" i="9"/>
  <c r="J173" i="9"/>
  <c r="J170" i="9"/>
  <c r="J171" i="9"/>
  <c r="J172" i="10"/>
  <c r="J177" i="10"/>
  <c r="J175" i="10"/>
  <c r="J171" i="10"/>
  <c r="J179" i="10"/>
  <c r="J174" i="10"/>
  <c r="J170" i="10"/>
  <c r="J178" i="10"/>
  <c r="J173" i="10"/>
  <c r="J177" i="11"/>
  <c r="H181" i="11"/>
  <c r="H170" i="11" s="1"/>
  <c r="I170" i="11" s="1"/>
  <c r="H184" i="11"/>
  <c r="H173" i="11" s="1"/>
  <c r="I173" i="11" s="1"/>
  <c r="H183" i="11"/>
  <c r="H172" i="11" s="1"/>
  <c r="H182" i="11"/>
  <c r="H171" i="11" s="1"/>
  <c r="H165" i="9"/>
  <c r="H165" i="10"/>
  <c r="B133" i="16"/>
  <c r="B165" i="10"/>
  <c r="C187" i="10"/>
  <c r="C176" i="10" s="1"/>
  <c r="B187" i="10"/>
  <c r="B176" i="10" s="1"/>
  <c r="D187" i="10"/>
  <c r="D176" i="10" s="1"/>
  <c r="E187" i="10"/>
  <c r="E176" i="10" s="1"/>
  <c r="H187" i="10"/>
  <c r="H176" i="10" s="1"/>
  <c r="I176" i="10" s="1"/>
  <c r="B188" i="10"/>
  <c r="B177" i="10" s="1"/>
  <c r="I45" i="10" s="1"/>
  <c r="F187" i="10"/>
  <c r="F176" i="10" s="1"/>
  <c r="G187" i="10"/>
  <c r="G176" i="10" s="1"/>
  <c r="B168" i="9"/>
  <c r="H187" i="11"/>
  <c r="H176" i="11" s="1"/>
  <c r="I176" i="11" s="1"/>
  <c r="D187" i="11"/>
  <c r="D176" i="11" s="1"/>
  <c r="E187" i="11"/>
  <c r="E176" i="11" s="1"/>
  <c r="C165" i="11"/>
  <c r="H166" i="4"/>
  <c r="H165" i="5"/>
  <c r="G165" i="5"/>
  <c r="G166" i="4"/>
  <c r="B165" i="4"/>
  <c r="G166" i="5"/>
  <c r="E166" i="4"/>
  <c r="F165" i="4"/>
  <c r="F187" i="11"/>
  <c r="F176" i="11" s="1"/>
  <c r="C166" i="4"/>
  <c r="C166" i="5"/>
  <c r="B167" i="5"/>
  <c r="F166" i="5"/>
  <c r="H166" i="5"/>
  <c r="D166" i="4"/>
  <c r="B160" i="5"/>
  <c r="B182" i="11" s="1"/>
  <c r="B171" i="11" s="1"/>
  <c r="E166" i="5"/>
  <c r="F165" i="5"/>
  <c r="E165" i="5"/>
  <c r="B165" i="5"/>
  <c r="B160" i="4"/>
  <c r="B182" i="10" s="1"/>
  <c r="D165" i="4"/>
  <c r="B161" i="4"/>
  <c r="B183" i="10" s="1"/>
  <c r="B168" i="5"/>
  <c r="G165" i="4"/>
  <c r="E165" i="4"/>
  <c r="F166" i="4"/>
  <c r="B187" i="11"/>
  <c r="B176" i="11" s="1"/>
  <c r="B166" i="5"/>
  <c r="B164" i="4"/>
  <c r="B186" i="10" s="1"/>
  <c r="B164" i="5"/>
  <c r="B186" i="11" s="1"/>
  <c r="B175" i="11" s="1"/>
  <c r="D166" i="5"/>
  <c r="B167" i="4"/>
  <c r="B189" i="10" s="1"/>
  <c r="B162" i="5"/>
  <c r="B184" i="11" s="1"/>
  <c r="B173" i="11" s="1"/>
  <c r="E165" i="11"/>
  <c r="C165" i="4"/>
  <c r="H165" i="4"/>
  <c r="B163" i="5"/>
  <c r="B163" i="4"/>
  <c r="B185" i="10" s="1"/>
  <c r="B168" i="4"/>
  <c r="B190" i="10" s="1"/>
  <c r="B166" i="4"/>
  <c r="B188" i="11"/>
  <c r="B177" i="11" s="1"/>
  <c r="I78" i="11" s="1"/>
  <c r="G187" i="11"/>
  <c r="G176" i="11" s="1"/>
  <c r="B159" i="4"/>
  <c r="B181" i="10" s="1"/>
  <c r="B161" i="5"/>
  <c r="B183" i="11" s="1"/>
  <c r="B172" i="11" s="1"/>
  <c r="B161" i="11"/>
  <c r="B159" i="5"/>
  <c r="B181" i="11" s="1"/>
  <c r="B170" i="11" s="1"/>
  <c r="C165" i="5"/>
  <c r="B162" i="4"/>
  <c r="B184" i="10" s="1"/>
  <c r="B166" i="11"/>
  <c r="B160" i="11"/>
  <c r="B159" i="11"/>
  <c r="H165" i="11"/>
  <c r="C187" i="11"/>
  <c r="C176" i="11" s="1"/>
  <c r="B165" i="9"/>
  <c r="B164" i="11"/>
  <c r="B167" i="11"/>
  <c r="D165" i="11"/>
  <c r="B165" i="11"/>
  <c r="D165" i="5"/>
  <c r="F165" i="11"/>
  <c r="B162" i="11"/>
  <c r="B163" i="11"/>
  <c r="B168" i="11"/>
  <c r="G165" i="11"/>
  <c r="E189" i="11"/>
  <c r="E178" i="11" s="1"/>
  <c r="C190" i="11"/>
  <c r="C179" i="11" s="1"/>
  <c r="F189" i="11"/>
  <c r="F178" i="11" s="1"/>
  <c r="G190" i="11"/>
  <c r="G179" i="11" s="1"/>
  <c r="E185" i="11"/>
  <c r="E174" i="11" s="1"/>
  <c r="G186" i="11"/>
  <c r="G175" i="11" s="1"/>
  <c r="H190" i="11"/>
  <c r="H179" i="11" s="1"/>
  <c r="I179" i="11" s="1"/>
  <c r="F186" i="11"/>
  <c r="F175" i="11" s="1"/>
  <c r="C189" i="11"/>
  <c r="C178" i="11" s="1"/>
  <c r="G185" i="11"/>
  <c r="G174" i="11" s="1"/>
  <c r="C186" i="11"/>
  <c r="C175" i="11" s="1"/>
  <c r="D190" i="11"/>
  <c r="D179" i="11" s="1"/>
  <c r="H189" i="11"/>
  <c r="H178" i="11" s="1"/>
  <c r="I178" i="11" s="1"/>
  <c r="E186" i="11"/>
  <c r="E175" i="11" s="1"/>
  <c r="H185" i="11"/>
  <c r="H174" i="11" s="1"/>
  <c r="I174" i="11" s="1"/>
  <c r="G189" i="11"/>
  <c r="G178" i="11" s="1"/>
  <c r="H186" i="11"/>
  <c r="H175" i="11" s="1"/>
  <c r="I175" i="11" s="1"/>
  <c r="D186" i="11"/>
  <c r="D175" i="11" s="1"/>
  <c r="F185" i="11"/>
  <c r="F174" i="11" s="1"/>
  <c r="D185" i="11"/>
  <c r="D174" i="11" s="1"/>
  <c r="E190" i="11"/>
  <c r="E179" i="11" s="1"/>
  <c r="C185" i="11"/>
  <c r="C174" i="11" s="1"/>
  <c r="F190" i="11"/>
  <c r="F179" i="11" s="1"/>
  <c r="D189" i="11"/>
  <c r="D178" i="11" s="1"/>
  <c r="C189" i="9"/>
  <c r="C178" i="9" s="1"/>
  <c r="D186" i="9"/>
  <c r="D175" i="9" s="1"/>
  <c r="G190" i="9"/>
  <c r="G179" i="9" s="1"/>
  <c r="C186" i="9"/>
  <c r="C175" i="9" s="1"/>
  <c r="H189" i="9"/>
  <c r="H178" i="9" s="1"/>
  <c r="I178" i="9" s="1"/>
  <c r="G189" i="9"/>
  <c r="G178" i="9" s="1"/>
  <c r="F186" i="9"/>
  <c r="F175" i="9" s="1"/>
  <c r="D190" i="9"/>
  <c r="D179" i="9" s="1"/>
  <c r="E186" i="9"/>
  <c r="E175" i="9" s="1"/>
  <c r="D185" i="9"/>
  <c r="D174" i="9" s="1"/>
  <c r="G185" i="9"/>
  <c r="G174" i="9" s="1"/>
  <c r="C185" i="9"/>
  <c r="C174" i="9" s="1"/>
  <c r="H186" i="9"/>
  <c r="H175" i="9" s="1"/>
  <c r="I175" i="9" s="1"/>
  <c r="E185" i="9"/>
  <c r="E174" i="9" s="1"/>
  <c r="E189" i="9"/>
  <c r="E178" i="9" s="1"/>
  <c r="D189" i="9"/>
  <c r="D178" i="9" s="1"/>
  <c r="H185" i="9"/>
  <c r="H174" i="9" s="1"/>
  <c r="I174" i="9" s="1"/>
  <c r="F189" i="9"/>
  <c r="F178" i="9" s="1"/>
  <c r="E190" i="9"/>
  <c r="E179" i="9" s="1"/>
  <c r="G186" i="9"/>
  <c r="G175" i="9" s="1"/>
  <c r="F190" i="9"/>
  <c r="F179" i="9" s="1"/>
  <c r="F185" i="9"/>
  <c r="F174" i="9" s="1"/>
  <c r="C190" i="9"/>
  <c r="C179" i="9" s="1"/>
  <c r="H190" i="9"/>
  <c r="H179" i="9" s="1"/>
  <c r="I179" i="9" s="1"/>
  <c r="F187" i="9"/>
  <c r="F176" i="9" s="1"/>
  <c r="D187" i="9"/>
  <c r="D176" i="9" s="1"/>
  <c r="B187" i="9"/>
  <c r="B176" i="9" s="1"/>
  <c r="E187" i="9"/>
  <c r="E176" i="9" s="1"/>
  <c r="C187" i="9"/>
  <c r="C176" i="9" s="1"/>
  <c r="H187" i="9"/>
  <c r="H176" i="9" s="1"/>
  <c r="I176" i="9" s="1"/>
  <c r="G187" i="9"/>
  <c r="G176" i="9" s="1"/>
  <c r="B188" i="9"/>
  <c r="B177" i="9" s="1"/>
  <c r="E166" i="3"/>
  <c r="G165" i="3"/>
  <c r="C165" i="3"/>
  <c r="G166" i="3"/>
  <c r="B167" i="3"/>
  <c r="D166" i="3"/>
  <c r="B165" i="3"/>
  <c r="B159" i="3"/>
  <c r="B160" i="3"/>
  <c r="F166" i="3"/>
  <c r="C166" i="3"/>
  <c r="H166" i="3"/>
  <c r="B163" i="3"/>
  <c r="B164" i="3"/>
  <c r="B162" i="3"/>
  <c r="E165" i="3"/>
  <c r="B161" i="3"/>
  <c r="B168" i="3"/>
  <c r="D165" i="3"/>
  <c r="H165" i="3"/>
  <c r="B166" i="3"/>
  <c r="F165" i="3"/>
  <c r="J56" i="9" l="1"/>
  <c r="J89" i="9"/>
  <c r="J34" i="9"/>
  <c r="J122" i="9"/>
  <c r="J12" i="9"/>
  <c r="J111" i="9"/>
  <c r="J45" i="9"/>
  <c r="J67" i="9"/>
  <c r="J155" i="9"/>
  <c r="J144" i="9"/>
  <c r="J78" i="9"/>
  <c r="K177" i="9"/>
  <c r="J176" i="9"/>
  <c r="K170" i="9"/>
  <c r="K173" i="9"/>
  <c r="K172" i="9"/>
  <c r="J179" i="9"/>
  <c r="K171" i="9"/>
  <c r="J174" i="9"/>
  <c r="J175" i="9"/>
  <c r="J178" i="9"/>
  <c r="I142" i="11"/>
  <c r="J45" i="11"/>
  <c r="I85" i="11"/>
  <c r="I45" i="11"/>
  <c r="J122" i="11"/>
  <c r="I49" i="11"/>
  <c r="I111" i="11"/>
  <c r="J144" i="11"/>
  <c r="J56" i="11"/>
  <c r="J67" i="11"/>
  <c r="I76" i="11"/>
  <c r="I89" i="11"/>
  <c r="I131" i="11"/>
  <c r="I109" i="11"/>
  <c r="J111" i="11"/>
  <c r="I148" i="11"/>
  <c r="I98" i="11"/>
  <c r="I54" i="11"/>
  <c r="I43" i="11"/>
  <c r="J12" i="11"/>
  <c r="J89" i="11"/>
  <c r="J78" i="11"/>
  <c r="I122" i="10"/>
  <c r="I87" i="11"/>
  <c r="J34" i="11"/>
  <c r="I10" i="11"/>
  <c r="I21" i="11"/>
  <c r="I153" i="11"/>
  <c r="J155" i="11"/>
  <c r="I154" i="11"/>
  <c r="I110" i="11"/>
  <c r="I88" i="11"/>
  <c r="I66" i="11"/>
  <c r="I44" i="11"/>
  <c r="I143" i="11"/>
  <c r="I121" i="11"/>
  <c r="I33" i="11"/>
  <c r="I11" i="11"/>
  <c r="I55" i="11"/>
  <c r="I77" i="11"/>
  <c r="I63" i="11"/>
  <c r="I140" i="11"/>
  <c r="I8" i="11"/>
  <c r="I41" i="11"/>
  <c r="I96" i="11"/>
  <c r="I129" i="11"/>
  <c r="I52" i="11"/>
  <c r="I118" i="11"/>
  <c r="I19" i="11"/>
  <c r="I12" i="10"/>
  <c r="I107" i="11"/>
  <c r="I30" i="11"/>
  <c r="I93" i="11"/>
  <c r="I126" i="11"/>
  <c r="I16" i="11"/>
  <c r="I27" i="11"/>
  <c r="I82" i="11"/>
  <c r="I137" i="11"/>
  <c r="I60" i="11"/>
  <c r="I38" i="11"/>
  <c r="I104" i="11"/>
  <c r="I115" i="11"/>
  <c r="I155" i="11"/>
  <c r="I67" i="11"/>
  <c r="I144" i="11"/>
  <c r="I122" i="11"/>
  <c r="I34" i="11"/>
  <c r="I12" i="11"/>
  <c r="I56" i="11"/>
  <c r="I78" i="10"/>
  <c r="I5" i="11"/>
  <c r="I120" i="11"/>
  <c r="I71" i="11"/>
  <c r="I32" i="11"/>
  <c r="I74" i="11"/>
  <c r="I65" i="11"/>
  <c r="I151" i="11"/>
  <c r="K174" i="10"/>
  <c r="K171" i="10"/>
  <c r="K175" i="10"/>
  <c r="I144" i="10"/>
  <c r="I34" i="10"/>
  <c r="I89" i="10"/>
  <c r="K179" i="10"/>
  <c r="I154" i="10"/>
  <c r="I110" i="10"/>
  <c r="I88" i="10"/>
  <c r="I66" i="10"/>
  <c r="I44" i="10"/>
  <c r="I11" i="10"/>
  <c r="I143" i="10"/>
  <c r="I77" i="10"/>
  <c r="I121" i="10"/>
  <c r="I55" i="10"/>
  <c r="I33" i="10"/>
  <c r="I67" i="10"/>
  <c r="I111" i="10"/>
  <c r="I56" i="10"/>
  <c r="K173" i="10"/>
  <c r="K178" i="10"/>
  <c r="K170" i="10"/>
  <c r="I155" i="10"/>
  <c r="K177" i="10"/>
  <c r="J12" i="10"/>
  <c r="J45" i="10"/>
  <c r="J111" i="10"/>
  <c r="J34" i="10"/>
  <c r="J144" i="10"/>
  <c r="J67" i="10"/>
  <c r="J122" i="10"/>
  <c r="J155" i="10"/>
  <c r="J56" i="10"/>
  <c r="J78" i="10"/>
  <c r="J89" i="10"/>
  <c r="K172" i="10"/>
  <c r="J176" i="10"/>
  <c r="J179" i="11"/>
  <c r="J175" i="11"/>
  <c r="J173" i="11"/>
  <c r="K177" i="11"/>
  <c r="J174" i="11"/>
  <c r="J178" i="11"/>
  <c r="J170" i="11"/>
  <c r="J176" i="11"/>
  <c r="I171" i="11"/>
  <c r="I172" i="11"/>
  <c r="I154" i="9"/>
  <c r="I110" i="9"/>
  <c r="I88" i="9"/>
  <c r="I66" i="9"/>
  <c r="I44" i="9"/>
  <c r="I121" i="9"/>
  <c r="I55" i="9"/>
  <c r="I33" i="9"/>
  <c r="I143" i="9"/>
  <c r="I11" i="9"/>
  <c r="I77" i="9"/>
  <c r="I12" i="9"/>
  <c r="I67" i="9"/>
  <c r="I34" i="9"/>
  <c r="I144" i="9"/>
  <c r="I89" i="9"/>
  <c r="I56" i="9"/>
  <c r="I122" i="9"/>
  <c r="I155" i="9"/>
  <c r="I111" i="9"/>
  <c r="I45" i="9"/>
  <c r="I78" i="9"/>
  <c r="B175" i="10"/>
  <c r="J109" i="10" s="1"/>
  <c r="B173" i="10"/>
  <c r="J85" i="10" s="1"/>
  <c r="B178" i="10"/>
  <c r="J145" i="10" s="1"/>
  <c r="B171" i="10"/>
  <c r="J94" i="10" s="1"/>
  <c r="B170" i="10"/>
  <c r="J104" i="10" s="1"/>
  <c r="B179" i="10"/>
  <c r="J47" i="10" s="1"/>
  <c r="B174" i="10"/>
  <c r="J86" i="10" s="1"/>
  <c r="B172" i="10"/>
  <c r="J150" i="10" s="1"/>
  <c r="B161" i="17"/>
  <c r="M172" i="11" s="1"/>
  <c r="B165" i="17"/>
  <c r="M176" i="11" s="1"/>
  <c r="B160" i="17"/>
  <c r="B149" i="17" s="1"/>
  <c r="B166" i="17"/>
  <c r="M177" i="11" s="1"/>
  <c r="B162" i="17"/>
  <c r="M173" i="11" s="1"/>
  <c r="B159" i="17"/>
  <c r="B148" i="17" s="1"/>
  <c r="B164" i="17"/>
  <c r="M175" i="11" s="1"/>
  <c r="B166" i="16"/>
  <c r="B165" i="16"/>
  <c r="M176" i="10" s="1"/>
  <c r="B166" i="18"/>
  <c r="M177" i="9" s="1"/>
  <c r="B165" i="18"/>
  <c r="M176" i="9" s="1"/>
  <c r="B133" i="12"/>
  <c r="B189" i="11"/>
  <c r="B178" i="11" s="1"/>
  <c r="I101" i="11" s="1"/>
  <c r="B190" i="11"/>
  <c r="B179" i="11" s="1"/>
  <c r="I80" i="11" s="1"/>
  <c r="B185" i="11"/>
  <c r="B174" i="11" s="1"/>
  <c r="I42" i="11" s="1"/>
  <c r="B183" i="9"/>
  <c r="B182" i="9"/>
  <c r="B186" i="9"/>
  <c r="B184" i="9"/>
  <c r="B185" i="9"/>
  <c r="B189" i="9"/>
  <c r="B190" i="9"/>
  <c r="B181" i="9"/>
  <c r="K56" i="9" l="1"/>
  <c r="K89" i="9"/>
  <c r="K34" i="9"/>
  <c r="K122" i="9"/>
  <c r="K67" i="9"/>
  <c r="K12" i="9"/>
  <c r="K111" i="9"/>
  <c r="K155" i="9"/>
  <c r="K144" i="9"/>
  <c r="K78" i="9"/>
  <c r="K45" i="9"/>
  <c r="J154" i="9"/>
  <c r="J143" i="9"/>
  <c r="J110" i="9"/>
  <c r="J121" i="9"/>
  <c r="J88" i="9"/>
  <c r="J44" i="9"/>
  <c r="J77" i="9"/>
  <c r="J33" i="9"/>
  <c r="J66" i="9"/>
  <c r="J11" i="9"/>
  <c r="J55" i="9"/>
  <c r="J166" i="9"/>
  <c r="K178" i="9"/>
  <c r="K174" i="9"/>
  <c r="K179" i="9"/>
  <c r="K176" i="9"/>
  <c r="K175" i="9"/>
  <c r="J46" i="10"/>
  <c r="J53" i="10"/>
  <c r="J124" i="10"/>
  <c r="I141" i="11"/>
  <c r="J130" i="10"/>
  <c r="I14" i="11"/>
  <c r="I64" i="11"/>
  <c r="I91" i="11"/>
  <c r="I53" i="11"/>
  <c r="I25" i="11"/>
  <c r="J74" i="10"/>
  <c r="J116" i="10"/>
  <c r="I159" i="11"/>
  <c r="I159" i="17" s="1"/>
  <c r="I60" i="17" s="1"/>
  <c r="I60" i="13" s="1"/>
  <c r="I119" i="11"/>
  <c r="I102" i="11"/>
  <c r="I31" i="11"/>
  <c r="J101" i="10"/>
  <c r="J41" i="10"/>
  <c r="J14" i="10"/>
  <c r="I97" i="11"/>
  <c r="I47" i="11"/>
  <c r="J154" i="11"/>
  <c r="J110" i="11"/>
  <c r="J88" i="11"/>
  <c r="J66" i="11"/>
  <c r="J44" i="11"/>
  <c r="J143" i="11"/>
  <c r="J121" i="11"/>
  <c r="J77" i="11"/>
  <c r="J55" i="11"/>
  <c r="J33" i="11"/>
  <c r="J11" i="11"/>
  <c r="I112" i="11"/>
  <c r="I156" i="11"/>
  <c r="I162" i="11"/>
  <c r="I162" i="17" s="1"/>
  <c r="J27" i="11"/>
  <c r="J82" i="11"/>
  <c r="J137" i="11"/>
  <c r="J60" i="11"/>
  <c r="J71" i="11"/>
  <c r="J49" i="11"/>
  <c r="J115" i="11"/>
  <c r="J104" i="11"/>
  <c r="J38" i="11"/>
  <c r="J93" i="11"/>
  <c r="J16" i="11"/>
  <c r="J5" i="11"/>
  <c r="J126" i="11"/>
  <c r="J148" i="11"/>
  <c r="J7" i="10"/>
  <c r="I166" i="10"/>
  <c r="I166" i="16" s="1"/>
  <c r="I134" i="11"/>
  <c r="I35" i="11"/>
  <c r="I149" i="11"/>
  <c r="I17" i="11"/>
  <c r="I72" i="11"/>
  <c r="I39" i="11"/>
  <c r="I94" i="11"/>
  <c r="I127" i="11"/>
  <c r="I138" i="11"/>
  <c r="I83" i="11"/>
  <c r="I61" i="11"/>
  <c r="I116" i="11"/>
  <c r="I28" i="11"/>
  <c r="I105" i="11"/>
  <c r="I6" i="11"/>
  <c r="I50" i="11"/>
  <c r="J145" i="11"/>
  <c r="J123" i="11"/>
  <c r="J79" i="11"/>
  <c r="J156" i="11"/>
  <c r="J134" i="11"/>
  <c r="J112" i="11"/>
  <c r="J68" i="11"/>
  <c r="J46" i="11"/>
  <c r="J24" i="11"/>
  <c r="J13" i="11"/>
  <c r="J35" i="11"/>
  <c r="J101" i="11"/>
  <c r="J57" i="11"/>
  <c r="J90" i="11"/>
  <c r="J65" i="11"/>
  <c r="J109" i="11"/>
  <c r="J153" i="11"/>
  <c r="J10" i="11"/>
  <c r="J76" i="11"/>
  <c r="J87" i="11"/>
  <c r="J98" i="11"/>
  <c r="J131" i="11"/>
  <c r="J21" i="11"/>
  <c r="J43" i="11"/>
  <c r="J54" i="11"/>
  <c r="J120" i="11"/>
  <c r="J32" i="11"/>
  <c r="J142" i="11"/>
  <c r="J117" i="10"/>
  <c r="J123" i="10"/>
  <c r="J107" i="10"/>
  <c r="I36" i="11"/>
  <c r="I24" i="11"/>
  <c r="I68" i="11"/>
  <c r="I123" i="11"/>
  <c r="I58" i="11"/>
  <c r="I124" i="11"/>
  <c r="I157" i="11"/>
  <c r="I164" i="11"/>
  <c r="I164" i="17" s="1"/>
  <c r="I10" i="17" s="1"/>
  <c r="I10" i="13" s="1"/>
  <c r="I135" i="11"/>
  <c r="J166" i="11"/>
  <c r="J166" i="17" s="1"/>
  <c r="I13" i="11"/>
  <c r="K89" i="11"/>
  <c r="K78" i="11"/>
  <c r="K144" i="11"/>
  <c r="K111" i="11"/>
  <c r="K122" i="11"/>
  <c r="K155" i="11"/>
  <c r="K34" i="11"/>
  <c r="K67" i="11"/>
  <c r="K56" i="11"/>
  <c r="K12" i="11"/>
  <c r="K45" i="11"/>
  <c r="I117" i="11"/>
  <c r="I18" i="11"/>
  <c r="I73" i="11"/>
  <c r="I62" i="11"/>
  <c r="I150" i="11"/>
  <c r="I29" i="11"/>
  <c r="I40" i="11"/>
  <c r="I84" i="11"/>
  <c r="I7" i="11"/>
  <c r="I95" i="11"/>
  <c r="I139" i="11"/>
  <c r="I128" i="11"/>
  <c r="I106" i="11"/>
  <c r="I51" i="11"/>
  <c r="J129" i="11"/>
  <c r="J74" i="11"/>
  <c r="J151" i="11"/>
  <c r="J41" i="11"/>
  <c r="J140" i="11"/>
  <c r="J85" i="11"/>
  <c r="J118" i="11"/>
  <c r="J30" i="11"/>
  <c r="J52" i="11"/>
  <c r="J96" i="11"/>
  <c r="J8" i="11"/>
  <c r="J107" i="11"/>
  <c r="J19" i="11"/>
  <c r="J63" i="11"/>
  <c r="J105" i="10"/>
  <c r="I90" i="11"/>
  <c r="I79" i="11"/>
  <c r="I20" i="11"/>
  <c r="I75" i="11"/>
  <c r="I113" i="11"/>
  <c r="I146" i="11"/>
  <c r="J108" i="11"/>
  <c r="J42" i="11"/>
  <c r="J141" i="11"/>
  <c r="J152" i="11"/>
  <c r="J20" i="11"/>
  <c r="J86" i="11"/>
  <c r="J53" i="11"/>
  <c r="J130" i="11"/>
  <c r="J9" i="11"/>
  <c r="J31" i="11"/>
  <c r="J75" i="11"/>
  <c r="J64" i="11"/>
  <c r="J119" i="11"/>
  <c r="J97" i="11"/>
  <c r="J14" i="11"/>
  <c r="J36" i="11"/>
  <c r="J113" i="11"/>
  <c r="J25" i="11"/>
  <c r="J69" i="11"/>
  <c r="J80" i="11"/>
  <c r="J157" i="11"/>
  <c r="J135" i="11"/>
  <c r="J91" i="11"/>
  <c r="J124" i="11"/>
  <c r="J47" i="11"/>
  <c r="J58" i="11"/>
  <c r="J102" i="11"/>
  <c r="J146" i="11"/>
  <c r="J84" i="10"/>
  <c r="J35" i="10"/>
  <c r="J19" i="10"/>
  <c r="J135" i="10"/>
  <c r="J50" i="10"/>
  <c r="J141" i="10"/>
  <c r="I152" i="11"/>
  <c r="I166" i="11"/>
  <c r="I166" i="17" s="1"/>
  <c r="I57" i="11"/>
  <c r="I46" i="11"/>
  <c r="I145" i="11"/>
  <c r="I108" i="11"/>
  <c r="I69" i="11"/>
  <c r="I130" i="11"/>
  <c r="I9" i="11"/>
  <c r="I86" i="11"/>
  <c r="J18" i="10"/>
  <c r="J139" i="10"/>
  <c r="J29" i="10"/>
  <c r="J71" i="10"/>
  <c r="J82" i="10"/>
  <c r="J126" i="10"/>
  <c r="J137" i="10"/>
  <c r="J24" i="10"/>
  <c r="J57" i="10"/>
  <c r="J112" i="10"/>
  <c r="J118" i="10"/>
  <c r="J129" i="10"/>
  <c r="J140" i="10"/>
  <c r="K140" i="10"/>
  <c r="K8" i="10"/>
  <c r="K52" i="10"/>
  <c r="K30" i="10"/>
  <c r="K96" i="10"/>
  <c r="K129" i="10"/>
  <c r="K41" i="10"/>
  <c r="K19" i="10"/>
  <c r="K85" i="10"/>
  <c r="K118" i="10"/>
  <c r="K74" i="10"/>
  <c r="K63" i="10"/>
  <c r="K107" i="10"/>
  <c r="K151" i="10"/>
  <c r="J91" i="10"/>
  <c r="J36" i="10"/>
  <c r="J146" i="10"/>
  <c r="J157" i="10"/>
  <c r="J87" i="10"/>
  <c r="J43" i="10"/>
  <c r="J98" i="10"/>
  <c r="K21" i="10"/>
  <c r="K98" i="10"/>
  <c r="K65" i="10"/>
  <c r="K43" i="10"/>
  <c r="K54" i="10"/>
  <c r="K142" i="10"/>
  <c r="K153" i="10"/>
  <c r="K109" i="10"/>
  <c r="K120" i="10"/>
  <c r="K87" i="10"/>
  <c r="K32" i="10"/>
  <c r="K10" i="10"/>
  <c r="K131" i="10"/>
  <c r="K76" i="10"/>
  <c r="J28" i="10"/>
  <c r="J83" i="10"/>
  <c r="J149" i="10"/>
  <c r="J108" i="10"/>
  <c r="J64" i="10"/>
  <c r="J97" i="10"/>
  <c r="J154" i="10"/>
  <c r="J110" i="10"/>
  <c r="J88" i="10"/>
  <c r="J66" i="10"/>
  <c r="J44" i="10"/>
  <c r="J121" i="10"/>
  <c r="J55" i="10"/>
  <c r="J33" i="10"/>
  <c r="J11" i="10"/>
  <c r="J143" i="10"/>
  <c r="J77" i="10"/>
  <c r="J16" i="10"/>
  <c r="J5" i="10"/>
  <c r="J32" i="10"/>
  <c r="J65" i="10"/>
  <c r="K149" i="10"/>
  <c r="K105" i="10"/>
  <c r="K72" i="10"/>
  <c r="K28" i="10"/>
  <c r="K6" i="10"/>
  <c r="K39" i="10"/>
  <c r="K116" i="10"/>
  <c r="K83" i="10"/>
  <c r="K61" i="10"/>
  <c r="K94" i="10"/>
  <c r="K127" i="10"/>
  <c r="K138" i="10"/>
  <c r="K50" i="10"/>
  <c r="K17" i="10"/>
  <c r="I139" i="10"/>
  <c r="I40" i="10"/>
  <c r="I62" i="10"/>
  <c r="I18" i="10"/>
  <c r="I106" i="10"/>
  <c r="I7" i="10"/>
  <c r="I51" i="10"/>
  <c r="I73" i="10"/>
  <c r="I150" i="10"/>
  <c r="I84" i="10"/>
  <c r="I95" i="10"/>
  <c r="I128" i="10"/>
  <c r="I29" i="10"/>
  <c r="I117" i="10"/>
  <c r="I42" i="10"/>
  <c r="I108" i="10"/>
  <c r="I152" i="10"/>
  <c r="I119" i="10"/>
  <c r="I130" i="10"/>
  <c r="I64" i="10"/>
  <c r="I53" i="10"/>
  <c r="I31" i="10"/>
  <c r="I20" i="10"/>
  <c r="I75" i="10"/>
  <c r="I97" i="10"/>
  <c r="I86" i="10"/>
  <c r="I9" i="10"/>
  <c r="I141" i="10"/>
  <c r="I134" i="10"/>
  <c r="I68" i="10"/>
  <c r="I57" i="10"/>
  <c r="I90" i="10"/>
  <c r="I145" i="10"/>
  <c r="I156" i="10"/>
  <c r="I24" i="10"/>
  <c r="I101" i="10"/>
  <c r="I79" i="10"/>
  <c r="I123" i="10"/>
  <c r="I112" i="10"/>
  <c r="I35" i="10"/>
  <c r="I13" i="10"/>
  <c r="I46" i="10"/>
  <c r="K176" i="10"/>
  <c r="J95" i="10"/>
  <c r="J40" i="10"/>
  <c r="J51" i="10"/>
  <c r="J128" i="10"/>
  <c r="J166" i="10"/>
  <c r="J166" i="16" s="1"/>
  <c r="J38" i="10"/>
  <c r="J49" i="10"/>
  <c r="J27" i="10"/>
  <c r="J90" i="10"/>
  <c r="J68" i="10"/>
  <c r="J156" i="10"/>
  <c r="K156" i="10"/>
  <c r="K134" i="10"/>
  <c r="K112" i="10"/>
  <c r="K68" i="10"/>
  <c r="K46" i="10"/>
  <c r="K123" i="10"/>
  <c r="K145" i="10"/>
  <c r="K79" i="10"/>
  <c r="K35" i="10"/>
  <c r="K57" i="10"/>
  <c r="K90" i="10"/>
  <c r="K13" i="10"/>
  <c r="K101" i="10"/>
  <c r="K24" i="10"/>
  <c r="J52" i="10"/>
  <c r="J96" i="10"/>
  <c r="J113" i="10"/>
  <c r="J25" i="10"/>
  <c r="J80" i="10"/>
  <c r="J120" i="10"/>
  <c r="J153" i="10"/>
  <c r="J39" i="10"/>
  <c r="J138" i="10"/>
  <c r="J6" i="10"/>
  <c r="J42" i="10"/>
  <c r="J20" i="10"/>
  <c r="J119" i="10"/>
  <c r="J31" i="10"/>
  <c r="I71" i="10"/>
  <c r="I126" i="10"/>
  <c r="I104" i="10"/>
  <c r="I27" i="10"/>
  <c r="I16" i="10"/>
  <c r="I137" i="10"/>
  <c r="I82" i="10"/>
  <c r="I49" i="10"/>
  <c r="I38" i="10"/>
  <c r="I115" i="10"/>
  <c r="I148" i="10"/>
  <c r="I93" i="10"/>
  <c r="I5" i="10"/>
  <c r="I60" i="10"/>
  <c r="I142" i="10"/>
  <c r="I120" i="10"/>
  <c r="I32" i="10"/>
  <c r="I109" i="10"/>
  <c r="I153" i="10"/>
  <c r="I76" i="10"/>
  <c r="I98" i="10"/>
  <c r="I87" i="10"/>
  <c r="I43" i="10"/>
  <c r="I21" i="10"/>
  <c r="I10" i="10"/>
  <c r="I131" i="10"/>
  <c r="I65" i="10"/>
  <c r="I54" i="10"/>
  <c r="J148" i="10"/>
  <c r="J21" i="10"/>
  <c r="J131" i="10"/>
  <c r="I138" i="10"/>
  <c r="I94" i="10"/>
  <c r="I28" i="10"/>
  <c r="I116" i="10"/>
  <c r="I6" i="10"/>
  <c r="I105" i="10"/>
  <c r="I83" i="10"/>
  <c r="I39" i="10"/>
  <c r="I72" i="10"/>
  <c r="I50" i="10"/>
  <c r="I149" i="10"/>
  <c r="I127" i="10"/>
  <c r="I17" i="10"/>
  <c r="I61" i="10"/>
  <c r="I102" i="10"/>
  <c r="I14" i="10"/>
  <c r="I36" i="10"/>
  <c r="I146" i="10"/>
  <c r="I157" i="10"/>
  <c r="I135" i="10"/>
  <c r="I91" i="10"/>
  <c r="I58" i="10"/>
  <c r="I47" i="10"/>
  <c r="I113" i="10"/>
  <c r="I69" i="10"/>
  <c r="I124" i="10"/>
  <c r="I80" i="10"/>
  <c r="I25" i="10"/>
  <c r="I8" i="10"/>
  <c r="I140" i="10"/>
  <c r="I63" i="10"/>
  <c r="I96" i="10"/>
  <c r="I19" i="10"/>
  <c r="I41" i="10"/>
  <c r="I129" i="10"/>
  <c r="I107" i="10"/>
  <c r="I74" i="10"/>
  <c r="I151" i="10"/>
  <c r="I30" i="10"/>
  <c r="I52" i="10"/>
  <c r="I118" i="10"/>
  <c r="I85" i="10"/>
  <c r="J73" i="10"/>
  <c r="J106" i="10"/>
  <c r="J62" i="10"/>
  <c r="K40" i="10"/>
  <c r="K51" i="10"/>
  <c r="K106" i="10"/>
  <c r="K117" i="10"/>
  <c r="K73" i="10"/>
  <c r="K7" i="10"/>
  <c r="K128" i="10"/>
  <c r="K150" i="10"/>
  <c r="K139" i="10"/>
  <c r="K84" i="10"/>
  <c r="K29" i="10"/>
  <c r="K95" i="10"/>
  <c r="K18" i="10"/>
  <c r="K62" i="10"/>
  <c r="K144" i="10"/>
  <c r="K67" i="10"/>
  <c r="K122" i="10"/>
  <c r="K155" i="10"/>
  <c r="K56" i="10"/>
  <c r="K78" i="10"/>
  <c r="K89" i="10"/>
  <c r="K12" i="10"/>
  <c r="K45" i="10"/>
  <c r="K111" i="10"/>
  <c r="K34" i="10"/>
  <c r="J93" i="10"/>
  <c r="J115" i="10"/>
  <c r="J60" i="10"/>
  <c r="K148" i="10"/>
  <c r="K115" i="10"/>
  <c r="K49" i="10"/>
  <c r="K71" i="10"/>
  <c r="K16" i="10"/>
  <c r="K93" i="10"/>
  <c r="K27" i="10"/>
  <c r="K82" i="10"/>
  <c r="K104" i="10"/>
  <c r="K137" i="10"/>
  <c r="K126" i="10"/>
  <c r="K60" i="10"/>
  <c r="K38" i="10"/>
  <c r="K5" i="10"/>
  <c r="J13" i="10"/>
  <c r="J134" i="10"/>
  <c r="J79" i="10"/>
  <c r="J63" i="10"/>
  <c r="J8" i="10"/>
  <c r="J151" i="10"/>
  <c r="J30" i="10"/>
  <c r="J69" i="10"/>
  <c r="J58" i="10"/>
  <c r="J102" i="10"/>
  <c r="K102" i="10"/>
  <c r="K80" i="10"/>
  <c r="K146" i="10"/>
  <c r="K25" i="10"/>
  <c r="K14" i="10"/>
  <c r="K135" i="10"/>
  <c r="K69" i="10"/>
  <c r="K58" i="10"/>
  <c r="K113" i="10"/>
  <c r="K36" i="10"/>
  <c r="K47" i="10"/>
  <c r="K91" i="10"/>
  <c r="K157" i="10"/>
  <c r="K124" i="10"/>
  <c r="J10" i="10"/>
  <c r="J142" i="10"/>
  <c r="J54" i="10"/>
  <c r="J76" i="10"/>
  <c r="J17" i="10"/>
  <c r="J127" i="10"/>
  <c r="J72" i="10"/>
  <c r="J61" i="10"/>
  <c r="J152" i="10"/>
  <c r="J9" i="10"/>
  <c r="J75" i="10"/>
  <c r="K141" i="10"/>
  <c r="K9" i="10"/>
  <c r="K64" i="10"/>
  <c r="K42" i="10"/>
  <c r="K152" i="10"/>
  <c r="K119" i="10"/>
  <c r="K130" i="10"/>
  <c r="K53" i="10"/>
  <c r="K20" i="10"/>
  <c r="K108" i="10"/>
  <c r="K31" i="10"/>
  <c r="K86" i="10"/>
  <c r="K97" i="10"/>
  <c r="K75" i="10"/>
  <c r="B163" i="16"/>
  <c r="B164" i="16"/>
  <c r="B10" i="16" s="1"/>
  <c r="B10" i="12" s="1"/>
  <c r="B168" i="16"/>
  <c r="B80" i="16" s="1"/>
  <c r="B80" i="12" s="1"/>
  <c r="B162" i="16"/>
  <c r="K170" i="11"/>
  <c r="K178" i="11"/>
  <c r="K175" i="11"/>
  <c r="K176" i="11"/>
  <c r="K174" i="11"/>
  <c r="K173" i="11"/>
  <c r="K179" i="11"/>
  <c r="J172" i="11"/>
  <c r="J171" i="11"/>
  <c r="I166" i="9"/>
  <c r="I166" i="18" s="1"/>
  <c r="I78" i="18" s="1"/>
  <c r="I78" i="6" s="1"/>
  <c r="B161" i="16"/>
  <c r="B160" i="16"/>
  <c r="B116" i="16" s="1"/>
  <c r="B116" i="12" s="1"/>
  <c r="B159" i="16"/>
  <c r="B167" i="17"/>
  <c r="B163" i="17"/>
  <c r="B168" i="17"/>
  <c r="B153" i="17"/>
  <c r="B153" i="13" s="1"/>
  <c r="B154" i="17"/>
  <c r="B154" i="13" s="1"/>
  <c r="M170" i="11"/>
  <c r="M171" i="11"/>
  <c r="B155" i="16"/>
  <c r="B155" i="12" s="1"/>
  <c r="M177" i="10"/>
  <c r="B122" i="18"/>
  <c r="B122" i="6" s="1"/>
  <c r="B110" i="18"/>
  <c r="B110" i="6" s="1"/>
  <c r="B121" i="18"/>
  <c r="B121" i="6" s="1"/>
  <c r="B154" i="18"/>
  <c r="B154" i="6" s="1"/>
  <c r="B143" i="18"/>
  <c r="B143" i="6" s="1"/>
  <c r="B144" i="16"/>
  <c r="B144" i="12" s="1"/>
  <c r="B34" i="16"/>
  <c r="B34" i="12" s="1"/>
  <c r="B56" i="16"/>
  <c r="B56" i="12" s="1"/>
  <c r="B122" i="16"/>
  <c r="B122" i="12" s="1"/>
  <c r="B89" i="16"/>
  <c r="B89" i="12" s="1"/>
  <c r="B78" i="16"/>
  <c r="B78" i="12" s="1"/>
  <c r="B12" i="16"/>
  <c r="B12" i="12" s="1"/>
  <c r="B67" i="16"/>
  <c r="B67" i="12" s="1"/>
  <c r="B144" i="18"/>
  <c r="B144" i="6" s="1"/>
  <c r="B111" i="16"/>
  <c r="B111" i="12" s="1"/>
  <c r="B45" i="16"/>
  <c r="B45" i="12" s="1"/>
  <c r="B34" i="18"/>
  <c r="B34" i="6" s="1"/>
  <c r="B78" i="18"/>
  <c r="B78" i="6" s="1"/>
  <c r="B171" i="9"/>
  <c r="K127" i="9" s="1"/>
  <c r="B179" i="9"/>
  <c r="J14" i="9" s="1"/>
  <c r="B170" i="9"/>
  <c r="K38" i="9" s="1"/>
  <c r="B173" i="9"/>
  <c r="K63" i="9" s="1"/>
  <c r="B45" i="18"/>
  <c r="B45" i="6" s="1"/>
  <c r="B155" i="18"/>
  <c r="B155" i="6" s="1"/>
  <c r="B12" i="18"/>
  <c r="B12" i="6" s="1"/>
  <c r="B56" i="18"/>
  <c r="B56" i="6" s="1"/>
  <c r="B111" i="18"/>
  <c r="B111" i="6" s="1"/>
  <c r="B178" i="9"/>
  <c r="J145" i="9" s="1"/>
  <c r="B175" i="9"/>
  <c r="J98" i="9" s="1"/>
  <c r="B174" i="9"/>
  <c r="J119" i="9" s="1"/>
  <c r="B172" i="9"/>
  <c r="K84" i="9" s="1"/>
  <c r="B89" i="18"/>
  <c r="B89" i="6" s="1"/>
  <c r="B67" i="18"/>
  <c r="B67" i="6" s="1"/>
  <c r="B150" i="17"/>
  <c r="B150" i="13" s="1"/>
  <c r="B151" i="17"/>
  <c r="B151" i="13" s="1"/>
  <c r="B144" i="17"/>
  <c r="B144" i="13" s="1"/>
  <c r="B155" i="17"/>
  <c r="B155" i="13" s="1"/>
  <c r="B143" i="17"/>
  <c r="B143" i="13" s="1"/>
  <c r="B132" i="17"/>
  <c r="B132" i="13" s="1"/>
  <c r="B127" i="17"/>
  <c r="B127" i="13" s="1"/>
  <c r="B138" i="17"/>
  <c r="B138" i="13" s="1"/>
  <c r="B142" i="17"/>
  <c r="B142" i="13" s="1"/>
  <c r="B131" i="17"/>
  <c r="B131" i="13" s="1"/>
  <c r="B126" i="17"/>
  <c r="B126" i="13" s="1"/>
  <c r="B137" i="17"/>
  <c r="B137" i="13" s="1"/>
  <c r="B111" i="17"/>
  <c r="B111" i="13" s="1"/>
  <c r="B122" i="17"/>
  <c r="B122" i="13" s="1"/>
  <c r="B98" i="17"/>
  <c r="B98" i="13" s="1"/>
  <c r="B109" i="17"/>
  <c r="B109" i="13" s="1"/>
  <c r="B120" i="17"/>
  <c r="B120" i="13" s="1"/>
  <c r="B121" i="17"/>
  <c r="B121" i="13" s="1"/>
  <c r="B110" i="17"/>
  <c r="B110" i="13" s="1"/>
  <c r="B116" i="17"/>
  <c r="B116" i="13" s="1"/>
  <c r="B105" i="17"/>
  <c r="B105" i="13" s="1"/>
  <c r="B104" i="17"/>
  <c r="B104" i="13" s="1"/>
  <c r="B115" i="17"/>
  <c r="B89" i="17"/>
  <c r="B89" i="13" s="1"/>
  <c r="B78" i="17"/>
  <c r="B78" i="13" s="1"/>
  <c r="B88" i="17"/>
  <c r="B88" i="13" s="1"/>
  <c r="B77" i="17"/>
  <c r="B77" i="13" s="1"/>
  <c r="B72" i="17"/>
  <c r="B72" i="13" s="1"/>
  <c r="B83" i="17"/>
  <c r="B83" i="13" s="1"/>
  <c r="B76" i="17"/>
  <c r="B76" i="13" s="1"/>
  <c r="B87" i="17"/>
  <c r="B87" i="13" s="1"/>
  <c r="B82" i="17"/>
  <c r="B71" i="17"/>
  <c r="B45" i="17"/>
  <c r="B45" i="13" s="1"/>
  <c r="B56" i="17"/>
  <c r="B56" i="13" s="1"/>
  <c r="B67" i="17"/>
  <c r="B67" i="13" s="1"/>
  <c r="B44" i="17"/>
  <c r="B44" i="13" s="1"/>
  <c r="B66" i="17"/>
  <c r="B66" i="13" s="1"/>
  <c r="B55" i="17"/>
  <c r="B55" i="13" s="1"/>
  <c r="B39" i="17"/>
  <c r="B39" i="13" s="1"/>
  <c r="B61" i="17"/>
  <c r="B61" i="13" s="1"/>
  <c r="B50" i="17"/>
  <c r="B50" i="13" s="1"/>
  <c r="B43" i="17"/>
  <c r="B43" i="13" s="1"/>
  <c r="B54" i="17"/>
  <c r="B65" i="17"/>
  <c r="B65" i="13" s="1"/>
  <c r="B38" i="17"/>
  <c r="B49" i="17"/>
  <c r="B60" i="17"/>
  <c r="B60" i="13" s="1"/>
  <c r="B28" i="17"/>
  <c r="B28" i="13" s="1"/>
  <c r="B32" i="17"/>
  <c r="B32" i="13" s="1"/>
  <c r="B34" i="17"/>
  <c r="B34" i="13" s="1"/>
  <c r="B33" i="17"/>
  <c r="B33" i="13" s="1"/>
  <c r="B27" i="17"/>
  <c r="B12" i="17"/>
  <c r="B12" i="13" s="1"/>
  <c r="B11" i="17"/>
  <c r="B11" i="13" s="1"/>
  <c r="B6" i="17"/>
  <c r="B6" i="13" s="1"/>
  <c r="B21" i="17"/>
  <c r="B21" i="13" s="1"/>
  <c r="B10" i="17"/>
  <c r="B10" i="13" s="1"/>
  <c r="B5" i="17"/>
  <c r="B5" i="13" s="1"/>
  <c r="B154" i="16"/>
  <c r="B154" i="12" s="1"/>
  <c r="B143" i="16"/>
  <c r="B143" i="12" s="1"/>
  <c r="B132" i="16"/>
  <c r="B132" i="12" s="1"/>
  <c r="B121" i="16"/>
  <c r="B121" i="12" s="1"/>
  <c r="B110" i="16"/>
  <c r="B110" i="12" s="1"/>
  <c r="B88" i="16"/>
  <c r="B88" i="12" s="1"/>
  <c r="B77" i="16"/>
  <c r="B77" i="12" s="1"/>
  <c r="B66" i="16"/>
  <c r="B66" i="12" s="1"/>
  <c r="B55" i="16"/>
  <c r="B55" i="12" s="1"/>
  <c r="B44" i="16"/>
  <c r="B44" i="12" s="1"/>
  <c r="B33" i="16"/>
  <c r="B33" i="12" s="1"/>
  <c r="B11" i="16"/>
  <c r="B11" i="12" s="1"/>
  <c r="B149" i="13"/>
  <c r="B148" i="13"/>
  <c r="B133" i="13"/>
  <c r="B77" i="18"/>
  <c r="B77" i="6" s="1"/>
  <c r="B88" i="18"/>
  <c r="B88" i="6" s="1"/>
  <c r="B55" i="18"/>
  <c r="B55" i="6" s="1"/>
  <c r="B66" i="18"/>
  <c r="B66" i="6" s="1"/>
  <c r="B33" i="18"/>
  <c r="B33" i="6" s="1"/>
  <c r="B44" i="18"/>
  <c r="B44" i="6" s="1"/>
  <c r="B11" i="18"/>
  <c r="B11" i="6" s="1"/>
  <c r="K7" i="9" l="1"/>
  <c r="J58" i="9"/>
  <c r="J112" i="9"/>
  <c r="K83" i="9"/>
  <c r="J142" i="9"/>
  <c r="K128" i="9"/>
  <c r="J43" i="9"/>
  <c r="J157" i="9"/>
  <c r="K49" i="9"/>
  <c r="K61" i="9"/>
  <c r="K29" i="9"/>
  <c r="J153" i="9"/>
  <c r="J135" i="9"/>
  <c r="J24" i="9"/>
  <c r="K16" i="9"/>
  <c r="K17" i="9"/>
  <c r="J120" i="9"/>
  <c r="J69" i="9"/>
  <c r="J46" i="9"/>
  <c r="K149" i="9"/>
  <c r="J42" i="9"/>
  <c r="J152" i="9"/>
  <c r="K151" i="9"/>
  <c r="J38" i="9"/>
  <c r="J93" i="9"/>
  <c r="J137" i="9"/>
  <c r="J5" i="9"/>
  <c r="J82" i="9"/>
  <c r="J104" i="9"/>
  <c r="J126" i="9"/>
  <c r="J49" i="9"/>
  <c r="J16" i="9"/>
  <c r="J60" i="9"/>
  <c r="J71" i="9"/>
  <c r="J27" i="9"/>
  <c r="J115" i="9"/>
  <c r="J148" i="9"/>
  <c r="K150" i="9"/>
  <c r="K62" i="9"/>
  <c r="K117" i="9"/>
  <c r="K40" i="9"/>
  <c r="J65" i="9"/>
  <c r="J109" i="9"/>
  <c r="J87" i="9"/>
  <c r="J91" i="9"/>
  <c r="J47" i="9"/>
  <c r="J80" i="9"/>
  <c r="J25" i="9"/>
  <c r="J13" i="9"/>
  <c r="J68" i="9"/>
  <c r="J123" i="9"/>
  <c r="J64" i="9"/>
  <c r="J31" i="9"/>
  <c r="J53" i="9"/>
  <c r="J130" i="9"/>
  <c r="K5" i="9"/>
  <c r="K27" i="9"/>
  <c r="K148" i="9"/>
  <c r="K105" i="9"/>
  <c r="K28" i="9"/>
  <c r="K6" i="9"/>
  <c r="K39" i="9"/>
  <c r="K52" i="9"/>
  <c r="K118" i="9"/>
  <c r="J107" i="9"/>
  <c r="J41" i="9"/>
  <c r="J52" i="9"/>
  <c r="J63" i="9"/>
  <c r="J140" i="9"/>
  <c r="J96" i="9"/>
  <c r="J85" i="9"/>
  <c r="J30" i="9"/>
  <c r="J118" i="9"/>
  <c r="J19" i="9"/>
  <c r="J129" i="9"/>
  <c r="J151" i="9"/>
  <c r="J74" i="9"/>
  <c r="J8" i="9"/>
  <c r="K153" i="9"/>
  <c r="K98" i="9"/>
  <c r="K131" i="9"/>
  <c r="K87" i="9"/>
  <c r="K43" i="9"/>
  <c r="K54" i="9"/>
  <c r="K76" i="9"/>
  <c r="K109" i="9"/>
  <c r="K142" i="9"/>
  <c r="K65" i="9"/>
  <c r="K120" i="9"/>
  <c r="K32" i="9"/>
  <c r="K10" i="9"/>
  <c r="K21" i="9"/>
  <c r="J108" i="9"/>
  <c r="J75" i="9"/>
  <c r="K107" i="9"/>
  <c r="K156" i="9"/>
  <c r="K145" i="9"/>
  <c r="K134" i="9"/>
  <c r="K123" i="9"/>
  <c r="K112" i="9"/>
  <c r="K79" i="9"/>
  <c r="K68" i="9"/>
  <c r="K46" i="9"/>
  <c r="K90" i="9"/>
  <c r="K101" i="9"/>
  <c r="K24" i="9"/>
  <c r="K57" i="9"/>
  <c r="K13" i="9"/>
  <c r="K35" i="9"/>
  <c r="K106" i="9"/>
  <c r="K139" i="9"/>
  <c r="K95" i="9"/>
  <c r="J21" i="9"/>
  <c r="J76" i="9"/>
  <c r="J131" i="9"/>
  <c r="K166" i="9"/>
  <c r="J102" i="9"/>
  <c r="J146" i="9"/>
  <c r="J36" i="9"/>
  <c r="J35" i="9"/>
  <c r="J90" i="9"/>
  <c r="J79" i="9"/>
  <c r="J134" i="9"/>
  <c r="J141" i="9"/>
  <c r="J97" i="9"/>
  <c r="J9" i="9"/>
  <c r="K93" i="9"/>
  <c r="K137" i="9"/>
  <c r="K126" i="9"/>
  <c r="K60" i="9"/>
  <c r="K50" i="9"/>
  <c r="K72" i="9"/>
  <c r="K74" i="9"/>
  <c r="K8" i="9"/>
  <c r="K129" i="9"/>
  <c r="K19" i="9"/>
  <c r="K25" i="9"/>
  <c r="K157" i="9"/>
  <c r="K14" i="9"/>
  <c r="K36" i="9"/>
  <c r="K80" i="9"/>
  <c r="K58" i="9"/>
  <c r="K113" i="9"/>
  <c r="K146" i="9"/>
  <c r="K47" i="9"/>
  <c r="K102" i="9"/>
  <c r="K91" i="9"/>
  <c r="K69" i="9"/>
  <c r="K124" i="9"/>
  <c r="K135" i="9"/>
  <c r="K41" i="9"/>
  <c r="K9" i="9"/>
  <c r="K53" i="9"/>
  <c r="K75" i="9"/>
  <c r="K20" i="9"/>
  <c r="K97" i="9"/>
  <c r="K31" i="9"/>
  <c r="K42" i="9"/>
  <c r="K86" i="9"/>
  <c r="K130" i="9"/>
  <c r="K152" i="9"/>
  <c r="K119" i="9"/>
  <c r="K141" i="9"/>
  <c r="K64" i="9"/>
  <c r="K108" i="9"/>
  <c r="J84" i="9"/>
  <c r="J18" i="9"/>
  <c r="J150" i="9"/>
  <c r="J51" i="9"/>
  <c r="J95" i="9"/>
  <c r="J73" i="9"/>
  <c r="J128" i="9"/>
  <c r="J40" i="9"/>
  <c r="J106" i="9"/>
  <c r="J139" i="9"/>
  <c r="J7" i="9"/>
  <c r="J29" i="9"/>
  <c r="J117" i="9"/>
  <c r="J62" i="9"/>
  <c r="J149" i="9"/>
  <c r="J17" i="9"/>
  <c r="J61" i="9"/>
  <c r="J83" i="9"/>
  <c r="J6" i="9"/>
  <c r="J116" i="9"/>
  <c r="J138" i="9"/>
  <c r="J94" i="9"/>
  <c r="J28" i="9"/>
  <c r="J127" i="9"/>
  <c r="J72" i="9"/>
  <c r="J50" i="9"/>
  <c r="J39" i="9"/>
  <c r="J105" i="9"/>
  <c r="K11" i="9"/>
  <c r="K154" i="9"/>
  <c r="K143" i="9"/>
  <c r="K121" i="9"/>
  <c r="K110" i="9"/>
  <c r="K88" i="9"/>
  <c r="K77" i="9"/>
  <c r="K66" i="9"/>
  <c r="K55" i="9"/>
  <c r="K44" i="9"/>
  <c r="K33" i="9"/>
  <c r="K51" i="9"/>
  <c r="K18" i="9"/>
  <c r="K73" i="9"/>
  <c r="J32" i="9"/>
  <c r="J10" i="9"/>
  <c r="J54" i="9"/>
  <c r="J124" i="9"/>
  <c r="J113" i="9"/>
  <c r="J57" i="9"/>
  <c r="J101" i="9"/>
  <c r="J156" i="9"/>
  <c r="J86" i="9"/>
  <c r="J20" i="9"/>
  <c r="K115" i="9"/>
  <c r="K71" i="9"/>
  <c r="K104" i="9"/>
  <c r="K82" i="9"/>
  <c r="K94" i="9"/>
  <c r="K138" i="9"/>
  <c r="K116" i="9"/>
  <c r="K30" i="9"/>
  <c r="K85" i="9"/>
  <c r="K96" i="9"/>
  <c r="K140" i="9"/>
  <c r="I12" i="18"/>
  <c r="I12" i="6" s="1"/>
  <c r="I155" i="18"/>
  <c r="I155" i="6" s="1"/>
  <c r="I67" i="18"/>
  <c r="I67" i="6" s="1"/>
  <c r="I34" i="18"/>
  <c r="I34" i="6" s="1"/>
  <c r="I89" i="18"/>
  <c r="I89" i="6" s="1"/>
  <c r="I56" i="18"/>
  <c r="I56" i="6" s="1"/>
  <c r="I111" i="18"/>
  <c r="I111" i="6" s="1"/>
  <c r="I45" i="18"/>
  <c r="I45" i="6" s="1"/>
  <c r="I144" i="18"/>
  <c r="I144" i="6" s="1"/>
  <c r="I122" i="18"/>
  <c r="I122" i="6" s="1"/>
  <c r="B113" i="16"/>
  <c r="B113" i="12" s="1"/>
  <c r="I155" i="17"/>
  <c r="I155" i="13" s="1"/>
  <c r="B32" i="16"/>
  <c r="B32" i="12" s="1"/>
  <c r="B54" i="16"/>
  <c r="B54" i="12" s="1"/>
  <c r="M175" i="10"/>
  <c r="J162" i="11"/>
  <c r="J162" i="17" s="1"/>
  <c r="I168" i="11"/>
  <c r="I168" i="17" s="1"/>
  <c r="J18" i="11"/>
  <c r="J73" i="11"/>
  <c r="J62" i="11"/>
  <c r="J150" i="11"/>
  <c r="J29" i="11"/>
  <c r="J51" i="11"/>
  <c r="J40" i="11"/>
  <c r="J95" i="11"/>
  <c r="J139" i="11"/>
  <c r="J128" i="11"/>
  <c r="J106" i="11"/>
  <c r="J117" i="11"/>
  <c r="J84" i="11"/>
  <c r="J7" i="11"/>
  <c r="K113" i="11"/>
  <c r="K25" i="11"/>
  <c r="K157" i="11"/>
  <c r="K91" i="11"/>
  <c r="K146" i="11"/>
  <c r="K47" i="11"/>
  <c r="K58" i="11"/>
  <c r="K135" i="11"/>
  <c r="K124" i="11"/>
  <c r="K69" i="11"/>
  <c r="K80" i="11"/>
  <c r="K14" i="11"/>
  <c r="K36" i="11"/>
  <c r="K102" i="11"/>
  <c r="K151" i="11"/>
  <c r="K41" i="11"/>
  <c r="K140" i="11"/>
  <c r="K30" i="11"/>
  <c r="K107" i="11"/>
  <c r="K96" i="11"/>
  <c r="K8" i="11"/>
  <c r="K85" i="11"/>
  <c r="K118" i="11"/>
  <c r="K129" i="11"/>
  <c r="K74" i="11"/>
  <c r="K19" i="11"/>
  <c r="K63" i="11"/>
  <c r="K52" i="11"/>
  <c r="I167" i="10"/>
  <c r="J83" i="11"/>
  <c r="J138" i="11"/>
  <c r="J39" i="11"/>
  <c r="J94" i="11"/>
  <c r="J6" i="11"/>
  <c r="J50" i="11"/>
  <c r="J28" i="11"/>
  <c r="J127" i="11"/>
  <c r="J149" i="11"/>
  <c r="J72" i="11"/>
  <c r="J105" i="11"/>
  <c r="J61" i="11"/>
  <c r="J116" i="11"/>
  <c r="J17" i="11"/>
  <c r="J168" i="10"/>
  <c r="J168" i="16" s="1"/>
  <c r="I163" i="11"/>
  <c r="I163" i="17" s="1"/>
  <c r="J168" i="11"/>
  <c r="J168" i="17" s="1"/>
  <c r="K166" i="11"/>
  <c r="K166" i="17" s="1"/>
  <c r="J159" i="11"/>
  <c r="J159" i="17" s="1"/>
  <c r="K143" i="11"/>
  <c r="K121" i="11"/>
  <c r="K77" i="11"/>
  <c r="K55" i="11"/>
  <c r="K110" i="11"/>
  <c r="K154" i="11"/>
  <c r="K44" i="11"/>
  <c r="K66" i="11"/>
  <c r="K88" i="11"/>
  <c r="K33" i="11"/>
  <c r="K11" i="11"/>
  <c r="K153" i="11"/>
  <c r="K10" i="11"/>
  <c r="K76" i="11"/>
  <c r="K87" i="11"/>
  <c r="K21" i="11"/>
  <c r="K142" i="11"/>
  <c r="K32" i="11"/>
  <c r="K43" i="11"/>
  <c r="K109" i="11"/>
  <c r="K131" i="11"/>
  <c r="K65" i="11"/>
  <c r="K54" i="11"/>
  <c r="K98" i="11"/>
  <c r="K120" i="11"/>
  <c r="J163" i="11"/>
  <c r="J163" i="17" s="1"/>
  <c r="I161" i="11"/>
  <c r="I161" i="17" s="1"/>
  <c r="I167" i="11"/>
  <c r="I167" i="17" s="1"/>
  <c r="J164" i="11"/>
  <c r="J164" i="17" s="1"/>
  <c r="J167" i="11"/>
  <c r="J167" i="17" s="1"/>
  <c r="B14" i="16"/>
  <c r="B14" i="12" s="1"/>
  <c r="B135" i="16"/>
  <c r="B135" i="12" s="1"/>
  <c r="K156" i="11"/>
  <c r="K134" i="11"/>
  <c r="K112" i="11"/>
  <c r="K68" i="11"/>
  <c r="K46" i="11"/>
  <c r="K79" i="11"/>
  <c r="K145" i="11"/>
  <c r="K123" i="11"/>
  <c r="K101" i="11"/>
  <c r="K57" i="11"/>
  <c r="K13" i="11"/>
  <c r="K90" i="11"/>
  <c r="K24" i="11"/>
  <c r="K35" i="11"/>
  <c r="J161" i="10"/>
  <c r="J161" i="16" s="1"/>
  <c r="K53" i="11"/>
  <c r="K152" i="11"/>
  <c r="K86" i="11"/>
  <c r="K130" i="11"/>
  <c r="K119" i="11"/>
  <c r="K31" i="11"/>
  <c r="K141" i="11"/>
  <c r="K75" i="11"/>
  <c r="K64" i="11"/>
  <c r="K42" i="11"/>
  <c r="K20" i="11"/>
  <c r="K9" i="11"/>
  <c r="K108" i="11"/>
  <c r="K97" i="11"/>
  <c r="K148" i="11"/>
  <c r="K93" i="11"/>
  <c r="K16" i="11"/>
  <c r="K5" i="11"/>
  <c r="K126" i="11"/>
  <c r="K137" i="11"/>
  <c r="K49" i="11"/>
  <c r="K82" i="11"/>
  <c r="K60" i="11"/>
  <c r="K115" i="11"/>
  <c r="K27" i="11"/>
  <c r="K71" i="11"/>
  <c r="K104" i="11"/>
  <c r="K38" i="11"/>
  <c r="K159" i="10"/>
  <c r="K159" i="16" s="1"/>
  <c r="K166" i="10"/>
  <c r="K166" i="16" s="1"/>
  <c r="K161" i="10"/>
  <c r="K161" i="16" s="1"/>
  <c r="I160" i="11"/>
  <c r="I160" i="17" s="1"/>
  <c r="K168" i="10"/>
  <c r="K168" i="16" s="1"/>
  <c r="J159" i="10"/>
  <c r="J159" i="16" s="1"/>
  <c r="K162" i="10"/>
  <c r="K162" i="16" s="1"/>
  <c r="J163" i="10"/>
  <c r="J163" i="16" s="1"/>
  <c r="I162" i="10"/>
  <c r="I162" i="16" s="1"/>
  <c r="I160" i="10"/>
  <c r="I160" i="16" s="1"/>
  <c r="K143" i="10"/>
  <c r="K121" i="10"/>
  <c r="K77" i="10"/>
  <c r="K55" i="10"/>
  <c r="K154" i="10"/>
  <c r="K110" i="10"/>
  <c r="K44" i="10"/>
  <c r="K66" i="10"/>
  <c r="K88" i="10"/>
  <c r="K33" i="10"/>
  <c r="K11" i="10"/>
  <c r="I163" i="10"/>
  <c r="I163" i="16" s="1"/>
  <c r="K160" i="10"/>
  <c r="K160" i="16" s="1"/>
  <c r="K164" i="10"/>
  <c r="K164" i="16" s="1"/>
  <c r="K163" i="10"/>
  <c r="K163" i="16" s="1"/>
  <c r="J164" i="10"/>
  <c r="J164" i="16" s="1"/>
  <c r="J162" i="10"/>
  <c r="J162" i="16" s="1"/>
  <c r="J167" i="10"/>
  <c r="I168" i="10"/>
  <c r="I168" i="16" s="1"/>
  <c r="I164" i="10"/>
  <c r="I164" i="16" s="1"/>
  <c r="I159" i="10"/>
  <c r="I159" i="16" s="1"/>
  <c r="J160" i="10"/>
  <c r="J160" i="16" s="1"/>
  <c r="K167" i="10"/>
  <c r="I161" i="10"/>
  <c r="I161" i="16" s="1"/>
  <c r="B127" i="16"/>
  <c r="B127" i="12" s="1"/>
  <c r="I131" i="17"/>
  <c r="I131" i="13" s="1"/>
  <c r="I45" i="17"/>
  <c r="I45" i="13" s="1"/>
  <c r="I148" i="17"/>
  <c r="I148" i="13" s="1"/>
  <c r="I126" i="17"/>
  <c r="I98" i="17"/>
  <c r="I98" i="13" s="1"/>
  <c r="I27" i="17"/>
  <c r="I27" i="13" s="1"/>
  <c r="I49" i="17"/>
  <c r="I49" i="13" s="1"/>
  <c r="K172" i="11"/>
  <c r="I43" i="17"/>
  <c r="I43" i="13" s="1"/>
  <c r="I89" i="17"/>
  <c r="I89" i="13" s="1"/>
  <c r="I56" i="17"/>
  <c r="I56" i="13" s="1"/>
  <c r="I78" i="17"/>
  <c r="I78" i="13" s="1"/>
  <c r="I122" i="17"/>
  <c r="I122" i="13" s="1"/>
  <c r="I34" i="17"/>
  <c r="I34" i="13" s="1"/>
  <c r="I67" i="17"/>
  <c r="I67" i="13" s="1"/>
  <c r="I111" i="17"/>
  <c r="I111" i="13" s="1"/>
  <c r="I142" i="17"/>
  <c r="I142" i="13" s="1"/>
  <c r="I76" i="17"/>
  <c r="I76" i="13" s="1"/>
  <c r="I87" i="17"/>
  <c r="I87" i="13" s="1"/>
  <c r="I65" i="17"/>
  <c r="I65" i="13" s="1"/>
  <c r="I109" i="17"/>
  <c r="I109" i="13" s="1"/>
  <c r="I153" i="17"/>
  <c r="I153" i="13" s="1"/>
  <c r="I32" i="17"/>
  <c r="I32" i="13" s="1"/>
  <c r="I54" i="17"/>
  <c r="I54" i="13" s="1"/>
  <c r="I144" i="17"/>
  <c r="I144" i="13" s="1"/>
  <c r="I12" i="17"/>
  <c r="I12" i="13" s="1"/>
  <c r="I21" i="17"/>
  <c r="I21" i="13" s="1"/>
  <c r="I120" i="17"/>
  <c r="I120" i="13" s="1"/>
  <c r="K171" i="11"/>
  <c r="I5" i="17"/>
  <c r="I137" i="17"/>
  <c r="I104" i="17"/>
  <c r="I71" i="17"/>
  <c r="I71" i="13" s="1"/>
  <c r="I38" i="17"/>
  <c r="I115" i="17"/>
  <c r="I82" i="17"/>
  <c r="I145" i="9"/>
  <c r="I123" i="9"/>
  <c r="I79" i="9"/>
  <c r="I156" i="9"/>
  <c r="I112" i="9"/>
  <c r="I46" i="9"/>
  <c r="I134" i="9"/>
  <c r="I68" i="9"/>
  <c r="I35" i="9"/>
  <c r="I90" i="9"/>
  <c r="I101" i="9"/>
  <c r="I13" i="9"/>
  <c r="I24" i="9"/>
  <c r="I57" i="9"/>
  <c r="B124" i="16"/>
  <c r="B124" i="12" s="1"/>
  <c r="I102" i="9"/>
  <c r="I14" i="9"/>
  <c r="I47" i="9"/>
  <c r="I36" i="9"/>
  <c r="I25" i="9"/>
  <c r="I69" i="9"/>
  <c r="I146" i="9"/>
  <c r="I157" i="9"/>
  <c r="I124" i="9"/>
  <c r="I58" i="9"/>
  <c r="I113" i="9"/>
  <c r="I91" i="9"/>
  <c r="I80" i="9"/>
  <c r="I135" i="9"/>
  <c r="B86" i="16"/>
  <c r="B86" i="12" s="1"/>
  <c r="I141" i="9"/>
  <c r="I119" i="9"/>
  <c r="I75" i="9"/>
  <c r="I86" i="9"/>
  <c r="I53" i="9"/>
  <c r="I9" i="9"/>
  <c r="I97" i="9"/>
  <c r="I108" i="9"/>
  <c r="I31" i="9"/>
  <c r="I64" i="9"/>
  <c r="I130" i="9"/>
  <c r="I42" i="9"/>
  <c r="I20" i="9"/>
  <c r="I152" i="9"/>
  <c r="M173" i="10"/>
  <c r="I129" i="9"/>
  <c r="I41" i="9"/>
  <c r="I8" i="9"/>
  <c r="I140" i="9"/>
  <c r="I96" i="9"/>
  <c r="I107" i="9"/>
  <c r="I19" i="9"/>
  <c r="I118" i="9"/>
  <c r="I63" i="9"/>
  <c r="I30" i="9"/>
  <c r="I85" i="9"/>
  <c r="I52" i="9"/>
  <c r="I74" i="9"/>
  <c r="I151" i="9"/>
  <c r="J166" i="18"/>
  <c r="J45" i="18" s="1"/>
  <c r="J45" i="6" s="1"/>
  <c r="M172" i="10"/>
  <c r="I18" i="9"/>
  <c r="I7" i="9"/>
  <c r="I150" i="9"/>
  <c r="I117" i="9"/>
  <c r="I73" i="9"/>
  <c r="I62" i="9"/>
  <c r="I139" i="9"/>
  <c r="I51" i="9"/>
  <c r="I106" i="9"/>
  <c r="I128" i="9"/>
  <c r="I40" i="9"/>
  <c r="I95" i="9"/>
  <c r="I29" i="9"/>
  <c r="I84" i="9"/>
  <c r="I138" i="9"/>
  <c r="I149" i="9"/>
  <c r="I116" i="9"/>
  <c r="I127" i="9"/>
  <c r="I105" i="9"/>
  <c r="I6" i="9"/>
  <c r="I28" i="9"/>
  <c r="I72" i="9"/>
  <c r="I61" i="9"/>
  <c r="I94" i="9"/>
  <c r="I17" i="9"/>
  <c r="I39" i="9"/>
  <c r="I83" i="9"/>
  <c r="I50" i="9"/>
  <c r="B87" i="16"/>
  <c r="B87" i="12" s="1"/>
  <c r="I10" i="9"/>
  <c r="I120" i="9"/>
  <c r="I43" i="9"/>
  <c r="I98" i="9"/>
  <c r="I54" i="9"/>
  <c r="I109" i="9"/>
  <c r="I153" i="9"/>
  <c r="I32" i="9"/>
  <c r="I21" i="9"/>
  <c r="I76" i="9"/>
  <c r="I142" i="9"/>
  <c r="I65" i="9"/>
  <c r="I87" i="9"/>
  <c r="I131" i="9"/>
  <c r="I60" i="9"/>
  <c r="I148" i="9"/>
  <c r="I115" i="9"/>
  <c r="I49" i="9"/>
  <c r="I104" i="9"/>
  <c r="I93" i="9"/>
  <c r="I137" i="9"/>
  <c r="I27" i="9"/>
  <c r="I5" i="9"/>
  <c r="I71" i="9"/>
  <c r="I126" i="9"/>
  <c r="I16" i="9"/>
  <c r="I38" i="9"/>
  <c r="I82" i="9"/>
  <c r="B105" i="16"/>
  <c r="B105" i="12" s="1"/>
  <c r="B83" i="16"/>
  <c r="B83" i="12" s="1"/>
  <c r="B138" i="16"/>
  <c r="B138" i="12" s="1"/>
  <c r="M171" i="10"/>
  <c r="B50" i="16"/>
  <c r="B50" i="12" s="1"/>
  <c r="J122" i="17"/>
  <c r="J122" i="13" s="1"/>
  <c r="B157" i="17"/>
  <c r="B157" i="13" s="1"/>
  <c r="M179" i="11"/>
  <c r="B152" i="17"/>
  <c r="B152" i="13" s="1"/>
  <c r="M174" i="11"/>
  <c r="B156" i="17"/>
  <c r="B156" i="13" s="1"/>
  <c r="M178" i="11"/>
  <c r="B20" i="16"/>
  <c r="B20" i="12" s="1"/>
  <c r="B130" i="16"/>
  <c r="B130" i="12" s="1"/>
  <c r="B97" i="16"/>
  <c r="B97" i="12" s="1"/>
  <c r="B141" i="16"/>
  <c r="B141" i="12" s="1"/>
  <c r="B142" i="16"/>
  <c r="B142" i="12" s="1"/>
  <c r="B21" i="16"/>
  <c r="B21" i="12" s="1"/>
  <c r="B43" i="16"/>
  <c r="B43" i="12" s="1"/>
  <c r="B98" i="16"/>
  <c r="B98" i="12" s="1"/>
  <c r="B149" i="16"/>
  <c r="B149" i="12" s="1"/>
  <c r="B153" i="16"/>
  <c r="B153" i="12" s="1"/>
  <c r="B53" i="16"/>
  <c r="B58" i="16"/>
  <c r="B58" i="12" s="1"/>
  <c r="B25" i="16"/>
  <c r="B25" i="12" s="1"/>
  <c r="B64" i="16"/>
  <c r="B64" i="12" s="1"/>
  <c r="B31" i="16"/>
  <c r="B31" i="12" s="1"/>
  <c r="B6" i="16"/>
  <c r="B6" i="12" s="1"/>
  <c r="B91" i="16"/>
  <c r="B91" i="12" s="1"/>
  <c r="B69" i="16"/>
  <c r="B69" i="12" s="1"/>
  <c r="B131" i="16"/>
  <c r="B131" i="12" s="1"/>
  <c r="B152" i="16"/>
  <c r="B152" i="12" s="1"/>
  <c r="B102" i="16"/>
  <c r="B102" i="12" s="1"/>
  <c r="B134" i="16"/>
  <c r="B68" i="16"/>
  <c r="B68" i="12" s="1"/>
  <c r="B145" i="16"/>
  <c r="B145" i="12" s="1"/>
  <c r="B79" i="16"/>
  <c r="B79" i="12" s="1"/>
  <c r="B156" i="16"/>
  <c r="B156" i="12" s="1"/>
  <c r="B112" i="16"/>
  <c r="B112" i="12" s="1"/>
  <c r="B123" i="16"/>
  <c r="B123" i="12" s="1"/>
  <c r="B46" i="16"/>
  <c r="B46" i="12" s="1"/>
  <c r="B90" i="16"/>
  <c r="B90" i="12" s="1"/>
  <c r="B57" i="16"/>
  <c r="B57" i="12" s="1"/>
  <c r="B35" i="16"/>
  <c r="B35" i="12" s="1"/>
  <c r="B13" i="16"/>
  <c r="B13" i="12" s="1"/>
  <c r="B101" i="16"/>
  <c r="B101" i="12" s="1"/>
  <c r="M178" i="10"/>
  <c r="B120" i="16"/>
  <c r="B120" i="12" s="1"/>
  <c r="B61" i="16"/>
  <c r="B61" i="12" s="1"/>
  <c r="B39" i="16"/>
  <c r="B39" i="12" s="1"/>
  <c r="B108" i="16"/>
  <c r="B108" i="12" s="1"/>
  <c r="B146" i="16"/>
  <c r="B146" i="12" s="1"/>
  <c r="B119" i="16"/>
  <c r="B119" i="12" s="1"/>
  <c r="B47" i="16"/>
  <c r="B47" i="12" s="1"/>
  <c r="B42" i="16"/>
  <c r="B42" i="12" s="1"/>
  <c r="B72" i="16"/>
  <c r="B72" i="12" s="1"/>
  <c r="B109" i="16"/>
  <c r="B109" i="12" s="1"/>
  <c r="M174" i="10"/>
  <c r="M179" i="10"/>
  <c r="B159" i="18"/>
  <c r="B115" i="18" s="1"/>
  <c r="B115" i="6" s="1"/>
  <c r="B9" i="16"/>
  <c r="B9" i="12" s="1"/>
  <c r="B28" i="16"/>
  <c r="B28" i="12" s="1"/>
  <c r="B76" i="16"/>
  <c r="B76" i="12" s="1"/>
  <c r="B65" i="16"/>
  <c r="B65" i="12" s="1"/>
  <c r="B36" i="16"/>
  <c r="B36" i="12" s="1"/>
  <c r="B75" i="16"/>
  <c r="B75" i="12" s="1"/>
  <c r="B157" i="16"/>
  <c r="B157" i="12" s="1"/>
  <c r="B164" i="18"/>
  <c r="B162" i="18"/>
  <c r="B161" i="18"/>
  <c r="B168" i="18"/>
  <c r="B163" i="18"/>
  <c r="B167" i="18"/>
  <c r="B160" i="18"/>
  <c r="B108" i="17"/>
  <c r="B108" i="13" s="1"/>
  <c r="B102" i="17"/>
  <c r="B102" i="13" s="1"/>
  <c r="B141" i="17"/>
  <c r="B141" i="13" s="1"/>
  <c r="B9" i="17"/>
  <c r="B9" i="13" s="1"/>
  <c r="B42" i="17"/>
  <c r="B42" i="13" s="1"/>
  <c r="B69" i="17"/>
  <c r="B69" i="13" s="1"/>
  <c r="B97" i="17"/>
  <c r="B97" i="13" s="1"/>
  <c r="B135" i="17"/>
  <c r="B135" i="13" s="1"/>
  <c r="B130" i="17"/>
  <c r="B130" i="13" s="1"/>
  <c r="B20" i="17"/>
  <c r="B20" i="13" s="1"/>
  <c r="B53" i="17"/>
  <c r="B86" i="17"/>
  <c r="B86" i="13" s="1"/>
  <c r="B119" i="17"/>
  <c r="B119" i="13" s="1"/>
  <c r="B31" i="17"/>
  <c r="B31" i="13" s="1"/>
  <c r="B51" i="17"/>
  <c r="B51" i="13" s="1"/>
  <c r="B64" i="17"/>
  <c r="B64" i="13" s="1"/>
  <c r="B75" i="17"/>
  <c r="B75" i="13" s="1"/>
  <c r="B35" i="17"/>
  <c r="B35" i="13" s="1"/>
  <c r="B25" i="17"/>
  <c r="B25" i="13" s="1"/>
  <c r="B36" i="17"/>
  <c r="B36" i="13" s="1"/>
  <c r="B58" i="17"/>
  <c r="B58" i="13" s="1"/>
  <c r="B80" i="17"/>
  <c r="B80" i="13" s="1"/>
  <c r="B124" i="17"/>
  <c r="B124" i="13" s="1"/>
  <c r="B14" i="17"/>
  <c r="B14" i="13" s="1"/>
  <c r="B91" i="17"/>
  <c r="B91" i="13" s="1"/>
  <c r="B113" i="17"/>
  <c r="B113" i="13" s="1"/>
  <c r="B47" i="17"/>
  <c r="B47" i="13" s="1"/>
  <c r="B46" i="17"/>
  <c r="B46" i="13" s="1"/>
  <c r="B101" i="17"/>
  <c r="B101" i="13" s="1"/>
  <c r="B146" i="17"/>
  <c r="B146" i="13" s="1"/>
  <c r="B57" i="17"/>
  <c r="B57" i="13" s="1"/>
  <c r="B79" i="17"/>
  <c r="B79" i="13" s="1"/>
  <c r="B145" i="17"/>
  <c r="B145" i="13" s="1"/>
  <c r="B112" i="17"/>
  <c r="B112" i="13" s="1"/>
  <c r="B13" i="17"/>
  <c r="B13" i="13" s="1"/>
  <c r="B68" i="17"/>
  <c r="B68" i="13" s="1"/>
  <c r="B90" i="17"/>
  <c r="B90" i="13" s="1"/>
  <c r="B123" i="17"/>
  <c r="B123" i="13" s="1"/>
  <c r="B134" i="17"/>
  <c r="B118" i="17"/>
  <c r="B118" i="13" s="1"/>
  <c r="B115" i="13"/>
  <c r="B139" i="17"/>
  <c r="B139" i="13" s="1"/>
  <c r="B74" i="17"/>
  <c r="B74" i="13" s="1"/>
  <c r="B140" i="17"/>
  <c r="B140" i="13" s="1"/>
  <c r="B40" i="17"/>
  <c r="B40" i="13" s="1"/>
  <c r="B38" i="13"/>
  <c r="B84" i="17"/>
  <c r="B84" i="13" s="1"/>
  <c r="B82" i="13"/>
  <c r="B106" i="17"/>
  <c r="B106" i="13" s="1"/>
  <c r="B129" i="17"/>
  <c r="B129" i="13" s="1"/>
  <c r="B128" i="17"/>
  <c r="B128" i="13" s="1"/>
  <c r="B49" i="13"/>
  <c r="B117" i="17"/>
  <c r="B117" i="13" s="1"/>
  <c r="B71" i="13"/>
  <c r="B73" i="17"/>
  <c r="B73" i="13" s="1"/>
  <c r="B107" i="17"/>
  <c r="B107" i="13" s="1"/>
  <c r="B30" i="17"/>
  <c r="B30" i="13" s="1"/>
  <c r="B52" i="17"/>
  <c r="B52" i="13" s="1"/>
  <c r="B63" i="17"/>
  <c r="B63" i="13" s="1"/>
  <c r="B41" i="17"/>
  <c r="B41" i="13" s="1"/>
  <c r="B85" i="17"/>
  <c r="B85" i="13" s="1"/>
  <c r="B27" i="13"/>
  <c r="B62" i="17"/>
  <c r="B62" i="13" s="1"/>
  <c r="B8" i="17"/>
  <c r="B8" i="13" s="1"/>
  <c r="B7" i="17"/>
  <c r="B7" i="13" s="1"/>
  <c r="B29" i="17"/>
  <c r="B29" i="13" s="1"/>
  <c r="B54" i="13"/>
  <c r="B164" i="13" s="1"/>
  <c r="J168" i="9" l="1"/>
  <c r="K161" i="9"/>
  <c r="K164" i="9"/>
  <c r="J164" i="9"/>
  <c r="K162" i="9"/>
  <c r="J162" i="9"/>
  <c r="J163" i="9"/>
  <c r="J160" i="9"/>
  <c r="J161" i="9"/>
  <c r="K163" i="9"/>
  <c r="K167" i="9"/>
  <c r="K160" i="9"/>
  <c r="J167" i="9"/>
  <c r="J159" i="9"/>
  <c r="K168" i="9"/>
  <c r="K159" i="9"/>
  <c r="J144" i="18"/>
  <c r="J144" i="6" s="1"/>
  <c r="J89" i="18"/>
  <c r="J89" i="6" s="1"/>
  <c r="J67" i="18"/>
  <c r="J67" i="6" s="1"/>
  <c r="J111" i="18"/>
  <c r="J111" i="6" s="1"/>
  <c r="J34" i="18"/>
  <c r="J34" i="6" s="1"/>
  <c r="J122" i="18"/>
  <c r="J122" i="6" s="1"/>
  <c r="J78" i="18"/>
  <c r="J78" i="6" s="1"/>
  <c r="J155" i="18"/>
  <c r="J155" i="6" s="1"/>
  <c r="J12" i="18"/>
  <c r="J12" i="6" s="1"/>
  <c r="J56" i="18"/>
  <c r="J56" i="6" s="1"/>
  <c r="I157" i="17"/>
  <c r="I157" i="13" s="1"/>
  <c r="I141" i="17"/>
  <c r="I134" i="17"/>
  <c r="I134" i="13" s="1"/>
  <c r="J131" i="17"/>
  <c r="J131" i="13" s="1"/>
  <c r="I83" i="17"/>
  <c r="I83" i="13" s="1"/>
  <c r="I39" i="17"/>
  <c r="I39" i="13" s="1"/>
  <c r="I61" i="17"/>
  <c r="I61" i="13" s="1"/>
  <c r="K138" i="11"/>
  <c r="K39" i="11"/>
  <c r="K94" i="11"/>
  <c r="K149" i="11"/>
  <c r="K116" i="11"/>
  <c r="K105" i="11"/>
  <c r="K28" i="11"/>
  <c r="K83" i="11"/>
  <c r="K6" i="11"/>
  <c r="K72" i="11"/>
  <c r="K61" i="11"/>
  <c r="K50" i="11"/>
  <c r="K127" i="11"/>
  <c r="K17" i="11"/>
  <c r="K164" i="11"/>
  <c r="K164" i="17" s="1"/>
  <c r="J160" i="11"/>
  <c r="J160" i="17" s="1"/>
  <c r="K7" i="11"/>
  <c r="K51" i="11"/>
  <c r="K95" i="11"/>
  <c r="K139" i="11"/>
  <c r="K84" i="11"/>
  <c r="K150" i="11"/>
  <c r="K62" i="11"/>
  <c r="K128" i="11"/>
  <c r="K18" i="11"/>
  <c r="K40" i="11"/>
  <c r="K29" i="11"/>
  <c r="K73" i="11"/>
  <c r="K117" i="11"/>
  <c r="K106" i="11"/>
  <c r="K163" i="11"/>
  <c r="K163" i="17" s="1"/>
  <c r="K167" i="11"/>
  <c r="K167" i="17" s="1"/>
  <c r="K168" i="11"/>
  <c r="K168" i="17" s="1"/>
  <c r="J161" i="11"/>
  <c r="J161" i="17" s="1"/>
  <c r="K159" i="11"/>
  <c r="K159" i="17" s="1"/>
  <c r="K162" i="11"/>
  <c r="K162" i="17" s="1"/>
  <c r="I6" i="17"/>
  <c r="I6" i="13" s="1"/>
  <c r="I105" i="17"/>
  <c r="I105" i="13" s="1"/>
  <c r="I72" i="17"/>
  <c r="I72" i="13" s="1"/>
  <c r="I116" i="17"/>
  <c r="I116" i="13" s="1"/>
  <c r="I50" i="17"/>
  <c r="I50" i="13" s="1"/>
  <c r="I127" i="17"/>
  <c r="I129" i="17" s="1"/>
  <c r="I149" i="17"/>
  <c r="I149" i="13" s="1"/>
  <c r="I138" i="17"/>
  <c r="I138" i="13" s="1"/>
  <c r="I28" i="17"/>
  <c r="I28" i="13" s="1"/>
  <c r="J34" i="17"/>
  <c r="J34" i="13" s="1"/>
  <c r="I53" i="17"/>
  <c r="I130" i="17"/>
  <c r="I64" i="17"/>
  <c r="I164" i="13"/>
  <c r="I31" i="17"/>
  <c r="J153" i="17"/>
  <c r="J153" i="13" s="1"/>
  <c r="J109" i="17"/>
  <c r="J109" i="13" s="1"/>
  <c r="J65" i="17"/>
  <c r="J65" i="13" s="1"/>
  <c r="J142" i="17"/>
  <c r="J142" i="13" s="1"/>
  <c r="J10" i="17"/>
  <c r="J10" i="13" s="1"/>
  <c r="J32" i="17"/>
  <c r="J32" i="13" s="1"/>
  <c r="I36" i="17"/>
  <c r="I36" i="13" s="1"/>
  <c r="I38" i="13"/>
  <c r="I146" i="17"/>
  <c r="I146" i="13" s="1"/>
  <c r="I79" i="17"/>
  <c r="I79" i="13" s="1"/>
  <c r="I14" i="17"/>
  <c r="I14" i="13" s="1"/>
  <c r="I115" i="13"/>
  <c r="I97" i="17"/>
  <c r="J67" i="17"/>
  <c r="J67" i="13" s="1"/>
  <c r="I104" i="13"/>
  <c r="J111" i="17"/>
  <c r="J111" i="13" s="1"/>
  <c r="I46" i="17"/>
  <c r="I46" i="13" s="1"/>
  <c r="I75" i="17"/>
  <c r="I80" i="17"/>
  <c r="I80" i="13" s="1"/>
  <c r="I57" i="17"/>
  <c r="I57" i="13" s="1"/>
  <c r="I152" i="17"/>
  <c r="J98" i="17"/>
  <c r="J98" i="13" s="1"/>
  <c r="J56" i="17"/>
  <c r="J56" i="13" s="1"/>
  <c r="I82" i="13"/>
  <c r="I86" i="17"/>
  <c r="I69" i="17"/>
  <c r="I69" i="13" s="1"/>
  <c r="J21" i="17"/>
  <c r="J21" i="13" s="1"/>
  <c r="J12" i="17"/>
  <c r="J12" i="13" s="1"/>
  <c r="I108" i="17"/>
  <c r="I58" i="17"/>
  <c r="I58" i="13" s="1"/>
  <c r="J76" i="17"/>
  <c r="J76" i="13" s="1"/>
  <c r="J45" i="17"/>
  <c r="J45" i="13" s="1"/>
  <c r="I145" i="17"/>
  <c r="I145" i="13" s="1"/>
  <c r="I20" i="17"/>
  <c r="I124" i="17"/>
  <c r="I124" i="13" s="1"/>
  <c r="J120" i="17"/>
  <c r="J120" i="13" s="1"/>
  <c r="I42" i="17"/>
  <c r="I102" i="17"/>
  <c r="I102" i="13" s="1"/>
  <c r="J43" i="17"/>
  <c r="J43" i="13" s="1"/>
  <c r="J144" i="17"/>
  <c r="J144" i="13" s="1"/>
  <c r="I5" i="13"/>
  <c r="I135" i="17"/>
  <c r="I135" i="13" s="1"/>
  <c r="I47" i="17"/>
  <c r="I47" i="13" s="1"/>
  <c r="I119" i="17"/>
  <c r="I25" i="17"/>
  <c r="I25" i="13" s="1"/>
  <c r="J89" i="17"/>
  <c r="J89" i="13" s="1"/>
  <c r="J155" i="17"/>
  <c r="J155" i="13" s="1"/>
  <c r="I113" i="17"/>
  <c r="I113" i="13" s="1"/>
  <c r="J54" i="17"/>
  <c r="J54" i="13" s="1"/>
  <c r="J78" i="17"/>
  <c r="J78" i="13" s="1"/>
  <c r="I137" i="13"/>
  <c r="I9" i="17"/>
  <c r="I91" i="17"/>
  <c r="I91" i="13" s="1"/>
  <c r="J87" i="17"/>
  <c r="J87" i="13" s="1"/>
  <c r="I167" i="9"/>
  <c r="I167" i="18" s="1"/>
  <c r="I156" i="18" s="1"/>
  <c r="I163" i="9"/>
  <c r="I163" i="18" s="1"/>
  <c r="I31" i="18" s="1"/>
  <c r="I164" i="9"/>
  <c r="I164" i="18" s="1"/>
  <c r="I131" i="18" s="1"/>
  <c r="I131" i="6" s="1"/>
  <c r="I161" i="9"/>
  <c r="I161" i="18" s="1"/>
  <c r="I162" i="9"/>
  <c r="I162" i="18" s="1"/>
  <c r="I159" i="9"/>
  <c r="I159" i="18" s="1"/>
  <c r="I82" i="18" s="1"/>
  <c r="I160" i="9"/>
  <c r="I160" i="18" s="1"/>
  <c r="I39" i="18" s="1"/>
  <c r="I39" i="6" s="1"/>
  <c r="I168" i="9"/>
  <c r="I168" i="18" s="1"/>
  <c r="I157" i="18" s="1"/>
  <c r="I157" i="6" s="1"/>
  <c r="J131" i="16"/>
  <c r="J131" i="12" s="1"/>
  <c r="J120" i="16"/>
  <c r="J120" i="12" s="1"/>
  <c r="J89" i="16"/>
  <c r="J89" i="12" s="1"/>
  <c r="J54" i="16"/>
  <c r="J54" i="12" s="1"/>
  <c r="J109" i="16"/>
  <c r="J109" i="12" s="1"/>
  <c r="J34" i="16"/>
  <c r="J34" i="12" s="1"/>
  <c r="J56" i="16"/>
  <c r="J56" i="12" s="1"/>
  <c r="J32" i="16"/>
  <c r="J32" i="12" s="1"/>
  <c r="J12" i="16"/>
  <c r="J12" i="12" s="1"/>
  <c r="J21" i="16"/>
  <c r="J21" i="12" s="1"/>
  <c r="J98" i="16"/>
  <c r="J98" i="12" s="1"/>
  <c r="J145" i="16"/>
  <c r="J145" i="12" s="1"/>
  <c r="J123" i="16"/>
  <c r="J123" i="12" s="1"/>
  <c r="J79" i="16"/>
  <c r="J79" i="12" s="1"/>
  <c r="J156" i="16"/>
  <c r="J156" i="12" s="1"/>
  <c r="J134" i="16"/>
  <c r="J134" i="12" s="1"/>
  <c r="J112" i="16"/>
  <c r="J112" i="12" s="1"/>
  <c r="J68" i="16"/>
  <c r="J68" i="12" s="1"/>
  <c r="J46" i="16"/>
  <c r="J46" i="12" s="1"/>
  <c r="J90" i="16"/>
  <c r="J90" i="12" s="1"/>
  <c r="J57" i="16"/>
  <c r="J57" i="12" s="1"/>
  <c r="J35" i="16"/>
  <c r="J35" i="12" s="1"/>
  <c r="J13" i="16"/>
  <c r="J13" i="12" s="1"/>
  <c r="J101" i="16"/>
  <c r="J101" i="12" s="1"/>
  <c r="J45" i="16"/>
  <c r="J45" i="12" s="1"/>
  <c r="J60" i="17"/>
  <c r="B53" i="12"/>
  <c r="M170" i="9"/>
  <c r="B148" i="18"/>
  <c r="B148" i="6" s="1"/>
  <c r="B82" i="18"/>
  <c r="B82" i="6" s="1"/>
  <c r="B5" i="18"/>
  <c r="B5" i="6" s="1"/>
  <c r="B137" i="18"/>
  <c r="B137" i="6" s="1"/>
  <c r="B60" i="18"/>
  <c r="B60" i="6" s="1"/>
  <c r="B49" i="18"/>
  <c r="B49" i="6" s="1"/>
  <c r="B38" i="18"/>
  <c r="B38" i="6" s="1"/>
  <c r="B126" i="18"/>
  <c r="B126" i="6" s="1"/>
  <c r="B137" i="16"/>
  <c r="B38" i="16"/>
  <c r="B126" i="16"/>
  <c r="B5" i="16"/>
  <c r="M170" i="10"/>
  <c r="B82" i="16"/>
  <c r="B148" i="16"/>
  <c r="B71" i="16"/>
  <c r="B115" i="16"/>
  <c r="B49" i="16"/>
  <c r="B27" i="16"/>
  <c r="B104" i="16"/>
  <c r="B60" i="16"/>
  <c r="B101" i="18"/>
  <c r="B101" i="6" s="1"/>
  <c r="M178" i="9"/>
  <c r="B151" i="18"/>
  <c r="B151" i="6" s="1"/>
  <c r="M173" i="9"/>
  <c r="B50" i="18"/>
  <c r="B50" i="6" s="1"/>
  <c r="M171" i="9"/>
  <c r="B97" i="18"/>
  <c r="B97" i="6" s="1"/>
  <c r="M174" i="9"/>
  <c r="B128" i="18"/>
  <c r="B128" i="6" s="1"/>
  <c r="M172" i="9"/>
  <c r="B98" i="18"/>
  <c r="B98" i="6" s="1"/>
  <c r="M175" i="9"/>
  <c r="B102" i="18"/>
  <c r="B102" i="6" s="1"/>
  <c r="M179" i="9"/>
  <c r="B62" i="18"/>
  <c r="B62" i="6" s="1"/>
  <c r="B131" i="18"/>
  <c r="B131" i="6" s="1"/>
  <c r="B106" i="18"/>
  <c r="B106" i="6" s="1"/>
  <c r="B39" i="18"/>
  <c r="B39" i="6" s="1"/>
  <c r="B152" i="18"/>
  <c r="B152" i="6" s="1"/>
  <c r="B9" i="18"/>
  <c r="B9" i="6" s="1"/>
  <c r="B119" i="18"/>
  <c r="B119" i="6" s="1"/>
  <c r="B61" i="18"/>
  <c r="B61" i="6" s="1"/>
  <c r="B75" i="18"/>
  <c r="B75" i="6" s="1"/>
  <c r="B139" i="18"/>
  <c r="B139" i="6" s="1"/>
  <c r="B8" i="18"/>
  <c r="B8" i="6" s="1"/>
  <c r="B68" i="18"/>
  <c r="B68" i="6" s="1"/>
  <c r="B118" i="18"/>
  <c r="B118" i="6" s="1"/>
  <c r="B157" i="18"/>
  <c r="B157" i="6" s="1"/>
  <c r="B14" i="18"/>
  <c r="B14" i="6" s="1"/>
  <c r="B30" i="18"/>
  <c r="B30" i="6" s="1"/>
  <c r="B74" i="18"/>
  <c r="B74" i="6" s="1"/>
  <c r="B146" i="18"/>
  <c r="B146" i="6" s="1"/>
  <c r="B41" i="18"/>
  <c r="B41" i="6" s="1"/>
  <c r="B123" i="18"/>
  <c r="B123" i="6" s="1"/>
  <c r="B156" i="18"/>
  <c r="B156" i="6" s="1"/>
  <c r="B63" i="18"/>
  <c r="B63" i="6" s="1"/>
  <c r="B52" i="18"/>
  <c r="B52" i="6" s="1"/>
  <c r="B113" i="18"/>
  <c r="B113" i="6" s="1"/>
  <c r="B85" i="18"/>
  <c r="B85" i="6" s="1"/>
  <c r="B90" i="18"/>
  <c r="B90" i="6" s="1"/>
  <c r="B46" i="18"/>
  <c r="B46" i="6" s="1"/>
  <c r="B36" i="18"/>
  <c r="B36" i="6" s="1"/>
  <c r="B145" i="18"/>
  <c r="B145" i="6" s="1"/>
  <c r="B25" i="18"/>
  <c r="B25" i="6" s="1"/>
  <c r="B13" i="18"/>
  <c r="B13" i="6" s="1"/>
  <c r="B47" i="18"/>
  <c r="B47" i="6" s="1"/>
  <c r="B58" i="18"/>
  <c r="B58" i="6" s="1"/>
  <c r="B69" i="18"/>
  <c r="B69" i="6" s="1"/>
  <c r="B135" i="18"/>
  <c r="B135" i="6" s="1"/>
  <c r="B57" i="18"/>
  <c r="B57" i="6" s="1"/>
  <c r="B107" i="18"/>
  <c r="B107" i="6" s="1"/>
  <c r="B140" i="18"/>
  <c r="B140" i="6" s="1"/>
  <c r="B79" i="18"/>
  <c r="B79" i="6" s="1"/>
  <c r="B129" i="18"/>
  <c r="B129" i="6" s="1"/>
  <c r="B80" i="18"/>
  <c r="B80" i="6" s="1"/>
  <c r="B53" i="13"/>
  <c r="B163" i="13" s="1"/>
  <c r="B105" i="18"/>
  <c r="B105" i="6" s="1"/>
  <c r="B120" i="18"/>
  <c r="B120" i="6" s="1"/>
  <c r="B7" i="18"/>
  <c r="B7" i="6" s="1"/>
  <c r="B31" i="18"/>
  <c r="B31" i="6" s="1"/>
  <c r="B117" i="18"/>
  <c r="B117" i="6" s="1"/>
  <c r="B150" i="18"/>
  <c r="B150" i="6" s="1"/>
  <c r="B51" i="18"/>
  <c r="B51" i="6" s="1"/>
  <c r="B64" i="18"/>
  <c r="B64" i="6" s="1"/>
  <c r="B127" i="18"/>
  <c r="B127" i="6" s="1"/>
  <c r="B21" i="18"/>
  <c r="B21" i="6" s="1"/>
  <c r="B43" i="18"/>
  <c r="B43" i="6" s="1"/>
  <c r="B138" i="18"/>
  <c r="B138" i="6" s="1"/>
  <c r="B149" i="18"/>
  <c r="B149" i="6" s="1"/>
  <c r="B116" i="18"/>
  <c r="B116" i="6" s="1"/>
  <c r="B72" i="18"/>
  <c r="B72" i="6" s="1"/>
  <c r="B6" i="18"/>
  <c r="B6" i="6" s="1"/>
  <c r="B142" i="18"/>
  <c r="B142" i="6" s="1"/>
  <c r="B65" i="18"/>
  <c r="B65" i="6" s="1"/>
  <c r="B10" i="18"/>
  <c r="B10" i="6" s="1"/>
  <c r="B91" i="18"/>
  <c r="B91" i="6" s="1"/>
  <c r="B124" i="18"/>
  <c r="B124" i="6" s="1"/>
  <c r="B87" i="18"/>
  <c r="B87" i="6" s="1"/>
  <c r="B112" i="18"/>
  <c r="B112" i="6" s="1"/>
  <c r="B42" i="18"/>
  <c r="B42" i="6" s="1"/>
  <c r="B53" i="18"/>
  <c r="B20" i="18"/>
  <c r="B20" i="6" s="1"/>
  <c r="B134" i="18"/>
  <c r="B130" i="18"/>
  <c r="B130" i="6" s="1"/>
  <c r="B109" i="18"/>
  <c r="B109" i="6" s="1"/>
  <c r="B84" i="18"/>
  <c r="B84" i="6" s="1"/>
  <c r="B35" i="18"/>
  <c r="B35" i="6" s="1"/>
  <c r="B73" i="18"/>
  <c r="B73" i="6" s="1"/>
  <c r="B141" i="18"/>
  <c r="B141" i="6" s="1"/>
  <c r="B83" i="18"/>
  <c r="B83" i="6" s="1"/>
  <c r="B108" i="18"/>
  <c r="B108" i="6" s="1"/>
  <c r="B28" i="18"/>
  <c r="B28" i="6" s="1"/>
  <c r="B76" i="18"/>
  <c r="B76" i="6" s="1"/>
  <c r="B32" i="18"/>
  <c r="B32" i="6" s="1"/>
  <c r="B153" i="18"/>
  <c r="B153" i="6" s="1"/>
  <c r="B86" i="18"/>
  <c r="B86" i="6" s="1"/>
  <c r="B29" i="18"/>
  <c r="B29" i="6" s="1"/>
  <c r="B54" i="18"/>
  <c r="B54" i="6" s="1"/>
  <c r="B40" i="18"/>
  <c r="B40" i="6" s="1"/>
  <c r="B168" i="13"/>
  <c r="B104" i="18"/>
  <c r="B104" i="6" s="1"/>
  <c r="B71" i="18"/>
  <c r="B71" i="6" s="1"/>
  <c r="B27" i="18"/>
  <c r="B27" i="6" s="1"/>
  <c r="B168" i="12"/>
  <c r="B164" i="12"/>
  <c r="I30" i="17" l="1"/>
  <c r="I30" i="13" s="1"/>
  <c r="I62" i="17"/>
  <c r="I62" i="13" s="1"/>
  <c r="I84" i="17"/>
  <c r="I84" i="13" s="1"/>
  <c r="I63" i="17"/>
  <c r="I63" i="13" s="1"/>
  <c r="I35" i="18"/>
  <c r="I35" i="6" s="1"/>
  <c r="I116" i="18"/>
  <c r="I116" i="6" s="1"/>
  <c r="I134" i="18"/>
  <c r="I135" i="18"/>
  <c r="I135" i="6" s="1"/>
  <c r="I65" i="18"/>
  <c r="I65" i="6" s="1"/>
  <c r="I91" i="18"/>
  <c r="I91" i="6" s="1"/>
  <c r="I149" i="18"/>
  <c r="I149" i="6" s="1"/>
  <c r="I68" i="18"/>
  <c r="I68" i="6" s="1"/>
  <c r="I90" i="18"/>
  <c r="I90" i="6" s="1"/>
  <c r="I102" i="18"/>
  <c r="I102" i="6" s="1"/>
  <c r="I10" i="18"/>
  <c r="I10" i="6" s="1"/>
  <c r="I153" i="18"/>
  <c r="I153" i="6" s="1"/>
  <c r="I138" i="18"/>
  <c r="I138" i="6" s="1"/>
  <c r="I113" i="18"/>
  <c r="I113" i="6" s="1"/>
  <c r="I120" i="18"/>
  <c r="I120" i="6" s="1"/>
  <c r="I124" i="18"/>
  <c r="I124" i="6" s="1"/>
  <c r="I82" i="6"/>
  <c r="I156" i="6"/>
  <c r="I134" i="6"/>
  <c r="I115" i="18"/>
  <c r="I14" i="18"/>
  <c r="I14" i="6" s="1"/>
  <c r="I75" i="18"/>
  <c r="I6" i="18"/>
  <c r="I6" i="6" s="1"/>
  <c r="I142" i="18"/>
  <c r="I142" i="6" s="1"/>
  <c r="I38" i="18"/>
  <c r="I38" i="6" s="1"/>
  <c r="I25" i="18"/>
  <c r="I25" i="6" s="1"/>
  <c r="I83" i="18"/>
  <c r="I83" i="6" s="1"/>
  <c r="I57" i="18"/>
  <c r="I57" i="6" s="1"/>
  <c r="I86" i="18"/>
  <c r="I28" i="18"/>
  <c r="I28" i="6" s="1"/>
  <c r="I148" i="18"/>
  <c r="I80" i="18"/>
  <c r="I80" i="6" s="1"/>
  <c r="I76" i="18"/>
  <c r="I76" i="6" s="1"/>
  <c r="I101" i="18"/>
  <c r="I101" i="6" s="1"/>
  <c r="I141" i="18"/>
  <c r="I127" i="18"/>
  <c r="I54" i="18"/>
  <c r="I54" i="6" s="1"/>
  <c r="I137" i="18"/>
  <c r="I137" i="6" s="1"/>
  <c r="I9" i="18"/>
  <c r="I13" i="18"/>
  <c r="I13" i="6" s="1"/>
  <c r="I145" i="18"/>
  <c r="I145" i="6" s="1"/>
  <c r="I69" i="18"/>
  <c r="I69" i="6" s="1"/>
  <c r="I97" i="18"/>
  <c r="I50" i="18"/>
  <c r="I50" i="6" s="1"/>
  <c r="I60" i="18"/>
  <c r="I119" i="18"/>
  <c r="I109" i="18"/>
  <c r="I109" i="6" s="1"/>
  <c r="I123" i="18"/>
  <c r="I123" i="6" s="1"/>
  <c r="I47" i="18"/>
  <c r="I47" i="6" s="1"/>
  <c r="I108" i="18"/>
  <c r="I98" i="18"/>
  <c r="I98" i="6" s="1"/>
  <c r="I71" i="18"/>
  <c r="I64" i="18"/>
  <c r="I27" i="18"/>
  <c r="I27" i="6" s="1"/>
  <c r="I36" i="18"/>
  <c r="I36" i="6" s="1"/>
  <c r="I53" i="18"/>
  <c r="I72" i="18"/>
  <c r="I72" i="6" s="1"/>
  <c r="I21" i="18"/>
  <c r="I21" i="6" s="1"/>
  <c r="I126" i="18"/>
  <c r="I61" i="18"/>
  <c r="I61" i="6" s="1"/>
  <c r="I5" i="18"/>
  <c r="I20" i="18"/>
  <c r="I112" i="18"/>
  <c r="I112" i="6" s="1"/>
  <c r="I58" i="18"/>
  <c r="I58" i="6" s="1"/>
  <c r="I130" i="18"/>
  <c r="I43" i="18"/>
  <c r="I43" i="6" s="1"/>
  <c r="I104" i="18"/>
  <c r="I152" i="18"/>
  <c r="I49" i="18"/>
  <c r="I46" i="18"/>
  <c r="I46" i="6" s="1"/>
  <c r="I146" i="18"/>
  <c r="I146" i="6" s="1"/>
  <c r="I42" i="18"/>
  <c r="I32" i="18"/>
  <c r="I32" i="6" s="1"/>
  <c r="I105" i="18"/>
  <c r="I105" i="6" s="1"/>
  <c r="I79" i="18"/>
  <c r="I79" i="6" s="1"/>
  <c r="I87" i="18"/>
  <c r="I87" i="6" s="1"/>
  <c r="I85" i="17"/>
  <c r="I85" i="13" s="1"/>
  <c r="I13" i="17"/>
  <c r="I13" i="13" s="1"/>
  <c r="I112" i="17"/>
  <c r="I112" i="13" s="1"/>
  <c r="I35" i="17"/>
  <c r="I35" i="13" s="1"/>
  <c r="I90" i="17"/>
  <c r="I90" i="13" s="1"/>
  <c r="I123" i="17"/>
  <c r="I123" i="13" s="1"/>
  <c r="I156" i="17"/>
  <c r="I156" i="13" s="1"/>
  <c r="I41" i="17"/>
  <c r="I41" i="13" s="1"/>
  <c r="I68" i="17"/>
  <c r="I68" i="13" s="1"/>
  <c r="I101" i="17"/>
  <c r="I101" i="13" s="1"/>
  <c r="I40" i="17"/>
  <c r="I40" i="13" s="1"/>
  <c r="J116" i="17"/>
  <c r="J116" i="13" s="1"/>
  <c r="I51" i="17"/>
  <c r="I51" i="13" s="1"/>
  <c r="K161" i="11"/>
  <c r="K161" i="17" s="1"/>
  <c r="K160" i="11"/>
  <c r="K160" i="17" s="1"/>
  <c r="I8" i="17"/>
  <c r="I8" i="13" s="1"/>
  <c r="I52" i="17"/>
  <c r="I52" i="13" s="1"/>
  <c r="I29" i="17"/>
  <c r="I29" i="13" s="1"/>
  <c r="I107" i="17"/>
  <c r="I107" i="13" s="1"/>
  <c r="I106" i="17"/>
  <c r="I106" i="13" s="1"/>
  <c r="I7" i="17"/>
  <c r="I7" i="13" s="1"/>
  <c r="I128" i="17"/>
  <c r="I127" i="13" s="1"/>
  <c r="I151" i="17"/>
  <c r="I151" i="13" s="1"/>
  <c r="I139" i="17"/>
  <c r="I139" i="13" s="1"/>
  <c r="I140" i="17"/>
  <c r="I140" i="13" s="1"/>
  <c r="I73" i="17"/>
  <c r="I73" i="13" s="1"/>
  <c r="I118" i="17"/>
  <c r="I118" i="13" s="1"/>
  <c r="I150" i="17"/>
  <c r="I150" i="13" s="1"/>
  <c r="I74" i="17"/>
  <c r="I74" i="13" s="1"/>
  <c r="I117" i="17"/>
  <c r="I117" i="13" s="1"/>
  <c r="J82" i="17"/>
  <c r="J82" i="13" s="1"/>
  <c r="J115" i="17"/>
  <c r="J115" i="13" s="1"/>
  <c r="J49" i="17"/>
  <c r="J49" i="13" s="1"/>
  <c r="J148" i="17"/>
  <c r="J126" i="17"/>
  <c r="J28" i="17"/>
  <c r="J28" i="13" s="1"/>
  <c r="J6" i="17"/>
  <c r="J6" i="13" s="1"/>
  <c r="J60" i="13"/>
  <c r="J38" i="17"/>
  <c r="J27" i="17"/>
  <c r="I168" i="13"/>
  <c r="J5" i="17"/>
  <c r="J104" i="17"/>
  <c r="J137" i="17"/>
  <c r="J164" i="13"/>
  <c r="J71" i="17"/>
  <c r="J157" i="16"/>
  <c r="J157" i="12" s="1"/>
  <c r=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"12" s="1"/>
  <c r="J75" i="16"/>
  <c r="J65" i="16"/>
  <c r="J65" i="12" s="1"/>
  <c r="J122" i="16"/>
  <c r="J122" i="12" s="1"/>
  <c r="J87" i="16"/>
  <c r="J87" i="12" s="1"/>
  <c r="J76" i="16"/>
  <c r="J76" i="12" s="1"/>
  <c r="J153" i="16"/>
  <c r="J153" i="12" s="1"/>
  <c r="J67" i="16"/>
  <c r="J67" i="12" s="1"/>
  <c r="J50" i="16"/>
  <c r="J50" i="12" s="1"/>
  <c r="J146" i="16"/>
  <c r="J146" i="12" s="1"/>
  <c r="J31" i="16"/>
  <c r="J83" i="16"/>
  <c r="J83" i="12" s="1"/>
  <c r="J135" i="16"/>
  <c r="J135" i="12" s="1"/>
  <c r="J155" i="16"/>
  <c r="J155" i="12" s="1"/>
  <c r="J138" i="16"/>
  <c r="J138" i="12" s="1"/>
  <c r="J25" i="16"/>
  <c r="J25" i="12" s="1"/>
  <c r="J102" i="16"/>
  <c r="J102" i="12" s="1"/>
  <c r="J20" i="16"/>
  <c r="J10" i="16"/>
  <c r="J10" i="12" s="1"/>
  <c r="J111" i="16"/>
  <c r="J111" i="12" s="1"/>
  <c r="J142" i="16"/>
  <c r="J142" i="12" s="1"/>
  <c r="J43" i="16"/>
  <c r="J43" i="12" s="1"/>
  <c r="J91" i="16"/>
  <c r="J91" i="12" s="1"/>
  <c r="J152" i="16"/>
  <c r="J86" i="17"/>
  <c r="J146" i="17"/>
  <c r="J146" i="13" s="1"/>
  <c r="J112" i="17"/>
  <c r="J112" i="13" s="1"/>
  <c r="B163" i="12"/>
  <c r="B70" i="6"/>
  <c r="B114" i="6"/>
  <c r="B147" i="6"/>
  <c r="B136" i="6"/>
  <c r="B103" i="6"/>
  <c r="B81" i="6"/>
  <c r="B59" i="6"/>
  <c r="B26" i="6"/>
  <c r="B37" i="6"/>
  <c r="B4" i="6"/>
  <c r="B106" i="16"/>
  <c r="B106" i="12" s="1"/>
  <c r="B104" i="12"/>
  <c r="B107" i="16"/>
  <c r="B107" i="12" s="1"/>
  <c r="B71" i="12"/>
  <c r="B73" i="16"/>
  <c r="B73" i="12" s="1"/>
  <c r="B74" i="16"/>
  <c r="B74" i="12" s="1"/>
  <c r="B5" i="12"/>
  <c r="B7" i="16"/>
  <c r="B7" i="12" s="1"/>
  <c r="B8" i="16"/>
  <c r="B8" i="12" s="1"/>
  <c r="B148" i="12"/>
  <c r="B150" i="16"/>
  <c r="B150" i="12" s="1"/>
  <c r="B151" i="16"/>
  <c r="B151" i="12" s="1"/>
  <c r="B60" i="12"/>
  <c r="B63" i="16"/>
  <c r="B63" i="12" s="1"/>
  <c r="B62" i="16"/>
  <c r="B62" i="12" s="1"/>
  <c r="B115" i="12"/>
  <c r="B118" i="16"/>
  <c r="B118" i="12" s="1"/>
  <c r="B117" i="16"/>
  <c r="B117" i="12" s="1"/>
  <c r="B137" i="12"/>
  <c r="B140" i="16"/>
  <c r="B140" i="12" s="1"/>
  <c r="B139" i="16"/>
  <c r="B139" i="12" s="1"/>
  <c r="B27" i="12"/>
  <c r="B29" i="16"/>
  <c r="B29" i="12" s="1"/>
  <c r="B30" i="16"/>
  <c r="B30" i="12" s="1"/>
  <c r="B126" i="12"/>
  <c r="B129" i="16"/>
  <c r="B129" i="12" s="1"/>
  <c r="B128" i="16"/>
  <c r="B128" i="12" s="1"/>
  <c r="B49" i="12"/>
  <c r="B52" i="16"/>
  <c r="B51" i="16"/>
  <c r="B51" i="12" s="1"/>
  <c r="B82" i="12"/>
  <c r="B84" i="16"/>
  <c r="B84" i="12" s="1"/>
  <c r="B85" i="16"/>
  <c r="B85" i="12" s="1"/>
  <c r="B38" i="12"/>
  <c r="B41" i="16"/>
  <c r="B41" i="12" s="1"/>
  <c r="B40" i="16"/>
  <c r="B40" i="12" s="1"/>
  <c r="B134" i="6"/>
  <c r="B125" i="6" s="1"/>
  <c r="B53" i="6"/>
  <c r="B48" i="6" s="1"/>
  <c r="B168" i="6"/>
  <c r="I31" i="13" l="1"/>
  <c r="I151" i="18"/>
  <c r="I151" i="6" s="1"/>
  <c r="I53" i="13"/>
  <c r="I64" i="13"/>
  <c r="I86" i="13"/>
  <c r="I118" i="18"/>
  <c r="I118" i="6" s="1"/>
  <c r="I7" i="18"/>
  <c r="I7" i="6" s="1"/>
  <c r="I52" i="18"/>
  <c r="I84" i="18"/>
  <c r="I84" i="6" s="1"/>
  <c r="I74" i="18"/>
  <c r="I74" i="6" s="1"/>
  <c r="I128" i="18"/>
  <c r="I128" i="6" s="1"/>
  <c r="I164" i="6"/>
  <c r="I168" i="6"/>
  <c r="I104" i="6"/>
  <c r="I107" i="18"/>
  <c r="I107" i="6" s="1"/>
  <c r="I106" i="18"/>
  <c r="I106" i="6" s="1"/>
  <c r="I30" i="18"/>
  <c r="I30" i="6" s="1"/>
  <c r="I41" i="18"/>
  <c r="I41" i="6" s="1"/>
  <c r="I5" i="6"/>
  <c r="I8" i="18"/>
  <c r="I8" i="6" s="1"/>
  <c r="I60" i="6"/>
  <c r="I62" i="18"/>
  <c r="I62" i="6" s="1"/>
  <c r="I29" i="18"/>
  <c r="I29" i="6" s="1"/>
  <c r="I148" i="6"/>
  <c r="I150" i="18"/>
  <c r="I150" i="6" s="1"/>
  <c r="I129" i="18"/>
  <c r="I139" i="18"/>
  <c r="I139" i="6" s="1"/>
  <c r="I85" i="18"/>
  <c r="I85" i="6" s="1"/>
  <c r="I115" i="6"/>
  <c r="I117" i="18"/>
  <c r="I117" i="6" s="1"/>
  <c r="I49" i="6"/>
  <c r="I51" i="18"/>
  <c r="I51" i="6" s="1"/>
  <c r="I71" i="6"/>
  <c r="I73" i="18"/>
  <c r="I73" i="6" s="1"/>
  <c r="I40" i="18"/>
  <c r="I40" i="6" s="1"/>
  <c r="I63" i="18"/>
  <c r="I63" i="6" s="1"/>
  <c r="I140" i="18"/>
  <c r="I140" i="6" s="1"/>
  <c r="I108" i="13"/>
  <c r="I42" i="13"/>
  <c r="J127" i="17"/>
  <c r="J128" i="17" s="1"/>
  <c r="J61" i="17"/>
  <c r="J61" i="13" s="1"/>
  <c r="J105" i="17"/>
  <c r="J105" i="13" s="1"/>
  <c r="J83" i="17"/>
  <c r="J83" i="13" s="1"/>
  <c r="J50" i="17"/>
  <c r="J52" i="17" s="1"/>
  <c r="J52" i="13" s="1"/>
  <c r="J39" i="17"/>
  <c r="J39" i="13" s="1"/>
  <c r="J138" i="17"/>
  <c r="J138" i="13" s="1"/>
  <c r="J72" i="17"/>
  <c r="J72" i="13" s="1"/>
  <c r="J149" i="17"/>
  <c r="J149" i="13" s="1"/>
  <c r="I9" i="13"/>
  <c r="I141" i="13"/>
  <c r="I129" i="13"/>
  <c r="I128" i="13"/>
  <c r="I133" i="13"/>
  <c r="I126" i="13"/>
  <c r="I152" i="13"/>
  <c r="I119" i="13"/>
  <c r="I75" i="13"/>
  <c r="J118" i="17"/>
  <c r="J118" i="13" s="1"/>
  <c r="J157" i="17"/>
  <c r="J157" i="13" s="1"/>
  <c r="J145" i="17"/>
  <c r="J145" i="13" s="1"/>
  <c r="J57" i="17"/>
  <c r="J57" i="13" s="1"/>
  <c r="J58" i="17"/>
  <c r="J58" i="13" s="1"/>
  <c r="J35" i="17"/>
  <c r="J35" i="13" s="1"/>
  <c r="J25" i="17"/>
  <c r="J25" i="13" s="1"/>
  <c r="J148" i="13"/>
  <c r="J68" i="17"/>
  <c r="J68" i="13" s="1"/>
  <c r="J14" i="17"/>
  <c r="J14" i="13" s="1"/>
  <c r="J90" i="17"/>
  <c r="J90" i="13" s="1"/>
  <c r="J46" i="17"/>
  <c r="J46" i="13" s="1"/>
  <c r="J36" i="17"/>
  <c r="J36" i="13" s="1"/>
  <c r="J117" i="17"/>
  <c r="J117" i="13" s="1"/>
  <c r="J141" i="17"/>
  <c r="J71" i="13"/>
  <c r="J137" i="13"/>
  <c r="J97" i="17"/>
  <c r="J9" i="17"/>
  <c r="J5" i="13"/>
  <c r="J7" i="17"/>
  <c r="J7" i="13" s="1"/>
  <c r="J8" i="17"/>
  <c r="J8" i="13" s="1"/>
  <c r="J27" i="13"/>
  <c r="J30" i="17"/>
  <c r="J30" i="13" s="1"/>
  <c r="J29" i="17"/>
  <c r="J29" i="13" s="1"/>
  <c r="J80" i="17"/>
  <c r="J80" i="13" s="1"/>
  <c r="J75" i="17"/>
  <c r="J47" i="17"/>
  <c r="J47" i="13" s="1"/>
  <c r="J20" i="17"/>
  <c r="J119" i="17"/>
  <c r="J64" i="17"/>
  <c r="J101" i="17"/>
  <c r="J101" i="13" s="1"/>
  <c r="J134" i="17"/>
  <c r="J134" i="13" s="1"/>
  <c r="J113" i="17"/>
  <c r="J113" i="13" s="1"/>
  <c r="J108" i="17"/>
  <c r="J156" i="17"/>
  <c r="J156" i="13" s="1"/>
  <c r="J124" i="17"/>
  <c r="J124" i="13" s="1"/>
  <c r="J38" i="13"/>
  <c r="J31" i="17"/>
  <c r="J130" i="17"/>
  <c r="J79" i="17"/>
  <c r="J79" i="13" s="1"/>
  <c r="J69" i="17"/>
  <c r="J69" i="13" s="1"/>
  <c r="J104" i="13"/>
  <c r="J42" i="17"/>
  <c r="J91" i="17"/>
  <c r="J91" i="13" s="1"/>
  <c r="J53" i="17"/>
  <c r="J102" i="17"/>
  <c r="J102" i="13" s="1"/>
  <c r="J152" i="17"/>
  <c r="J13" i="17"/>
  <c r="J13" i="13" s="1"/>
  <c r="J135" i="17"/>
  <c r="J135" i="13" s="1"/>
  <c r="J123" i="17"/>
  <c r="J123" i="13" s="1"/>
  <c r="J164" i="12"/>
  <c r="J168" i="18"/>
  <c r="J113" i="18" s="1"/>
  <c r="J113" i="6" s="1"/>
  <c r="J159" i="18"/>
  <c r="J38" i="18" s="1"/>
  <c r="J167" i="18"/>
  <c r="J123" i="18" s="1"/>
  <c r="J123" i="6" s="1"/>
  <c r="J160" i="18"/>
  <c r="J72" i="18" s="1"/>
  <c r="J72" i="6" s="1"/>
  <c r="J161" i="18"/>
  <c r="J162" i="18"/>
  <c r="J163" i="18"/>
  <c r="J119" i="18" s="1"/>
  <c r="J164" i="18"/>
  <c r="J142" i="18" s="1"/>
  <c r="J142" i="6" s="1"/>
  <c r="J64" i="16"/>
  <c r="J105" i="16"/>
  <c r="J105" i="12" s="1"/>
  <c r="J149" i="16"/>
  <c r="J149" i="12" s="1"/>
  <c r="J97" i="16"/>
  <c r="J72" i="16"/>
  <c r="J72" i="12" s="1"/>
  <c r="J86" i="16"/>
  <c r="J47" i="16"/>
  <c r="J47" i="12" s="1"/>
  <c r="J127" i="16"/>
  <c r="J80" i="16"/>
  <c r="J80" i="12" s="1"/>
  <c r="J113" i="16"/>
  <c r="J113" i="12" s="1"/>
  <c r="J9" i="16"/>
  <c r="J124" i="16"/>
  <c r="J124" i="12" s="1"/>
  <c r="J130" i="16"/>
  <c r="J141" i="16"/>
  <c r="J61" i="16"/>
  <c r="J61" i="12" s="1"/>
  <c r="J27" i="16"/>
  <c r="J53" i="16"/>
  <c r="J39" i="16"/>
  <c r="J39" i="12" s="1"/>
  <c r="J126" i="16"/>
  <c r="J108" i="16"/>
  <c r="J36" i="16"/>
  <c r="J36" i="12" s="1"/>
  <c r="J58" i="16"/>
  <c r="J58" i="12" s="1"/>
  <c r="J116" i="16"/>
  <c r="J116" i="12" s="1"/>
  <c r="J119" i="16"/>
  <c r="J42" i="16"/>
  <c r="J115" i="16"/>
  <c r="J115" i="12" s="1"/>
  <c r="B52" i="12"/>
  <c r="I152" i="6" l="1"/>
  <c r="I9" i="6"/>
  <c r="I119" i="6"/>
  <c r="I133" i="6"/>
  <c r="I86" i="6"/>
  <c r="I52" i="6"/>
  <c r="I53" i="6" s="1"/>
  <c r="J50" i="13"/>
  <c r="J129" i="17"/>
  <c r="J129" i="13" s="1"/>
  <c r="J150" i="17"/>
  <c r="J150" i="13" s="1"/>
  <c r="I75" i="6"/>
  <c r="J139" i="17"/>
  <c r="J139" i="13" s="1"/>
  <c r="J106" i="17"/>
  <c r="J106" i="13" s="1"/>
  <c r="J107" i="17"/>
  <c r="J107" i="13" s="1"/>
  <c r="J140" i="17"/>
  <c r="J140" i="13" s="1"/>
  <c r="I108" i="6"/>
  <c r="J62" i="17"/>
  <c r="J62" i="13" s="1"/>
  <c r="J14" i="18"/>
  <c r="J14" i="6" s="1"/>
  <c r="I42" i="6"/>
  <c r="J80" i="18"/>
  <c r="J80" i="6" s="1"/>
  <c r="J39" i="18"/>
  <c r="J39" i="6" s="1"/>
  <c r="J86" i="18"/>
  <c r="J46" i="18"/>
  <c r="J46" i="6" s="1"/>
  <c r="J137" i="18"/>
  <c r="J137" i="6" s="1"/>
  <c r="J31" i="18"/>
  <c r="J112" i="18"/>
  <c r="J112" i="6" s="1"/>
  <c r="J131" i="18"/>
  <c r="J131" i="6" s="1"/>
  <c r="J141" i="18"/>
  <c r="J43" i="18"/>
  <c r="J43" i="6" s="1"/>
  <c r="J49" i="18"/>
  <c r="J49" i="6" s="1"/>
  <c r="J71" i="18"/>
  <c r="J71" i="6" s="1"/>
  <c r="J36" i="18"/>
  <c r="J36" i="6" s="1"/>
  <c r="J127" i="18"/>
  <c r="J102" i="18"/>
  <c r="J102" i="6" s="1"/>
  <c r="J28" i="18"/>
  <c r="J28" i="6" s="1"/>
  <c r="J10" i="18"/>
  <c r="J10" i="6" s="1"/>
  <c r="I64" i="6"/>
  <c r="J6" i="18"/>
  <c r="J6" i="6" s="1"/>
  <c r="J50" i="18"/>
  <c r="J50" i="6" s="1"/>
  <c r="J38" i="6"/>
  <c r="I126" i="6"/>
  <c r="J130" i="18"/>
  <c r="J148" i="18"/>
  <c r="J148" i="6" s="1"/>
  <c r="J109" i="18"/>
  <c r="J109" i="6" s="1"/>
  <c r="J83" i="18"/>
  <c r="J83" i="6" s="1"/>
  <c r="J90" i="18"/>
  <c r="J90" i="6" s="1"/>
  <c r="J152" i="18"/>
  <c r="J116" i="18"/>
  <c r="J116" i="6" s="1"/>
  <c r="J42" i="18"/>
  <c r="J76" i="18"/>
  <c r="J76" i="6" s="1"/>
  <c r="J91" i="18"/>
  <c r="J91" i="6" s="1"/>
  <c r="J149" i="18"/>
  <c r="J149" i="6" s="1"/>
  <c r="J101" i="18"/>
  <c r="J101" i="6" s="1"/>
  <c r="J82" i="18"/>
  <c r="J82" i="6" s="1"/>
  <c r="J156" i="18"/>
  <c r="J97" i="18"/>
  <c r="J5" i="18"/>
  <c r="J120" i="18"/>
  <c r="J120" i="6" s="1"/>
  <c r="J135" i="18"/>
  <c r="J135" i="6" s="1"/>
  <c r="J79" i="18"/>
  <c r="J79" i="6" s="1"/>
  <c r="J27" i="18"/>
  <c r="J35" i="18"/>
  <c r="J35" i="6" s="1"/>
  <c r="J75" i="18"/>
  <c r="J115" i="18"/>
  <c r="J146" i="18"/>
  <c r="J146" i="6" s="1"/>
  <c r="J138" i="18"/>
  <c r="J138" i="6" s="1"/>
  <c r="J57" i="18"/>
  <c r="J57" i="6" s="1"/>
  <c r="J60" i="18"/>
  <c r="J60" i="6" s="1"/>
  <c r="J9" i="18"/>
  <c r="J126" i="18"/>
  <c r="J54" i="18"/>
  <c r="J54" i="6" s="1"/>
  <c r="J25" i="18"/>
  <c r="J25" i="6" s="1"/>
  <c r="J105" i="18"/>
  <c r="J105" i="6" s="1"/>
  <c r="J13" i="18"/>
  <c r="J13" i="6" s="1"/>
  <c r="J21" i="18"/>
  <c r="J21" i="6" s="1"/>
  <c r="J68" i="18"/>
  <c r="J68" i="6" s="1"/>
  <c r="J20" i="18"/>
  <c r="J32" i="18"/>
  <c r="J32" i="6" s="1"/>
  <c r="J157" i="18"/>
  <c r="J157" i="6" s="1"/>
  <c r="J61" i="18"/>
  <c r="J61" i="6" s="1"/>
  <c r="J134" i="18"/>
  <c r="J65" i="18"/>
  <c r="J65" i="6" s="1"/>
  <c r="I127" i="6"/>
  <c r="I129" i="6"/>
  <c r="I130" i="6" s="1"/>
  <c r="I132" i="6"/>
  <c r="J53" i="18"/>
  <c r="J104" i="18"/>
  <c r="J87" i="18"/>
  <c r="J87" i="6" s="1"/>
  <c r="J124" i="18"/>
  <c r="J124" i="6" s="1"/>
  <c r="J145" i="18"/>
  <c r="J145" i="6" s="1"/>
  <c r="J98" i="18"/>
  <c r="J98" i="6" s="1"/>
  <c r="I141" i="6"/>
  <c r="I31" i="6"/>
  <c r="J64" i="18"/>
  <c r="J153" i="18"/>
  <c r="J153" i="6" s="1"/>
  <c r="J69" i="18"/>
  <c r="J69" i="6" s="1"/>
  <c r="J108" i="18"/>
  <c r="J58" i="18"/>
  <c r="J58" i="6" s="1"/>
  <c r="J47" i="18"/>
  <c r="J47" i="6" s="1"/>
  <c r="J41" i="17"/>
  <c r="J41" i="13" s="1"/>
  <c r="J40" i="17"/>
  <c r="J40" i="13" s="1"/>
  <c r="J51" i="17"/>
  <c r="J51" i="13" s="1"/>
  <c r="J53" i="13" s="1"/>
  <c r="J151" i="17"/>
  <c r="J151" i="13" s="1"/>
  <c r="J63" i="17"/>
  <c r="J63" i="13" s="1"/>
  <c r="I130" i="13"/>
  <c r="J84" i="17"/>
  <c r="J84" i="13" s="1"/>
  <c r="J73" i="17"/>
  <c r="J73" i="13" s="1"/>
  <c r="J74" i="17"/>
  <c r="J74" i="13" s="1"/>
  <c r="J85" i="17"/>
  <c r="J85" i="13" s="1"/>
  <c r="J119" i="13"/>
  <c r="J31" i="13"/>
  <c r="J128" i="13"/>
  <c r="J168" i="13"/>
  <c r="J9" i="13"/>
  <c r="J168" i="12"/>
  <c r="J129" i="16"/>
  <c r="J29" i="16"/>
  <c r="J29" i="12" s="1"/>
  <c r="J27" i="12"/>
  <c r="J118" i="16"/>
  <c r="J118" i="12" s="1"/>
  <c r="J117" i="16"/>
  <c r="J117" i="12" s="1"/>
  <c r="J82" i="16"/>
  <c r="J82" i="12" s="1"/>
  <c r="J49" i="16"/>
  <c r="J49" i="12" s="1"/>
  <c r="J30" i="16"/>
  <c r="J30" i="12" s="1"/>
  <c r="J128" i="16"/>
  <c r="J137" i="16"/>
  <c r="J137" i="12" s="1"/>
  <c r="J71" i="16"/>
  <c r="J71" i="12" s="1"/>
  <c r="J104" i="16"/>
  <c r="J104" i="12" s="1"/>
  <c r="J60" i="16"/>
  <c r="J60" i="12" s="1"/>
  <c r="J5" i="16"/>
  <c r="J5" i="12" s="1"/>
  <c r="J148" i="16"/>
  <c r="J148" i="12" s="1"/>
  <c r="J38" i="16"/>
  <c r="J38" i="12" s="1"/>
  <c r="B163" i="6"/>
  <c r="B164" i="6"/>
  <c r="J74" i="18" l="1"/>
  <c r="J74" i="6" s="1"/>
  <c r="J41" i="18"/>
  <c r="J41" i="6" s="1"/>
  <c r="J152" i="13"/>
  <c r="J141" i="13"/>
  <c r="J127" i="13"/>
  <c r="J133" i="13"/>
  <c r="J126" i="13"/>
  <c r="J108" i="13"/>
  <c r="J64" i="13"/>
  <c r="J150" i="18"/>
  <c r="J150" i="6" s="1"/>
  <c r="J128" i="18"/>
  <c r="J128" i="6" s="1"/>
  <c r="J40" i="18"/>
  <c r="J40" i="6" s="1"/>
  <c r="J42" i="13"/>
  <c r="J7" i="18"/>
  <c r="J7" i="6" s="1"/>
  <c r="J129" i="18"/>
  <c r="J117" i="18"/>
  <c r="J117" i="6" s="1"/>
  <c r="J51" i="18"/>
  <c r="J51" i="6" s="1"/>
  <c r="J52" i="18"/>
  <c r="J29" i="18"/>
  <c r="J29" i="6" s="1"/>
  <c r="J73" i="18"/>
  <c r="J73" i="6" s="1"/>
  <c r="J164" i="6"/>
  <c r="J168" i="6"/>
  <c r="J139" i="18"/>
  <c r="J139" i="6" s="1"/>
  <c r="J63" i="18"/>
  <c r="J63" i="6" s="1"/>
  <c r="J104" i="6"/>
  <c r="J107" i="18"/>
  <c r="J107" i="6" s="1"/>
  <c r="I125" i="6"/>
  <c r="J151" i="18"/>
  <c r="J151" i="6" s="1"/>
  <c r="J27" i="6"/>
  <c r="J30" i="18"/>
  <c r="J30" i="6" s="1"/>
  <c r="J5" i="6"/>
  <c r="J8" i="18"/>
  <c r="J8" i="6" s="1"/>
  <c r="J62" i="18"/>
  <c r="J62" i="6" s="1"/>
  <c r="J85" i="18"/>
  <c r="J85" i="6" s="1"/>
  <c r="J84" i="18"/>
  <c r="J84" i="6" s="1"/>
  <c r="J106" i="18"/>
  <c r="J106" i="6" s="1"/>
  <c r="J115" i="6"/>
  <c r="J118" i="18"/>
  <c r="J118" i="6" s="1"/>
  <c r="J134" i="6"/>
  <c r="J156" i="6"/>
  <c r="J140" i="18"/>
  <c r="J140" i="6" s="1"/>
  <c r="J75" i="13"/>
  <c r="J86" i="13"/>
  <c r="J130" i="13"/>
  <c r="J119" i="12"/>
  <c r="J31" i="12"/>
  <c r="J129" i="12"/>
  <c r="J127" i="12"/>
  <c r="J128" i="12"/>
  <c r="J133" i="12"/>
  <c r="J126" i="12"/>
  <c r="J106" i="16"/>
  <c r="J106" i="12" s="1"/>
  <c r="J107" i="16"/>
  <c r="J107" i="12" s="1"/>
  <c r="J73" i="16"/>
  <c r="J73" i="12" s="1"/>
  <c r="J74" i="16"/>
  <c r="J74" i="12" s="1"/>
  <c r="J40" i="16"/>
  <c r="J40" i="12" s="1"/>
  <c r="J41" i="16"/>
  <c r="J41" i="12" s="1"/>
  <c r="J139" i="16"/>
  <c r="J139" i="12" s="1"/>
  <c r="J140" i="16"/>
  <c r="J140" i="12" s="1"/>
  <c r="J150" i="16"/>
  <c r="J150" i="12" s="1"/>
  <c r="J151" i="16"/>
  <c r="J151" i="12" s="1"/>
  <c r="J84" i="16"/>
  <c r="J84" i="12" s="1"/>
  <c r="J85" i="16"/>
  <c r="J85" i="12" s="1"/>
  <c r="J8" i="16"/>
  <c r="J8" i="12" s="1"/>
  <c r="J7" i="16"/>
  <c r="J7" i="12" s="1"/>
  <c r="J62" i="16"/>
  <c r="J62" i="12" s="1"/>
  <c r="J63" i="16"/>
  <c r="J63" i="12" s="1"/>
  <c r="J51" i="16"/>
  <c r="J51" i="12" s="1"/>
  <c r="J52" i="16"/>
  <c r="J75" i="6" l="1"/>
  <c r="J42" i="6"/>
  <c r="J119" i="6"/>
  <c r="J127" i="6"/>
  <c r="J141" i="6"/>
  <c r="J9" i="6"/>
  <c r="J152" i="6"/>
  <c r="J133" i="6"/>
  <c r="J126" i="6"/>
  <c r="J132" i="6"/>
  <c r="J129" i="6"/>
  <c r="J130" i="6" s="1"/>
  <c r="J31" i="6"/>
  <c r="J52" i="6"/>
  <c r="J64" i="6"/>
  <c r="J108" i="6"/>
  <c r="J86" i="6"/>
  <c r="J152" i="12"/>
  <c r="J42" i="12"/>
  <c r="J130" i="12"/>
  <c r="J108" i="12"/>
  <c r="J64" i="12"/>
  <c r="J141" i="12"/>
  <c r="J75" i="12"/>
  <c r="J86" i="12"/>
  <c r="J52" i="12"/>
  <c r="J9" i="12"/>
  <c r="J53" i="12" l="1"/>
  <c r="J125" i="6"/>
  <c r="J53" i="6"/>
  <c r="K23" i="10" l="1"/>
  <c r="K22" i="9"/>
  <c r="I23" i="11"/>
  <c r="K23" i="9"/>
  <c r="I22" i="10"/>
  <c r="J22" i="11"/>
  <c r="I23" i="10"/>
  <c r="I23" i="9"/>
  <c r="J23" i="11"/>
  <c r="J23" i="10"/>
  <c r="J22" i="9"/>
  <c r="J23" i="9"/>
  <c r="K22" i="10"/>
  <c r="I22" i="11"/>
  <c r="K23" i="11"/>
  <c r="K22" i="11"/>
  <c r="I22" i="9"/>
  <c r="J22" i="10"/>
  <c r="I99" i="9"/>
  <c r="I99" i="11"/>
  <c r="K100" i="10"/>
  <c r="K99" i="9"/>
  <c r="K100" i="9"/>
  <c r="I100" i="11"/>
  <c r="K99" i="10"/>
  <c r="J100" i="9"/>
  <c r="K100" i="11"/>
  <c r="J99" i="10"/>
  <c r="I100" i="9"/>
  <c r="J100" i="10"/>
  <c r="J100" i="11"/>
  <c r="I99" i="10"/>
  <c r="K99" i="11"/>
  <c r="J99" i="9"/>
  <c r="J99" i="11"/>
  <c r="I100" i="10"/>
  <c r="I145" i="3"/>
  <c r="J145" i="3" s="1"/>
  <c r="K145" i="3" s="1"/>
  <c r="I143" i="4"/>
  <c r="J143" i="4" s="1"/>
  <c r="K143" i="4" s="1"/>
  <c r="I143" i="3"/>
  <c r="J143" i="3" s="1"/>
  <c r="K143" i="3" s="1"/>
  <c r="I145" i="4"/>
  <c r="J145" i="4" s="1"/>
  <c r="K145" i="4" s="1"/>
  <c r="I137" i="4"/>
  <c r="J137" i="4" s="1"/>
  <c r="K137" i="4" s="1"/>
  <c r="I141" i="4"/>
  <c r="J141" i="4" s="1"/>
  <c r="K141" i="4" s="1"/>
  <c r="I138" i="4"/>
  <c r="J138" i="4" s="1"/>
  <c r="K138" i="4" s="1"/>
  <c r="I144" i="4"/>
  <c r="J144" i="4" s="1"/>
  <c r="K144" i="4" s="1"/>
  <c r="I144" i="3"/>
  <c r="J144" i="3" s="1"/>
  <c r="K144" i="3" s="1"/>
  <c r="I139" i="3"/>
  <c r="J139" i="3" s="1"/>
  <c r="K139" i="3" s="1"/>
  <c r="I139" i="4"/>
  <c r="J139" i="4" s="1"/>
  <c r="K139" i="4" s="1"/>
  <c r="I146" i="3"/>
  <c r="J146" i="3" s="1"/>
  <c r="K146" i="3" s="1"/>
  <c r="I138" i="3"/>
  <c r="J138" i="3" s="1"/>
  <c r="K138" i="3" s="1"/>
  <c r="I141" i="3"/>
  <c r="J141" i="3" s="1"/>
  <c r="K141" i="3" s="1"/>
  <c r="I140" i="4"/>
  <c r="J140" i="4" s="1"/>
  <c r="K140" i="4" s="1"/>
  <c r="I142" i="4"/>
  <c r="J142" i="4" s="1"/>
  <c r="K142" i="4" s="1"/>
  <c r="I137" i="3"/>
  <c r="J137" i="3" s="1"/>
  <c r="K137" i="3" s="1"/>
  <c r="I142" i="3"/>
  <c r="J142" i="3" s="1"/>
  <c r="K142" i="3" s="1"/>
  <c r="I140" i="3"/>
  <c r="J140" i="3" s="1"/>
  <c r="K140" i="3" s="1"/>
  <c r="I146" i="4"/>
  <c r="J146" i="4" s="1"/>
  <c r="K146" i="4" s="1"/>
  <c r="I123" i="3"/>
  <c r="J123" i="3" s="1"/>
  <c r="K123" i="3" s="1"/>
  <c r="I121" i="3"/>
  <c r="J121" i="3" s="1"/>
  <c r="K121" i="3" s="1"/>
  <c r="I123" i="4"/>
  <c r="J123" i="4" s="1"/>
  <c r="K123" i="4" s="1"/>
  <c r="I121" i="4"/>
  <c r="J121" i="4" s="1"/>
  <c r="K121" i="4" s="1"/>
  <c r="I115" i="3"/>
  <c r="J115" i="3" s="1"/>
  <c r="K115" i="3" s="1"/>
  <c r="I119" i="4"/>
  <c r="J119" i="4" s="1"/>
  <c r="K119" i="4" s="1"/>
  <c r="I122" i="3"/>
  <c r="J122" i="3" s="1"/>
  <c r="K122" i="3" s="1"/>
  <c r="I117" i="3"/>
  <c r="J117" i="3" s="1"/>
  <c r="K117" i="3" s="1"/>
  <c r="I115" i="4"/>
  <c r="J115" i="4" s="1"/>
  <c r="K115" i="4" s="1"/>
  <c r="I116" i="4"/>
  <c r="J116" i="4" s="1"/>
  <c r="K116" i="4" s="1"/>
  <c r="I118" i="4"/>
  <c r="J118" i="4" s="1"/>
  <c r="K118" i="4" s="1"/>
  <c r="I124" i="4"/>
  <c r="J124" i="4" s="1"/>
  <c r="K124" i="4" s="1"/>
  <c r="I119" i="3"/>
  <c r="J119" i="3" s="1"/>
  <c r="K119" i="3" s="1"/>
  <c r="I120" i="3"/>
  <c r="J120" i="3" s="1"/>
  <c r="K120" i="3" s="1"/>
  <c r="I122" i="4"/>
  <c r="J122" i="4" s="1"/>
  <c r="K122" i="4" s="1"/>
  <c r="I118" i="3"/>
  <c r="J118" i="3" s="1"/>
  <c r="K118" i="3" s="1"/>
  <c r="I120" i="4"/>
  <c r="J120" i="4" s="1"/>
  <c r="K120" i="4" s="1"/>
  <c r="I124" i="3"/>
  <c r="J124" i="3" s="1"/>
  <c r="K124" i="3" s="1"/>
  <c r="I116" i="3"/>
  <c r="J116" i="3" s="1"/>
  <c r="K116" i="3" s="1"/>
  <c r="I117" i="4"/>
  <c r="J117" i="4" s="1"/>
  <c r="K117" i="4" s="1"/>
  <c r="I96" i="4"/>
  <c r="J96" i="4" s="1"/>
  <c r="K96" i="4" s="1"/>
  <c r="I95" i="3"/>
  <c r="J95" i="3" s="1"/>
  <c r="K95" i="3" s="1"/>
  <c r="I97" i="4"/>
  <c r="J97" i="4" s="1"/>
  <c r="K97" i="4" s="1"/>
  <c r="I93" i="4"/>
  <c r="J93" i="4" s="1"/>
  <c r="K93" i="4" s="1"/>
  <c r="I102" i="3"/>
  <c r="J102" i="3" s="1"/>
  <c r="K102" i="3" s="1"/>
  <c r="I97" i="3"/>
  <c r="J97" i="3" s="1"/>
  <c r="K97" i="3" s="1"/>
  <c r="I96" i="3"/>
  <c r="J96" i="3" s="1"/>
  <c r="K96" i="3" s="1"/>
  <c r="I95" i="4"/>
  <c r="J95" i="4" s="1"/>
  <c r="K95" i="4" s="1"/>
  <c r="I93" i="3"/>
  <c r="J93" i="3" s="1"/>
  <c r="K93" i="3" s="1"/>
  <c r="I94" i="4"/>
  <c r="J94" i="4" s="1"/>
  <c r="K94" i="4" s="1"/>
  <c r="I101" i="3"/>
  <c r="J101" i="3" s="1"/>
  <c r="K101" i="3" s="1"/>
  <c r="I94" i="3"/>
  <c r="J94" i="3" s="1"/>
  <c r="K94" i="3" s="1"/>
  <c r="I98" i="4"/>
  <c r="J98" i="4" s="1"/>
  <c r="K98" i="4" s="1"/>
  <c r="I102" i="4"/>
  <c r="J102" i="4" s="1"/>
  <c r="K102" i="4" s="1"/>
  <c r="I98" i="3"/>
  <c r="J98" i="3" s="1"/>
  <c r="K98" i="3" s="1"/>
  <c r="I101" i="4"/>
  <c r="J101" i="4" s="1"/>
  <c r="K101" i="4" s="1"/>
  <c r="I99" i="4"/>
  <c r="I99" i="3"/>
  <c r="I100" i="3"/>
  <c r="I100" i="4"/>
  <c r="I79" i="4"/>
  <c r="J79" i="4" s="1"/>
  <c r="K79" i="4" s="1"/>
  <c r="I79" i="3"/>
  <c r="J79" i="3" s="1"/>
  <c r="K79" i="3" s="1"/>
  <c r="I72" i="3"/>
  <c r="J72" i="3" s="1"/>
  <c r="K72" i="3" s="1"/>
  <c r="I74" i="4"/>
  <c r="J74" i="4" s="1"/>
  <c r="K74" i="4" s="1"/>
  <c r="I71" i="3"/>
  <c r="J71" i="3" s="1"/>
  <c r="K71" i="3" s="1"/>
  <c r="I78" i="3"/>
  <c r="J78" i="3" s="1"/>
  <c r="K78" i="3" s="1"/>
  <c r="I75" i="3"/>
  <c r="J75" i="3" s="1"/>
  <c r="K75" i="3" s="1"/>
  <c r="I71" i="4"/>
  <c r="J71" i="4" s="1"/>
  <c r="K71" i="4" s="1"/>
  <c r="I78" i="4"/>
  <c r="J78" i="4" s="1"/>
  <c r="K78" i="4" s="1"/>
  <c r="I76" i="3"/>
  <c r="J76" i="3" s="1"/>
  <c r="K76" i="3" s="1"/>
  <c r="I76" i="4"/>
  <c r="J76" i="4" s="1"/>
  <c r="K76" i="4" s="1"/>
  <c r="I80" i="3"/>
  <c r="J80" i="3" s="1"/>
  <c r="K80" i="3" s="1"/>
  <c r="I77" i="4"/>
  <c r="J77" i="4" s="1"/>
  <c r="K77" i="4" s="1"/>
  <c r="I72" i="4"/>
  <c r="J72" i="4" s="1"/>
  <c r="K72" i="4" s="1"/>
  <c r="I74" i="3"/>
  <c r="J74" i="3" s="1"/>
  <c r="K74" i="3" s="1"/>
  <c r="I73" i="3"/>
  <c r="J73" i="3" s="1"/>
  <c r="K73" i="3" s="1"/>
  <c r="I77" i="3"/>
  <c r="J77" i="3" s="1"/>
  <c r="K77" i="3" s="1"/>
  <c r="I80" i="4"/>
  <c r="J80" i="4" s="1"/>
  <c r="K80" i="4" s="1"/>
  <c r="I73" i="4"/>
  <c r="J73" i="4" s="1"/>
  <c r="K73" i="4" s="1"/>
  <c r="I75" i="4"/>
  <c r="J75" i="4" s="1"/>
  <c r="K75" i="4" s="1"/>
  <c r="I11" i="4"/>
  <c r="I11" i="3"/>
  <c r="I13" i="3"/>
  <c r="I7" i="4"/>
  <c r="I10" i="3"/>
  <c r="I5" i="4"/>
  <c r="I12" i="3"/>
  <c r="I5" i="3"/>
  <c r="I9" i="3"/>
  <c r="I13" i="4"/>
  <c r="I14" i="3"/>
  <c r="I6" i="3"/>
  <c r="I12" i="4"/>
  <c r="I9" i="4"/>
  <c r="I10" i="4"/>
  <c r="I14" i="4"/>
  <c r="I8" i="3"/>
  <c r="I6" i="4"/>
  <c r="I7" i="3"/>
  <c r="I8" i="4"/>
  <c r="I156" i="3"/>
  <c r="J156" i="3" s="1"/>
  <c r="K156" i="3" s="1"/>
  <c r="I154" i="4"/>
  <c r="J154" i="4" s="1"/>
  <c r="K154" i="4" s="1"/>
  <c r="I156" i="4"/>
  <c r="J156" i="4" s="1"/>
  <c r="K156" i="4" s="1"/>
  <c r="I154" i="3"/>
  <c r="J154" i="3" s="1"/>
  <c r="K154" i="3" s="1"/>
  <c r="I149" i="3"/>
  <c r="J149" i="3" s="1"/>
  <c r="K149" i="3" s="1"/>
  <c r="I148" i="4"/>
  <c r="J148" i="4" s="1"/>
  <c r="K148" i="4" s="1"/>
  <c r="I155" i="4"/>
  <c r="J155" i="4" s="1"/>
  <c r="K155" i="4" s="1"/>
  <c r="I152" i="3"/>
  <c r="J152" i="3" s="1"/>
  <c r="K152" i="3" s="1"/>
  <c r="I155" i="3"/>
  <c r="J155" i="3" s="1"/>
  <c r="K155" i="3" s="1"/>
  <c r="I150" i="3"/>
  <c r="J150" i="3" s="1"/>
  <c r="K150" i="3" s="1"/>
  <c r="I149" i="4"/>
  <c r="J149" i="4" s="1"/>
  <c r="K149" i="4" s="1"/>
  <c r="I153" i="3"/>
  <c r="J153" i="3" s="1"/>
  <c r="K153" i="3" s="1"/>
  <c r="I157" i="3"/>
  <c r="J157" i="3" s="1"/>
  <c r="K157" i="3" s="1"/>
  <c r="I157" i="4"/>
  <c r="J157" i="4" s="1"/>
  <c r="K157" i="4" s="1"/>
  <c r="I153" i="4"/>
  <c r="J153" i="4" s="1"/>
  <c r="K153" i="4" s="1"/>
  <c r="I151" i="3"/>
  <c r="J151" i="3" s="1"/>
  <c r="K151" i="3" s="1"/>
  <c r="I151" i="4"/>
  <c r="J151" i="4" s="1"/>
  <c r="K151" i="4" s="1"/>
  <c r="I150" i="4"/>
  <c r="J150" i="4" s="1"/>
  <c r="K150" i="4" s="1"/>
  <c r="I152" i="4"/>
  <c r="J152" i="4" s="1"/>
  <c r="K152" i="4" s="1"/>
  <c r="I148" i="3"/>
  <c r="J148" i="3" s="1"/>
  <c r="K148" i="3" s="1"/>
  <c r="I134" i="4"/>
  <c r="J134" i="4" s="1"/>
  <c r="K134" i="4" s="1"/>
  <c r="I134" i="3"/>
  <c r="J134" i="3" s="1"/>
  <c r="K134" i="3" s="1"/>
  <c r="I129" i="4"/>
  <c r="J129" i="4" s="1"/>
  <c r="K129" i="4" s="1"/>
  <c r="I135" i="3"/>
  <c r="J135" i="3" s="1"/>
  <c r="K135" i="3" s="1"/>
  <c r="I130" i="4"/>
  <c r="J130" i="4" s="1"/>
  <c r="K130" i="4" s="1"/>
  <c r="I127" i="3"/>
  <c r="J127" i="3" s="1"/>
  <c r="K127" i="3" s="1"/>
  <c r="I129" i="3"/>
  <c r="J129" i="3" s="1"/>
  <c r="K129" i="3" s="1"/>
  <c r="I130" i="3"/>
  <c r="J130" i="3" s="1"/>
  <c r="K130" i="3" s="1"/>
  <c r="I131" i="4"/>
  <c r="J131" i="4" s="1"/>
  <c r="K131" i="4" s="1"/>
  <c r="I126" i="3"/>
  <c r="J126" i="3" s="1"/>
  <c r="K126" i="3" s="1"/>
  <c r="I131" i="3"/>
  <c r="J131" i="3" s="1"/>
  <c r="K131" i="3" s="1"/>
  <c r="I135" i="4"/>
  <c r="J135" i="4" s="1"/>
  <c r="K135" i="4" s="1"/>
  <c r="I127" i="4"/>
  <c r="J127" i="4" s="1"/>
  <c r="K127" i="4" s="1"/>
  <c r="I128" i="4"/>
  <c r="J128" i="4" s="1"/>
  <c r="K128" i="4" s="1"/>
  <c r="I126" i="4"/>
  <c r="J126" i="4" s="1"/>
  <c r="K126" i="4" s="1"/>
  <c r="I128" i="3"/>
  <c r="J128" i="3" s="1"/>
  <c r="K128" i="3" s="1"/>
  <c r="I133" i="3"/>
  <c r="J133" i="3" s="1"/>
  <c r="K133" i="3" s="1"/>
  <c r="I132" i="4"/>
  <c r="J132" i="4" s="1"/>
  <c r="K132" i="4" s="1"/>
  <c r="I133" i="4"/>
  <c r="J133" i="4" s="1"/>
  <c r="K133" i="4" s="1"/>
  <c r="I132" i="3"/>
  <c r="J132" i="3" s="1"/>
  <c r="K132" i="3" s="1"/>
  <c r="I112" i="3"/>
  <c r="J112" i="3" s="1"/>
  <c r="K112" i="3" s="1"/>
  <c r="I112" i="4"/>
  <c r="J112" i="4" s="1"/>
  <c r="K112" i="4" s="1"/>
  <c r="I105" i="4"/>
  <c r="J105" i="4" s="1"/>
  <c r="K105" i="4" s="1"/>
  <c r="I106" i="3"/>
  <c r="J106" i="3" s="1"/>
  <c r="K106" i="3" s="1"/>
  <c r="I113" i="4"/>
  <c r="J113" i="4" s="1"/>
  <c r="K113" i="4" s="1"/>
  <c r="I108" i="4"/>
  <c r="J108" i="4" s="1"/>
  <c r="K108" i="4" s="1"/>
  <c r="I107" i="3"/>
  <c r="J107" i="3" s="1"/>
  <c r="K107" i="3" s="1"/>
  <c r="I104" i="3"/>
  <c r="J104" i="3" s="1"/>
  <c r="K104" i="3" s="1"/>
  <c r="I107" i="4"/>
  <c r="J107" i="4" s="1"/>
  <c r="K107" i="4" s="1"/>
  <c r="I104" i="4"/>
  <c r="J104" i="4" s="1"/>
  <c r="K104" i="4" s="1"/>
  <c r="I105" i="3"/>
  <c r="J105" i="3" s="1"/>
  <c r="K105" i="3" s="1"/>
  <c r="I113" i="3"/>
  <c r="J113" i="3" s="1"/>
  <c r="K113" i="3" s="1"/>
  <c r="I111" i="3"/>
  <c r="J111" i="3" s="1"/>
  <c r="K111" i="3" s="1"/>
  <c r="I108" i="3"/>
  <c r="J108" i="3" s="1"/>
  <c r="K108" i="3" s="1"/>
  <c r="I110" i="4"/>
  <c r="J110" i="4" s="1"/>
  <c r="K110" i="4" s="1"/>
  <c r="I109" i="3"/>
  <c r="J109" i="3" s="1"/>
  <c r="K109" i="3" s="1"/>
  <c r="I110" i="3"/>
  <c r="J110" i="3" s="1"/>
  <c r="K110" i="3" s="1"/>
  <c r="I109" i="4"/>
  <c r="J109" i="4" s="1"/>
  <c r="K109" i="4" s="1"/>
  <c r="I106" i="4"/>
  <c r="J106" i="4" s="1"/>
  <c r="K106" i="4" s="1"/>
  <c r="I111" i="4"/>
  <c r="J111" i="4" s="1"/>
  <c r="K111" i="4" s="1"/>
  <c r="I88" i="4"/>
  <c r="J88" i="4" s="1"/>
  <c r="K88" i="4" s="1"/>
  <c r="I88" i="3"/>
  <c r="J88" i="3" s="1"/>
  <c r="K88" i="3" s="1"/>
  <c r="I90" i="4"/>
  <c r="J90" i="4" s="1"/>
  <c r="K90" i="4" s="1"/>
  <c r="I91" i="3"/>
  <c r="J91" i="3" s="1"/>
  <c r="K91" i="3" s="1"/>
  <c r="I91" i="4"/>
  <c r="J91" i="4" s="1"/>
  <c r="K91" i="4" s="1"/>
  <c r="I87" i="3"/>
  <c r="J87" i="3" s="1"/>
  <c r="K87" i="3" s="1"/>
  <c r="I82" i="3"/>
  <c r="J82" i="3" s="1"/>
  <c r="K82" i="3" s="1"/>
  <c r="I87" i="4"/>
  <c r="J87" i="4" s="1"/>
  <c r="K87" i="4" s="1"/>
  <c r="I84" i="4"/>
  <c r="J84" i="4" s="1"/>
  <c r="K84" i="4" s="1"/>
  <c r="I86" i="4"/>
  <c r="J86" i="4" s="1"/>
  <c r="K86" i="4" s="1"/>
  <c r="I84" i="3"/>
  <c r="J84" i="3" s="1"/>
  <c r="K84" i="3" s="1"/>
  <c r="I89" i="3"/>
  <c r="J89" i="3" s="1"/>
  <c r="K89" i="3" s="1"/>
  <c r="I89" i="4"/>
  <c r="J89" i="4" s="1"/>
  <c r="K89" i="4" s="1"/>
  <c r="I83" i="3"/>
  <c r="J83" i="3" s="1"/>
  <c r="K83" i="3" s="1"/>
  <c r="I90" i="3"/>
  <c r="J90" i="3" s="1"/>
  <c r="K90" i="3" s="1"/>
  <c r="I83" i="4"/>
  <c r="J83" i="4" s="1"/>
  <c r="K83" i="4" s="1"/>
  <c r="I85" i="4"/>
  <c r="J85" i="4" s="1"/>
  <c r="K85" i="4" s="1"/>
  <c r="I85" i="3"/>
  <c r="J85" i="3" s="1"/>
  <c r="K85" i="3" s="1"/>
  <c r="I82" i="4"/>
  <c r="J82" i="4" s="1"/>
  <c r="K82" i="4" s="1"/>
  <c r="I86" i="3"/>
  <c r="J86" i="3" s="1"/>
  <c r="K86" i="3" s="1"/>
  <c r="I68" i="4"/>
  <c r="J68" i="4" s="1"/>
  <c r="K68" i="4" s="1"/>
  <c r="I66" i="4"/>
  <c r="J66" i="4" s="1"/>
  <c r="K66" i="4" s="1"/>
  <c r="I66" i="3"/>
  <c r="J66" i="3" s="1"/>
  <c r="K66" i="3" s="1"/>
  <c r="I68" i="3"/>
  <c r="J68" i="3" s="1"/>
  <c r="K68" i="3" s="1"/>
  <c r="I65" i="3"/>
  <c r="J65" i="3" s="1"/>
  <c r="K65" i="3" s="1"/>
  <c r="I60" i="3"/>
  <c r="J60" i="3" s="1"/>
  <c r="K60" i="3" s="1"/>
  <c r="I62" i="3"/>
  <c r="J62" i="3" s="1"/>
  <c r="K62" i="3" s="1"/>
  <c r="I67" i="4"/>
  <c r="J67" i="4" s="1"/>
  <c r="K67" i="4" s="1"/>
  <c r="I67" i="3"/>
  <c r="J67" i="3" s="1"/>
  <c r="K67" i="3" s="1"/>
  <c r="I63" i="4"/>
  <c r="J63" i="4" s="1"/>
  <c r="K63" i="4" s="1"/>
  <c r="I64" i="4"/>
  <c r="J64" i="4" s="1"/>
  <c r="K64" i="4" s="1"/>
  <c r="I61" i="3"/>
  <c r="J61" i="3" s="1"/>
  <c r="K61" i="3" s="1"/>
  <c r="I65" i="4"/>
  <c r="J65" i="4" s="1"/>
  <c r="K65" i="4" s="1"/>
  <c r="I61" i="4"/>
  <c r="J61" i="4" s="1"/>
  <c r="K61" i="4" s="1"/>
  <c r="I63" i="3"/>
  <c r="J63" i="3" s="1"/>
  <c r="K63" i="3" s="1"/>
  <c r="I60" i="4"/>
  <c r="J60" i="4" s="1"/>
  <c r="K60" i="4" s="1"/>
  <c r="I62" i="4"/>
  <c r="J62" i="4" s="1"/>
  <c r="K62" i="4" s="1"/>
  <c r="I69" i="3"/>
  <c r="J69" i="3" s="1"/>
  <c r="K69" i="3" s="1"/>
  <c r="I69" i="4"/>
  <c r="J69" i="4" s="1"/>
  <c r="K69" i="4" s="1"/>
  <c r="I64" i="3"/>
  <c r="J64" i="3" s="1"/>
  <c r="K64" i="3" s="1"/>
  <c r="I46" i="3"/>
  <c r="J46" i="3" s="1"/>
  <c r="K46" i="3" s="1"/>
  <c r="I46" i="4"/>
  <c r="J46" i="4" s="1"/>
  <c r="K46" i="4" s="1"/>
  <c r="I44" i="3"/>
  <c r="J44" i="3" s="1"/>
  <c r="K44" i="3" s="1"/>
  <c r="I44" i="4"/>
  <c r="J44" i="4" s="1"/>
  <c r="K44" i="4" s="1"/>
  <c r="I38" i="3"/>
  <c r="J38" i="3" s="1"/>
  <c r="K38" i="3" s="1"/>
  <c r="I43" i="3"/>
  <c r="J43" i="3" s="1"/>
  <c r="K43" i="3" s="1"/>
  <c r="I42" i="4"/>
  <c r="J42" i="4" s="1"/>
  <c r="K42" i="4" s="1"/>
  <c r="I40" i="3"/>
  <c r="J40" i="3" s="1"/>
  <c r="K40" i="3" s="1"/>
  <c r="I39" i="4"/>
  <c r="J39" i="4" s="1"/>
  <c r="K39" i="4" s="1"/>
  <c r="I45" i="3"/>
  <c r="J45" i="3" s="1"/>
  <c r="K45" i="3" s="1"/>
  <c r="I43" i="4"/>
  <c r="J43" i="4" s="1"/>
  <c r="K43" i="4" s="1"/>
  <c r="I47" i="3"/>
  <c r="J47" i="3" s="1"/>
  <c r="K47" i="3" s="1"/>
  <c r="I41" i="3"/>
  <c r="J41" i="3" s="1"/>
  <c r="K41" i="3" s="1"/>
  <c r="I41" i="4"/>
  <c r="J41" i="4" s="1"/>
  <c r="K41" i="4" s="1"/>
  <c r="I39" i="3"/>
  <c r="J39" i="3" s="1"/>
  <c r="K39" i="3" s="1"/>
  <c r="I38" i="4"/>
  <c r="J38" i="4" s="1"/>
  <c r="K38" i="4" s="1"/>
  <c r="I45" i="4"/>
  <c r="J45" i="4" s="1"/>
  <c r="K45" i="4" s="1"/>
  <c r="I47" i="4"/>
  <c r="J47" i="4" s="1"/>
  <c r="K47" i="4" s="1"/>
  <c r="I42" i="3"/>
  <c r="J42" i="3" s="1"/>
  <c r="K42" i="3" s="1"/>
  <c r="I40" i="4"/>
  <c r="J40" i="4" s="1"/>
  <c r="K40" i="4" s="1"/>
  <c r="I18" i="4"/>
  <c r="J18" i="4" s="1"/>
  <c r="K18" i="4" s="1"/>
  <c r="I17" i="3"/>
  <c r="J17" i="3" s="1"/>
  <c r="K17" i="3" s="1"/>
  <c r="I25" i="3"/>
  <c r="J25" i="3" s="1"/>
  <c r="K25" i="3" s="1"/>
  <c r="I17" i="4"/>
  <c r="J17" i="4" s="1"/>
  <c r="K17" i="4" s="1"/>
  <c r="I25" i="4"/>
  <c r="J25" i="4" s="1"/>
  <c r="K25" i="4" s="1"/>
  <c r="I24" i="3"/>
  <c r="J24" i="3" s="1"/>
  <c r="K24" i="3" s="1"/>
  <c r="I19" i="4"/>
  <c r="J19" i="4" s="1"/>
  <c r="K19" i="4" s="1"/>
  <c r="I24" i="4"/>
  <c r="J24" i="4" s="1"/>
  <c r="K24" i="4" s="1"/>
  <c r="I19" i="3"/>
  <c r="J19" i="3" s="1"/>
  <c r="K19" i="3" s="1"/>
  <c r="I18" i="3"/>
  <c r="J18" i="3" s="1"/>
  <c r="K18" i="3" s="1"/>
  <c r="I20" i="3"/>
  <c r="J20" i="3" s="1"/>
  <c r="K20" i="3" s="1"/>
  <c r="I20" i="4"/>
  <c r="J20" i="4" s="1"/>
  <c r="K20" i="4" s="1"/>
  <c r="I16" i="4"/>
  <c r="J16" i="4" s="1"/>
  <c r="K16" i="4" s="1"/>
  <c r="I21" i="3"/>
  <c r="J21" i="3" s="1"/>
  <c r="K21" i="3" s="1"/>
  <c r="I16" i="3"/>
  <c r="J16" i="3" s="1"/>
  <c r="K16" i="3" s="1"/>
  <c r="I21" i="4"/>
  <c r="J21" i="4" s="1"/>
  <c r="K21" i="4" s="1"/>
  <c r="I23" i="4"/>
  <c r="I23" i="3"/>
  <c r="I22" i="3"/>
  <c r="I22" i="4"/>
  <c r="I57" i="3"/>
  <c r="J57" i="3" s="1"/>
  <c r="K57" i="3" s="1"/>
  <c r="I50" i="4"/>
  <c r="J50" i="4" s="1"/>
  <c r="K50" i="4" s="1"/>
  <c r="I57" i="4"/>
  <c r="J57" i="4" s="1"/>
  <c r="K57" i="4" s="1"/>
  <c r="I52" i="3"/>
  <c r="J52" i="3" s="1"/>
  <c r="K52" i="3" s="1"/>
  <c r="I54" i="3"/>
  <c r="J54" i="3" s="1"/>
  <c r="K54" i="3" s="1"/>
  <c r="I56" i="3"/>
  <c r="I55" i="4"/>
  <c r="J55" i="4" s="1"/>
  <c r="K55" i="4" s="1"/>
  <c r="I58" i="3"/>
  <c r="J58" i="3" s="1"/>
  <c r="K58" i="3" s="1"/>
  <c r="I53" i="4"/>
  <c r="J53" i="4" s="1"/>
  <c r="K53" i="4" s="1"/>
  <c r="I51" i="3"/>
  <c r="J51" i="3" s="1"/>
  <c r="K51" i="3" s="1"/>
  <c r="I55" i="3"/>
  <c r="J55" i="3" s="1"/>
  <c r="K55" i="3" s="1"/>
  <c r="I53" i="3"/>
  <c r="J53" i="3" s="1"/>
  <c r="K53" i="3" s="1"/>
  <c r="I54" i="4"/>
  <c r="J54" i="4" s="1"/>
  <c r="K54" i="4" s="1"/>
  <c r="I56" i="4"/>
  <c r="J56" i="4" s="1"/>
  <c r="K56" i="4" s="1"/>
  <c r="I51" i="4"/>
  <c r="J51" i="4" s="1"/>
  <c r="K51" i="4" s="1"/>
  <c r="I50" i="3"/>
  <c r="J50" i="3" s="1"/>
  <c r="K50" i="3" s="1"/>
  <c r="I49" i="4"/>
  <c r="J49" i="4" s="1"/>
  <c r="K49" i="4" s="1"/>
  <c r="I49" i="3"/>
  <c r="J49" i="3" s="1"/>
  <c r="K49" i="3" s="1"/>
  <c r="I58" i="4"/>
  <c r="J58" i="4" s="1"/>
  <c r="K58" i="4" s="1"/>
  <c r="I52" i="4"/>
  <c r="J52" i="4" s="1"/>
  <c r="K52" i="4" s="1"/>
  <c r="I33" i="4"/>
  <c r="J33" i="4" s="1"/>
  <c r="K33" i="4" s="1"/>
  <c r="I27" i="4"/>
  <c r="J27" i="4" s="1"/>
  <c r="K27" i="4" s="1"/>
  <c r="I31" i="3"/>
  <c r="J31" i="3" s="1"/>
  <c r="K31" i="3" s="1"/>
  <c r="I29" i="3"/>
  <c r="J29" i="3" s="1"/>
  <c r="K29" i="3" s="1"/>
  <c r="I28" i="3"/>
  <c r="J28" i="3" s="1"/>
  <c r="K28" i="3" s="1"/>
  <c r="I29" i="4"/>
  <c r="J29" i="4" s="1"/>
  <c r="K29" i="4" s="1"/>
  <c r="I34" i="4"/>
  <c r="J34" i="4" s="1"/>
  <c r="K34" i="4" s="1"/>
  <c r="I28" i="4"/>
  <c r="J28" i="4" s="1"/>
  <c r="K28" i="4" s="1"/>
  <c r="I32" i="3"/>
  <c r="J32" i="3" s="1"/>
  <c r="K32" i="3" s="1"/>
  <c r="I33" i="3"/>
  <c r="J33" i="3" s="1"/>
  <c r="K33" i="3" s="1"/>
  <c r="I30" i="4"/>
  <c r="J30" i="4" s="1"/>
  <c r="K30" i="4" s="1"/>
  <c r="I31" i="4"/>
  <c r="J31" i="4" s="1"/>
  <c r="K31" i="4" s="1"/>
  <c r="I35" i="3"/>
  <c r="J35" i="3" s="1"/>
  <c r="K35" i="3" s="1"/>
  <c r="I35" i="4"/>
  <c r="J35" i="4" s="1"/>
  <c r="K35" i="4" s="1"/>
  <c r="I30" i="3"/>
  <c r="J30" i="3" s="1"/>
  <c r="K30" i="3" s="1"/>
  <c r="I34" i="3"/>
  <c r="J34" i="3" s="1"/>
  <c r="K34" i="3" s="1"/>
  <c r="I32" i="4"/>
  <c r="J32" i="4" s="1"/>
  <c r="K32" i="4" s="1"/>
  <c r="I27" i="3"/>
  <c r="J27" i="3" s="1"/>
  <c r="K27" i="3" s="1"/>
  <c r="I36" i="3"/>
  <c r="J36" i="3" s="1"/>
  <c r="K36" i="3" s="1"/>
  <c r="I36" i="4"/>
  <c r="J36" i="4" s="1"/>
  <c r="K36" i="4" s="1"/>
  <c r="I145" i="5"/>
  <c r="J145" i="5" s="1"/>
  <c r="K145" i="5" s="1"/>
  <c r="I143" i="5"/>
  <c r="J143" i="5" s="1"/>
  <c r="K143" i="5" s="1"/>
  <c r="I142" i="5"/>
  <c r="J142" i="5" s="1"/>
  <c r="K142" i="5" s="1"/>
  <c r="I137" i="5"/>
  <c r="J137" i="5" s="1"/>
  <c r="K137" i="5" s="1"/>
  <c r="I146" i="5"/>
  <c r="J146" i="5" s="1"/>
  <c r="K146" i="5" s="1"/>
  <c r="I139" i="5"/>
  <c r="J139" i="5" s="1"/>
  <c r="K139" i="5" s="1"/>
  <c r="I140" i="5"/>
  <c r="J140" i="5" s="1"/>
  <c r="K140" i="5" s="1"/>
  <c r="I141" i="5"/>
  <c r="J141" i="5" s="1"/>
  <c r="K141" i="5" s="1"/>
  <c r="I138" i="5"/>
  <c r="J138" i="5" s="1"/>
  <c r="K138" i="5" s="1"/>
  <c r="I144" i="5"/>
  <c r="J144" i="5" s="1"/>
  <c r="K144" i="5" s="1"/>
  <c r="I123" i="5"/>
  <c r="J123" i="5" s="1"/>
  <c r="K123" i="5" s="1"/>
  <c r="I121" i="5"/>
  <c r="J121" i="5" s="1"/>
  <c r="K121" i="5" s="1"/>
  <c r="I117" i="5"/>
  <c r="J117" i="5" s="1"/>
  <c r="K117" i="5" s="1"/>
  <c r="I116" i="5"/>
  <c r="J116" i="5" s="1"/>
  <c r="K116" i="5" s="1"/>
  <c r="I124" i="5"/>
  <c r="J124" i="5" s="1"/>
  <c r="K124" i="5" s="1"/>
  <c r="I115" i="5"/>
  <c r="J115" i="5" s="1"/>
  <c r="K115" i="5" s="1"/>
  <c r="I119" i="5"/>
  <c r="J119" i="5" s="1"/>
  <c r="K119" i="5" s="1"/>
  <c r="I120" i="5"/>
  <c r="J120" i="5" s="1"/>
  <c r="K120" i="5" s="1"/>
  <c r="I118" i="5"/>
  <c r="J118" i="5" s="1"/>
  <c r="K118" i="5" s="1"/>
  <c r="I122" i="5"/>
  <c r="J122" i="5" s="1"/>
  <c r="K122" i="5" s="1"/>
  <c r="I94" i="5"/>
  <c r="J94" i="5" s="1"/>
  <c r="K94" i="5" s="1"/>
  <c r="I96" i="5"/>
  <c r="J96" i="5" s="1"/>
  <c r="K96" i="5" s="1"/>
  <c r="I97" i="5"/>
  <c r="J97" i="5" s="1"/>
  <c r="K97" i="5" s="1"/>
  <c r="I98" i="5"/>
  <c r="J98" i="5" s="1"/>
  <c r="K98" i="5" s="1"/>
  <c r="I101" i="5"/>
  <c r="J101" i="5" s="1"/>
  <c r="K101" i="5" s="1"/>
  <c r="I102" i="5"/>
  <c r="J102" i="5" s="1"/>
  <c r="K102" i="5" s="1"/>
  <c r="I95" i="5"/>
  <c r="J95" i="5" s="1"/>
  <c r="K95" i="5" s="1"/>
  <c r="I93" i="5"/>
  <c r="J93" i="5" s="1"/>
  <c r="K93" i="5" s="1"/>
  <c r="I100" i="5"/>
  <c r="I99" i="5"/>
  <c r="I79" i="5"/>
  <c r="J79" i="5" s="1"/>
  <c r="K79" i="5" s="1"/>
  <c r="I73" i="5"/>
  <c r="J73" i="5" s="1"/>
  <c r="K73" i="5" s="1"/>
  <c r="I76" i="5"/>
  <c r="J76" i="5" s="1"/>
  <c r="K76" i="5" s="1"/>
  <c r="I77" i="5"/>
  <c r="J77" i="5" s="1"/>
  <c r="K77" i="5" s="1"/>
  <c r="I74" i="5"/>
  <c r="J74" i="5" s="1"/>
  <c r="K74" i="5" s="1"/>
  <c r="I78" i="5"/>
  <c r="J78" i="5" s="1"/>
  <c r="K78" i="5" s="1"/>
  <c r="I75" i="5"/>
  <c r="J75" i="5" s="1"/>
  <c r="K75" i="5" s="1"/>
  <c r="I72" i="5"/>
  <c r="J72" i="5" s="1"/>
  <c r="K72" i="5" s="1"/>
  <c r="I71" i="5"/>
  <c r="J71" i="5" s="1"/>
  <c r="K71" i="5" s="1"/>
  <c r="I80" i="5"/>
  <c r="J80" i="5" s="1"/>
  <c r="K80" i="5" s="1"/>
  <c r="I52" i="5"/>
  <c r="J52" i="5" s="1"/>
  <c r="K52" i="5" s="1"/>
  <c r="I50" i="5"/>
  <c r="J50" i="5" s="1"/>
  <c r="K50" i="5" s="1"/>
  <c r="I55" i="5"/>
  <c r="J55" i="5" s="1"/>
  <c r="K55" i="5" s="1"/>
  <c r="I49" i="5"/>
  <c r="J49" i="5" s="1"/>
  <c r="K49" i="5" s="1"/>
  <c r="I57" i="5"/>
  <c r="J57" i="5" s="1"/>
  <c r="K57" i="5" s="1"/>
  <c r="I53" i="5"/>
  <c r="J53" i="5" s="1"/>
  <c r="K53" i="5" s="1"/>
  <c r="I56" i="5"/>
  <c r="J56" i="5" s="1"/>
  <c r="K56" i="5" s="1"/>
  <c r="I51" i="5"/>
  <c r="J51" i="5" s="1"/>
  <c r="K51" i="5" s="1"/>
  <c r="I58" i="5"/>
  <c r="J58" i="5" s="1"/>
  <c r="K58" i="5" s="1"/>
  <c r="I54" i="5"/>
  <c r="J54" i="5" s="1"/>
  <c r="K54" i="5" s="1"/>
  <c r="I32" i="5"/>
  <c r="J32" i="5" s="1"/>
  <c r="K32" i="5" s="1"/>
  <c r="I31" i="5"/>
  <c r="J31" i="5" s="1"/>
  <c r="K31" i="5" s="1"/>
  <c r="I35" i="5"/>
  <c r="J35" i="5" s="1"/>
  <c r="K35" i="5" s="1"/>
  <c r="I29" i="5"/>
  <c r="J29" i="5" s="1"/>
  <c r="K29" i="5" s="1"/>
  <c r="I27" i="5"/>
  <c r="J27" i="5" s="1"/>
  <c r="K27" i="5" s="1"/>
  <c r="I36" i="5"/>
  <c r="J36" i="5" s="1"/>
  <c r="K36" i="5" s="1"/>
  <c r="I33" i="5"/>
  <c r="J33" i="5" s="1"/>
  <c r="K33" i="5" s="1"/>
  <c r="I30" i="5"/>
  <c r="J30" i="5" s="1"/>
  <c r="K30" i="5" s="1"/>
  <c r="I28" i="5"/>
  <c r="J28" i="5" s="1"/>
  <c r="K28" i="5" s="1"/>
  <c r="I34" i="5"/>
  <c r="J34" i="5" s="1"/>
  <c r="K34" i="5" s="1"/>
  <c r="I11" i="5"/>
  <c r="I8" i="5"/>
  <c r="I7" i="5"/>
  <c r="I13" i="5"/>
  <c r="I12" i="5"/>
  <c r="I10" i="5"/>
  <c r="I14" i="5"/>
  <c r="I5" i="5"/>
  <c r="I9" i="5"/>
  <c r="I6" i="5"/>
  <c r="I156" i="5"/>
  <c r="J156" i="5" s="1"/>
  <c r="K156" i="5" s="1"/>
  <c r="I154" i="5"/>
  <c r="J154" i="5" s="1"/>
  <c r="K154" i="5" s="1"/>
  <c r="I153" i="5"/>
  <c r="J153" i="5" s="1"/>
  <c r="K153" i="5" s="1"/>
  <c r="I149" i="5"/>
  <c r="J149" i="5" s="1"/>
  <c r="K149" i="5" s="1"/>
  <c r="I155" i="5"/>
  <c r="J155" i="5" s="1"/>
  <c r="K155" i="5" s="1"/>
  <c r="I151" i="5"/>
  <c r="J151" i="5" s="1"/>
  <c r="K151" i="5" s="1"/>
  <c r="I150" i="5"/>
  <c r="J150" i="5" s="1"/>
  <c r="K150" i="5" s="1"/>
  <c r="I157" i="5"/>
  <c r="J157" i="5" s="1"/>
  <c r="K157" i="5" s="1"/>
  <c r="I152" i="5"/>
  <c r="J152" i="5" s="1"/>
  <c r="K152" i="5" s="1"/>
  <c r="I148" i="5"/>
  <c r="J148" i="5" s="1"/>
  <c r="K148" i="5" s="1"/>
  <c r="I134" i="5"/>
  <c r="J134" i="5" s="1"/>
  <c r="K134" i="5" s="1"/>
  <c r="I130" i="5"/>
  <c r="J130" i="5" s="1"/>
  <c r="K130" i="5" s="1"/>
  <c r="I131" i="5"/>
  <c r="J131" i="5" s="1"/>
  <c r="K131" i="5" s="1"/>
  <c r="I127" i="5"/>
  <c r="J127" i="5" s="1"/>
  <c r="K127" i="5" s="1"/>
  <c r="I126" i="5"/>
  <c r="J126" i="5" s="1"/>
  <c r="K126" i="5" s="1"/>
  <c r="I129" i="5"/>
  <c r="J129" i="5" s="1"/>
  <c r="K129" i="5" s="1"/>
  <c r="I128" i="5"/>
  <c r="J128" i="5" s="1"/>
  <c r="K128" i="5" s="1"/>
  <c r="I135" i="5"/>
  <c r="J135" i="5" s="1"/>
  <c r="K135" i="5" s="1"/>
  <c r="I132" i="5"/>
  <c r="J132" i="5" s="1"/>
  <c r="K132" i="5" s="1"/>
  <c r="I133" i="5"/>
  <c r="J133" i="5" s="1"/>
  <c r="K133" i="5" s="1"/>
  <c r="I112" i="5"/>
  <c r="J112" i="5" s="1"/>
  <c r="K112" i="5" s="1"/>
  <c r="I105" i="5"/>
  <c r="J105" i="5" s="1"/>
  <c r="K105" i="5" s="1"/>
  <c r="I109" i="5"/>
  <c r="J109" i="5" s="1"/>
  <c r="K109" i="5" s="1"/>
  <c r="I107" i="5"/>
  <c r="J107" i="5" s="1"/>
  <c r="K107" i="5" s="1"/>
  <c r="I111" i="5"/>
  <c r="J111" i="5" s="1"/>
  <c r="K111" i="5" s="1"/>
  <c r="I113" i="5"/>
  <c r="J113" i="5" s="1"/>
  <c r="K113" i="5" s="1"/>
  <c r="I106" i="5"/>
  <c r="J106" i="5" s="1"/>
  <c r="K106" i="5" s="1"/>
  <c r="I110" i="5"/>
  <c r="J110" i="5" s="1"/>
  <c r="K110" i="5" s="1"/>
  <c r="I104" i="5"/>
  <c r="J104" i="5" s="1"/>
  <c r="K104" i="5" s="1"/>
  <c r="I108" i="5"/>
  <c r="J108" i="5" s="1"/>
  <c r="K108" i="5" s="1"/>
  <c r="I88" i="5"/>
  <c r="J88" i="5" s="1"/>
  <c r="K88" i="5" s="1"/>
  <c r="I84" i="5"/>
  <c r="J84" i="5" s="1"/>
  <c r="K84" i="5" s="1"/>
  <c r="I87" i="5"/>
  <c r="J87" i="5" s="1"/>
  <c r="K87" i="5" s="1"/>
  <c r="I90" i="5"/>
  <c r="J90" i="5" s="1"/>
  <c r="K90" i="5" s="1"/>
  <c r="I82" i="5"/>
  <c r="J82" i="5" s="1"/>
  <c r="K82" i="5" s="1"/>
  <c r="I86" i="5"/>
  <c r="J86" i="5" s="1"/>
  <c r="K86" i="5" s="1"/>
  <c r="I91" i="5"/>
  <c r="J91" i="5" s="1"/>
  <c r="K91" i="5" s="1"/>
  <c r="I83" i="5"/>
  <c r="J83" i="5" s="1"/>
  <c r="K83" i="5" s="1"/>
  <c r="I89" i="5"/>
  <c r="J89" i="5" s="1"/>
  <c r="K89" i="5" s="1"/>
  <c r="I85" i="5"/>
  <c r="J85" i="5" s="1"/>
  <c r="K85" i="5" s="1"/>
  <c r="I66" i="5"/>
  <c r="J66" i="5" s="1"/>
  <c r="K66" i="5" s="1"/>
  <c r="I68" i="5"/>
  <c r="J68" i="5" s="1"/>
  <c r="K68" i="5" s="1"/>
  <c r="I63" i="5"/>
  <c r="J63" i="5" s="1"/>
  <c r="K63" i="5" s="1"/>
  <c r="I62" i="5"/>
  <c r="J62" i="5" s="1"/>
  <c r="K62" i="5" s="1"/>
  <c r="I64" i="5"/>
  <c r="J64" i="5" s="1"/>
  <c r="K64" i="5" s="1"/>
  <c r="I65" i="5"/>
  <c r="J65" i="5" s="1"/>
  <c r="K65" i="5" s="1"/>
  <c r="I60" i="5"/>
  <c r="J60" i="5" s="1"/>
  <c r="K60" i="5" s="1"/>
  <c r="I61" i="5"/>
  <c r="J61" i="5" s="1"/>
  <c r="K61" i="5" s="1"/>
  <c r="I67" i="5"/>
  <c r="J67" i="5" s="1"/>
  <c r="K67" i="5" s="1"/>
  <c r="I69" i="5"/>
  <c r="J69" i="5" s="1"/>
  <c r="K69" i="5" s="1"/>
  <c r="I44" i="5"/>
  <c r="J44" i="5" s="1"/>
  <c r="K44" i="5" s="1"/>
  <c r="I46" i="5"/>
  <c r="J46" i="5" s="1"/>
  <c r="K46" i="5" s="1"/>
  <c r="I40" i="5"/>
  <c r="J40" i="5" s="1"/>
  <c r="K40" i="5" s="1"/>
  <c r="I45" i="5"/>
  <c r="J45" i="5" s="1"/>
  <c r="K45" i="5" s="1"/>
  <c r="I39" i="5"/>
  <c r="J39" i="5" s="1"/>
  <c r="K39" i="5" s="1"/>
  <c r="I47" i="5"/>
  <c r="J47" i="5" s="1"/>
  <c r="K47" i="5" s="1"/>
  <c r="I42" i="5"/>
  <c r="J42" i="5" s="1"/>
  <c r="K42" i="5" s="1"/>
  <c r="I41" i="5"/>
  <c r="J41" i="5" s="1"/>
  <c r="K41" i="5" s="1"/>
  <c r="I38" i="5"/>
  <c r="J38" i="5" s="1"/>
  <c r="K38" i="5" s="1"/>
  <c r="I43" i="5"/>
  <c r="J43" i="5" s="1"/>
  <c r="K43" i="5" s="1"/>
  <c r="I16" i="5"/>
  <c r="J16" i="5" s="1"/>
  <c r="K16" i="5" s="1"/>
  <c r="I20" i="5"/>
  <c r="J20" i="5" s="1"/>
  <c r="K20" i="5" s="1"/>
  <c r="I24" i="5"/>
  <c r="J24" i="5" s="1"/>
  <c r="K24" i="5" s="1"/>
  <c r="I21" i="5"/>
  <c r="J21" i="5" s="1"/>
  <c r="K21" i="5" s="1"/>
  <c r="I19" i="5"/>
  <c r="J19" i="5" s="1"/>
  <c r="K19" i="5" s="1"/>
  <c r="I18" i="5"/>
  <c r="J18" i="5" s="1"/>
  <c r="K18" i="5" s="1"/>
  <c r="I17" i="5"/>
  <c r="J17" i="5" s="1"/>
  <c r="K17" i="5" s="1"/>
  <c r="I25" i="5"/>
  <c r="J25" i="5" s="1"/>
  <c r="K25" i="5" s="1"/>
  <c r="I23" i="5"/>
  <c r="I22" i="5"/>
  <c r="G110" i="11"/>
  <c r="G108" i="10"/>
  <c r="G111" i="9"/>
  <c r="G112" i="10"/>
  <c r="G112" i="16" s="1"/>
  <c r="G112" i="12" s="1"/>
  <c r="G111" i="11"/>
  <c r="G109" i="10"/>
  <c r="G104" i="10"/>
  <c r="G111" i="10"/>
  <c r="G113" i="10"/>
  <c r="G106" i="10"/>
  <c r="G107" i="10"/>
  <c r="G105" i="10"/>
  <c r="G110" i="10"/>
  <c r="G110" i="9"/>
  <c r="G105" i="11"/>
  <c r="G104" i="11"/>
  <c r="G109" i="11"/>
  <c r="G113" i="11"/>
  <c r="G108" i="11"/>
  <c r="G106" i="9"/>
  <c r="G108" i="9"/>
  <c r="G112" i="11"/>
  <c r="G109" i="9"/>
  <c r="G113" i="9"/>
  <c r="G107" i="9"/>
  <c r="G104" i="9"/>
  <c r="G105" i="9"/>
  <c r="G112" i="9"/>
  <c r="G106" i="11"/>
  <c r="G107" i="11"/>
  <c r="G79" i="10"/>
  <c r="G79" i="16" s="1"/>
  <c r="G79" i="12" s="1"/>
  <c r="G73" i="10"/>
  <c r="G76" i="10"/>
  <c r="G77" i="10"/>
  <c r="G71" i="10"/>
  <c r="G78" i="9"/>
  <c r="G76" i="11"/>
  <c r="G75" i="10"/>
  <c r="G80" i="10"/>
  <c r="G72" i="10"/>
  <c r="G72" i="11"/>
  <c r="G78" i="11"/>
  <c r="G74" i="10"/>
  <c r="G71" i="11"/>
  <c r="G77" i="11"/>
  <c r="G78" i="10"/>
  <c r="G77" i="9"/>
  <c r="G79" i="9"/>
  <c r="G75" i="11"/>
  <c r="G73" i="9"/>
  <c r="G79" i="11"/>
  <c r="G72" i="9"/>
  <c r="G76" i="9"/>
  <c r="G80" i="9"/>
  <c r="G80" i="11"/>
  <c r="G75" i="9"/>
  <c r="G74" i="9"/>
  <c r="G71" i="9"/>
  <c r="G73" i="11"/>
  <c r="G74" i="11"/>
  <c r="G169" i="7"/>
  <c r="G11" i="11"/>
  <c r="G10" i="10"/>
  <c r="G14" i="10"/>
  <c r="G5" i="10"/>
  <c r="G11" i="10"/>
  <c r="G12" i="9"/>
  <c r="G5" i="11"/>
  <c r="G12" i="11"/>
  <c r="G7" i="10"/>
  <c r="G8" i="10"/>
  <c r="G6" i="10"/>
  <c r="G9" i="10"/>
  <c r="G6" i="11"/>
  <c r="G13" i="10"/>
  <c r="G12" i="10"/>
  <c r="G10" i="11"/>
  <c r="G11" i="9"/>
  <c r="G14" i="11"/>
  <c r="G8" i="9"/>
  <c r="G13" i="9"/>
  <c r="G10" i="9"/>
  <c r="G9" i="11"/>
  <c r="G5" i="9"/>
  <c r="G14" i="9"/>
  <c r="G13" i="11"/>
  <c r="G9" i="9"/>
  <c r="G6" i="9"/>
  <c r="G7" i="9"/>
  <c r="G7" i="11"/>
  <c r="G8" i="11"/>
  <c r="G156" i="10"/>
  <c r="G156" i="16" s="1"/>
  <c r="G156" i="12" s="1"/>
  <c r="G157" i="10"/>
  <c r="G151" i="10"/>
  <c r="G153" i="10"/>
  <c r="G148" i="11"/>
  <c r="G150" i="10"/>
  <c r="G148" i="10"/>
  <c r="G149" i="10"/>
  <c r="G154" i="11"/>
  <c r="G154" i="9"/>
  <c r="G155" i="9"/>
  <c r="G149" i="11"/>
  <c r="G153" i="11"/>
  <c r="G155" i="11"/>
  <c r="G155" i="10"/>
  <c r="G154" i="10"/>
  <c r="G152" i="10"/>
  <c r="G152" i="11"/>
  <c r="G152" i="9"/>
  <c r="G156" i="9"/>
  <c r="G148" i="9"/>
  <c r="G153" i="9"/>
  <c r="G149" i="9"/>
  <c r="G150" i="9"/>
  <c r="G157" i="9"/>
  <c r="G157" i="11"/>
  <c r="G156" i="11"/>
  <c r="G151" i="9"/>
  <c r="G150" i="11"/>
  <c r="G151" i="11"/>
  <c r="G134" i="10"/>
  <c r="G134" i="16" s="1"/>
  <c r="G134" i="12" s="1"/>
  <c r="G135" i="10"/>
  <c r="G131" i="11"/>
  <c r="G127" i="11"/>
  <c r="G131" i="10"/>
  <c r="G126" i="10"/>
  <c r="G130" i="10"/>
  <c r="G129" i="10"/>
  <c r="G126" i="11"/>
  <c r="G127" i="10"/>
  <c r="G128" i="10"/>
  <c r="G134" i="11"/>
  <c r="G129" i="9"/>
  <c r="G128" i="9"/>
  <c r="G131" i="9"/>
  <c r="G134" i="9"/>
  <c r="G135" i="11"/>
  <c r="G135" i="9"/>
  <c r="G126" i="9"/>
  <c r="G127" i="9"/>
  <c r="G130" i="11"/>
  <c r="G130" i="9"/>
  <c r="G128" i="11"/>
  <c r="G129" i="11"/>
  <c r="G89" i="11"/>
  <c r="G88" i="11"/>
  <c r="G86" i="10"/>
  <c r="G87" i="10"/>
  <c r="G89" i="10"/>
  <c r="G83" i="10"/>
  <c r="G83" i="11"/>
  <c r="G87" i="11"/>
  <c r="G90" i="10"/>
  <c r="G90" i="16" s="1"/>
  <c r="G90" i="12" s="1"/>
  <c r="G84" i="10"/>
  <c r="G85" i="10"/>
  <c r="G89" i="9"/>
  <c r="G82" i="11"/>
  <c r="G82" i="10"/>
  <c r="G88" i="10"/>
  <c r="G91" i="10"/>
  <c r="G88" i="9"/>
  <c r="G90" i="9"/>
  <c r="G91" i="11"/>
  <c r="G83" i="9"/>
  <c r="G84" i="9"/>
  <c r="G86" i="9"/>
  <c r="G82" i="9"/>
  <c r="G85" i="9"/>
  <c r="G86" i="11"/>
  <c r="G90" i="11"/>
  <c r="G87" i="9"/>
  <c r="G91" i="9"/>
  <c r="G84" i="11"/>
  <c r="G85" i="11"/>
  <c r="G34" i="11"/>
  <c r="G33" i="11"/>
  <c r="G30" i="10"/>
  <c r="G36" i="10"/>
  <c r="G33" i="9"/>
  <c r="G27" i="11"/>
  <c r="G35" i="10"/>
  <c r="G35" i="16" s="1"/>
  <c r="G35" i="12" s="1"/>
  <c r="G32" i="10"/>
  <c r="G28" i="10"/>
  <c r="G34" i="10"/>
  <c r="G34" i="9"/>
  <c r="G33" i="10"/>
  <c r="G27" i="10"/>
  <c r="G28" i="11"/>
  <c r="G32" i="11"/>
  <c r="G29" i="10"/>
  <c r="G31" i="10"/>
  <c r="G35" i="11"/>
  <c r="G35" i="9"/>
  <c r="G27" i="9"/>
  <c r="G31" i="9"/>
  <c r="G29" i="9"/>
  <c r="G36" i="9"/>
  <c r="G29" i="11"/>
  <c r="G36" i="11"/>
  <c r="G28" i="9"/>
  <c r="G30" i="9"/>
  <c r="G31" i="11"/>
  <c r="G32" i="9"/>
  <c r="G30" i="11"/>
  <c r="G145" i="10"/>
  <c r="G145" i="16" s="1"/>
  <c r="G145" i="12" s="1"/>
  <c r="G146" i="10"/>
  <c r="G137" i="10"/>
  <c r="G143" i="11"/>
  <c r="G142" i="10"/>
  <c r="G143" i="9"/>
  <c r="G142" i="11"/>
  <c r="G139" i="10"/>
  <c r="G140" i="10"/>
  <c r="G143" i="10"/>
  <c r="G141" i="10"/>
  <c r="G138" i="10"/>
  <c r="G144" i="9"/>
  <c r="G144" i="11"/>
  <c r="G144" i="10"/>
  <c r="G138" i="11"/>
  <c r="G137" i="11"/>
  <c r="G141" i="9"/>
  <c r="G138" i="9"/>
  <c r="G146" i="11"/>
  <c r="G145" i="11"/>
  <c r="G140" i="9"/>
  <c r="G142" i="9"/>
  <c r="G145" i="9"/>
  <c r="G141" i="11"/>
  <c r="G139" i="9"/>
  <c r="G137" i="9"/>
  <c r="G146" i="9"/>
  <c r="G139" i="11"/>
  <c r="G140" i="11"/>
  <c r="G95" i="10"/>
  <c r="G101" i="10"/>
  <c r="G101" i="16" s="1"/>
  <c r="G101" i="12" s="1"/>
  <c r="G94" i="10"/>
  <c r="G94" i="11"/>
  <c r="G98" i="10"/>
  <c r="G93" i="10"/>
  <c r="G97" i="10"/>
  <c r="G93" i="11"/>
  <c r="G96" i="10"/>
  <c r="G102" i="10"/>
  <c r="G98" i="11"/>
  <c r="G96" i="9"/>
  <c r="G102" i="9"/>
  <c r="G97" i="11"/>
  <c r="G98" i="9"/>
  <c r="G101" i="11"/>
  <c r="G93" i="9"/>
  <c r="G95" i="9"/>
  <c r="G102" i="11"/>
  <c r="G97" i="9"/>
  <c r="G94" i="9"/>
  <c r="G101" i="9"/>
  <c r="G95" i="11"/>
  <c r="G96" i="11"/>
  <c r="G61" i="10"/>
  <c r="G66" i="9"/>
  <c r="G67" i="11"/>
  <c r="G62" i="10"/>
  <c r="G63" i="10"/>
  <c r="G69" i="10"/>
  <c r="G60" i="11"/>
  <c r="G67" i="10"/>
  <c r="G67" i="9"/>
  <c r="G68" i="10"/>
  <c r="G68" i="16" s="1"/>
  <c r="G68" i="12" s="1"/>
  <c r="G66" i="11"/>
  <c r="G60" i="10"/>
  <c r="G65" i="10"/>
  <c r="G66" i="10"/>
  <c r="G64" i="10"/>
  <c r="G61" i="11"/>
  <c r="G65" i="11"/>
  <c r="G69" i="9"/>
  <c r="G68" i="9"/>
  <c r="G64" i="11"/>
  <c r="G69" i="11"/>
  <c r="G64" i="9"/>
  <c r="G63" i="9"/>
  <c r="G68" i="11"/>
  <c r="G62" i="9"/>
  <c r="G65" i="9"/>
  <c r="G61" i="9"/>
  <c r="G60" i="9"/>
  <c r="G62" i="11"/>
  <c r="G63" i="11"/>
  <c r="G46" i="10"/>
  <c r="G46" i="16" s="1"/>
  <c r="G46" i="12" s="1"/>
  <c r="G47" i="10"/>
  <c r="G42" i="10"/>
  <c r="G44" i="10"/>
  <c r="G38" i="10"/>
  <c r="G44" i="9"/>
  <c r="G45" i="9"/>
  <c r="G38" i="11"/>
  <c r="G43" i="11"/>
  <c r="G44" i="11"/>
  <c r="G39" i="10"/>
  <c r="G40" i="10"/>
  <c r="G41" i="10"/>
  <c r="G45" i="11"/>
  <c r="G43" i="10"/>
  <c r="G45" i="10"/>
  <c r="G39" i="11"/>
  <c r="G47" i="11"/>
  <c r="G46" i="11"/>
  <c r="G38" i="9"/>
  <c r="G40" i="9"/>
  <c r="G42" i="11"/>
  <c r="G43" i="9"/>
  <c r="G47" i="9"/>
  <c r="G39" i="9"/>
  <c r="G46" i="9"/>
  <c r="G42" i="9"/>
  <c r="G41" i="9"/>
  <c r="G40" i="11"/>
  <c r="G41" i="11"/>
  <c r="G115" i="10"/>
  <c r="G116" i="10"/>
  <c r="G121" i="11"/>
  <c r="G117" i="10"/>
  <c r="G120" i="10"/>
  <c r="G121" i="10"/>
  <c r="G124" i="10"/>
  <c r="G120" i="11"/>
  <c r="G123" i="10"/>
  <c r="G123" i="16" s="1"/>
  <c r="G123" i="12" s="1"/>
  <c r="G122" i="11"/>
  <c r="G118" i="10"/>
  <c r="G122" i="10"/>
  <c r="G121" i="9"/>
  <c r="G116" i="11"/>
  <c r="G119" i="10"/>
  <c r="G122" i="9"/>
  <c r="G115" i="11"/>
  <c r="G119" i="11"/>
  <c r="G116" i="9"/>
  <c r="G123" i="11"/>
  <c r="G124" i="9"/>
  <c r="G119" i="9"/>
  <c r="G124" i="11"/>
  <c r="G118" i="9"/>
  <c r="G115" i="9"/>
  <c r="G117" i="9"/>
  <c r="G120" i="9"/>
  <c r="G123" i="9"/>
  <c r="G117" i="11"/>
  <c r="G118" i="11"/>
  <c r="G53" i="10"/>
  <c r="G50" i="10"/>
  <c r="G56" i="10"/>
  <c r="G52" i="10"/>
  <c r="G56" i="9"/>
  <c r="G50" i="11"/>
  <c r="G55" i="9"/>
  <c r="G49" i="11"/>
  <c r="G57" i="10"/>
  <c r="G57" i="16" s="1"/>
  <c r="G57" i="12" s="1"/>
  <c r="G55" i="11"/>
  <c r="G54" i="10"/>
  <c r="G55" i="10"/>
  <c r="G54" i="11"/>
  <c r="G56" i="11"/>
  <c r="G51" i="10"/>
  <c r="G58" i="10"/>
  <c r="G49" i="10"/>
  <c r="G53" i="9"/>
  <c r="G57" i="9"/>
  <c r="G57" i="11"/>
  <c r="G49" i="9"/>
  <c r="G58" i="11"/>
  <c r="G58" i="9"/>
  <c r="G52" i="9"/>
  <c r="G53" i="11"/>
  <c r="G50" i="9"/>
  <c r="G51" i="9"/>
  <c r="G54" i="9"/>
  <c r="G51" i="11"/>
  <c r="G52" i="11"/>
  <c r="G21" i="10"/>
  <c r="G17" i="11"/>
  <c r="G16" i="11"/>
  <c r="G20" i="10"/>
  <c r="G19" i="10"/>
  <c r="G25" i="10"/>
  <c r="G21" i="11"/>
  <c r="G24" i="10"/>
  <c r="G18" i="10"/>
  <c r="G16" i="10"/>
  <c r="G17" i="10"/>
  <c r="G24" i="11"/>
  <c r="G17" i="9"/>
  <c r="G21" i="9"/>
  <c r="G19" i="9"/>
  <c r="G20" i="11"/>
  <c r="G25" i="9"/>
  <c r="G20" i="9"/>
  <c r="G18" i="9"/>
  <c r="G25" i="11"/>
  <c r="G24" i="9"/>
  <c r="G16" i="9"/>
  <c r="G18" i="11"/>
  <c r="G19" i="11"/>
  <c r="F122" i="11"/>
  <c r="F120" i="10"/>
  <c r="F122" i="10"/>
  <c r="F117" i="10"/>
  <c r="F118" i="10"/>
  <c r="F124" i="10"/>
  <c r="F122" i="9"/>
  <c r="F115" i="10"/>
  <c r="F116" i="11"/>
  <c r="F123" i="10"/>
  <c r="F123" i="16" s="1"/>
  <c r="F123" i="12" s="1"/>
  <c r="F119" i="10"/>
  <c r="F121" i="10"/>
  <c r="F121" i="9"/>
  <c r="F115" i="11"/>
  <c r="F121" i="11"/>
  <c r="F116" i="10"/>
  <c r="F120" i="11"/>
  <c r="F115" i="9"/>
  <c r="F116" i="9"/>
  <c r="F117" i="9"/>
  <c r="F123" i="11"/>
  <c r="F119" i="9"/>
  <c r="F118" i="9"/>
  <c r="F124" i="11"/>
  <c r="F119" i="11"/>
  <c r="F123" i="9"/>
  <c r="F124" i="9"/>
  <c r="F120" i="9"/>
  <c r="F117" i="11"/>
  <c r="F118" i="11"/>
  <c r="F50" i="10"/>
  <c r="F54" i="10"/>
  <c r="F51" i="10"/>
  <c r="F52" i="10"/>
  <c r="F55" i="10"/>
  <c r="F49" i="11"/>
  <c r="F54" i="11"/>
  <c r="F55" i="11"/>
  <c r="F58" i="10"/>
  <c r="F55" i="9"/>
  <c r="F50" i="11"/>
  <c r="F53" i="10"/>
  <c r="F56" i="9"/>
  <c r="F57" i="10"/>
  <c r="F57" i="16" s="1"/>
  <c r="F57" i="12" s="1"/>
  <c r="F56" i="11"/>
  <c r="F49" i="10"/>
  <c r="F56" i="10"/>
  <c r="F50" i="9"/>
  <c r="F52" i="9"/>
  <c r="F58" i="9"/>
  <c r="F57" i="9"/>
  <c r="F58" i="11"/>
  <c r="F53" i="11"/>
  <c r="F57" i="11"/>
  <c r="F53" i="9"/>
  <c r="F49" i="9"/>
  <c r="F51" i="9"/>
  <c r="F54" i="9"/>
  <c r="F51" i="11"/>
  <c r="F52" i="11"/>
  <c r="F169" i="7"/>
  <c r="F6" i="10"/>
  <c r="F13" i="10"/>
  <c r="F7" i="10"/>
  <c r="F12" i="9"/>
  <c r="F10" i="11"/>
  <c r="F11" i="11"/>
  <c r="F6" i="11"/>
  <c r="F5" i="11"/>
  <c r="F10" i="10"/>
  <c r="F11" i="10"/>
  <c r="F8" i="10"/>
  <c r="F14" i="10"/>
  <c r="F11" i="9"/>
  <c r="F12" i="11"/>
  <c r="F5" i="10"/>
  <c r="F12" i="10"/>
  <c r="F9" i="10"/>
  <c r="F13" i="9"/>
  <c r="F9" i="11"/>
  <c r="F13" i="11"/>
  <c r="F7" i="9"/>
  <c r="F10" i="9"/>
  <c r="F9" i="9"/>
  <c r="F8" i="9"/>
  <c r="F14" i="11"/>
  <c r="F14" i="9"/>
  <c r="F6" i="9"/>
  <c r="F5" i="9"/>
  <c r="F7" i="11"/>
  <c r="F8" i="11"/>
  <c r="F142" i="10"/>
  <c r="F145" i="10"/>
  <c r="F145" i="16" s="1"/>
  <c r="F145" i="12" s="1"/>
  <c r="F143" i="11"/>
  <c r="F138" i="10"/>
  <c r="F142" i="11"/>
  <c r="F139" i="10"/>
  <c r="F138" i="11"/>
  <c r="F137" i="10"/>
  <c r="F143" i="9"/>
  <c r="F137" i="11"/>
  <c r="F144" i="11"/>
  <c r="F146" i="10"/>
  <c r="F143" i="10"/>
  <c r="F141" i="10"/>
  <c r="F140" i="10"/>
  <c r="F144" i="10"/>
  <c r="F144" i="9"/>
  <c r="F145" i="11"/>
  <c r="F140" i="9"/>
  <c r="F145" i="9"/>
  <c r="F146" i="9"/>
  <c r="F141" i="11"/>
  <c r="F138" i="9"/>
  <c r="F142" i="9"/>
  <c r="F146" i="11"/>
  <c r="F141" i="9"/>
  <c r="F137" i="9"/>
  <c r="F139" i="9"/>
  <c r="F139" i="11"/>
  <c r="F140" i="11"/>
  <c r="F94" i="10"/>
  <c r="F95" i="10"/>
  <c r="F97" i="10"/>
  <c r="F93" i="11"/>
  <c r="F93" i="10"/>
  <c r="F96" i="10"/>
  <c r="F94" i="11"/>
  <c r="F101" i="10"/>
  <c r="F101" i="16" s="1"/>
  <c r="F101" i="12" s="1"/>
  <c r="F98" i="11"/>
  <c r="F102" i="10"/>
  <c r="F98" i="10"/>
  <c r="F97" i="11"/>
  <c r="F102" i="11"/>
  <c r="F98" i="9"/>
  <c r="F101" i="9"/>
  <c r="F101" i="11"/>
  <c r="F95" i="9"/>
  <c r="F96" i="9"/>
  <c r="F94" i="9"/>
  <c r="F97" i="9"/>
  <c r="F102" i="9"/>
  <c r="F93" i="9"/>
  <c r="F95" i="11"/>
  <c r="F96" i="11"/>
  <c r="F68" i="10"/>
  <c r="F68" i="16" s="1"/>
  <c r="F68" i="12" s="1"/>
  <c r="F61" i="10"/>
  <c r="F60" i="10"/>
  <c r="F67" i="9"/>
  <c r="F67" i="11"/>
  <c r="F66" i="11"/>
  <c r="F62" i="10"/>
  <c r="F66" i="10"/>
  <c r="F65" i="11"/>
  <c r="F64" i="10"/>
  <c r="F65" i="10"/>
  <c r="F61" i="11"/>
  <c r="F63" i="10"/>
  <c r="F69" i="10"/>
  <c r="F67" i="10"/>
  <c r="F66" i="9"/>
  <c r="F60" i="11"/>
  <c r="F64" i="9"/>
  <c r="F61" i="9"/>
  <c r="F69" i="11"/>
  <c r="F68" i="9"/>
  <c r="F69" i="9"/>
  <c r="F60" i="9"/>
  <c r="F62" i="9"/>
  <c r="F64" i="11"/>
  <c r="F68" i="11"/>
  <c r="F63" i="9"/>
  <c r="F65" i="9"/>
  <c r="F62" i="11"/>
  <c r="F63" i="11"/>
  <c r="F30" i="10"/>
  <c r="F34" i="9"/>
  <c r="F28" i="11"/>
  <c r="F34" i="11"/>
  <c r="F33" i="11"/>
  <c r="F29" i="10"/>
  <c r="F35" i="10"/>
  <c r="F35" i="16" s="1"/>
  <c r="F35" i="12" s="1"/>
  <c r="F28" i="10"/>
  <c r="F34" i="10"/>
  <c r="F31" i="10"/>
  <c r="F33" i="9"/>
  <c r="F27" i="11"/>
  <c r="F33" i="10"/>
  <c r="F32" i="10"/>
  <c r="F27" i="10"/>
  <c r="F36" i="10"/>
  <c r="F32" i="11"/>
  <c r="F29" i="9"/>
  <c r="F36" i="9"/>
  <c r="F36" i="11"/>
  <c r="F31" i="9"/>
  <c r="F27" i="9"/>
  <c r="F35" i="9"/>
  <c r="F30" i="9"/>
  <c r="F31" i="11"/>
  <c r="F35" i="11"/>
  <c r="F28" i="9"/>
  <c r="F32" i="9"/>
  <c r="F29" i="11"/>
  <c r="F30" i="11"/>
  <c r="F109" i="10"/>
  <c r="F108" i="10"/>
  <c r="F111" i="10"/>
  <c r="F104" i="11"/>
  <c r="F106" i="10"/>
  <c r="F107" i="10"/>
  <c r="F113" i="10"/>
  <c r="F110" i="10"/>
  <c r="F111" i="9"/>
  <c r="F109" i="11"/>
  <c r="F112" i="10"/>
  <c r="F112" i="16" s="1"/>
  <c r="F112" i="12" s="1"/>
  <c r="F110" i="11"/>
  <c r="F111" i="11"/>
  <c r="F105" i="10"/>
  <c r="F104" i="10"/>
  <c r="F105" i="11"/>
  <c r="F110" i="9"/>
  <c r="F108" i="9"/>
  <c r="F106" i="9"/>
  <c r="F112" i="11"/>
  <c r="F104" i="9"/>
  <c r="F112" i="9"/>
  <c r="F109" i="9"/>
  <c r="F108" i="11"/>
  <c r="F113" i="11"/>
  <c r="F113" i="9"/>
  <c r="F107" i="9"/>
  <c r="F105" i="9"/>
  <c r="F106" i="11"/>
  <c r="F107" i="11"/>
  <c r="F85" i="10"/>
  <c r="F87" i="10"/>
  <c r="F91" i="10"/>
  <c r="F88" i="9"/>
  <c r="F87" i="11"/>
  <c r="F83" i="10"/>
  <c r="F83" i="11"/>
  <c r="F82" i="11"/>
  <c r="F90" i="10"/>
  <c r="F90" i="16" s="1"/>
  <c r="F90" i="12" s="1"/>
  <c r="F88" i="11"/>
  <c r="F89" i="11"/>
  <c r="F82" i="10"/>
  <c r="F89" i="10"/>
  <c r="F88" i="10"/>
  <c r="F89" i="9"/>
  <c r="F84" i="10"/>
  <c r="F86" i="10"/>
  <c r="F86" i="11"/>
  <c r="F90" i="11"/>
  <c r="F82" i="9"/>
  <c r="F90" i="9"/>
  <c r="F85" i="9"/>
  <c r="F87" i="9"/>
  <c r="F83" i="9"/>
  <c r="F84" i="9"/>
  <c r="F91" i="11"/>
  <c r="F91" i="9"/>
  <c r="F86" i="9"/>
  <c r="F84" i="11"/>
  <c r="F85" i="11"/>
  <c r="F20" i="10"/>
  <c r="F18" i="10"/>
  <c r="F17" i="11"/>
  <c r="F24" i="10"/>
  <c r="F21" i="10"/>
  <c r="F17" i="10"/>
  <c r="F16" i="10"/>
  <c r="F21" i="11"/>
  <c r="F25" i="10"/>
  <c r="F19" i="10"/>
  <c r="F16" i="11"/>
  <c r="F25" i="11"/>
  <c r="F18" i="9"/>
  <c r="F20" i="11"/>
  <c r="F16" i="9"/>
  <c r="F24" i="11"/>
  <c r="F17" i="9"/>
  <c r="F19" i="9"/>
  <c r="F25" i="9"/>
  <c r="F18" i="11"/>
  <c r="F20" i="9"/>
  <c r="F24" i="9"/>
  <c r="F21" i="9"/>
  <c r="F19" i="11"/>
  <c r="F156" i="10"/>
  <c r="F156" i="16" s="1"/>
  <c r="F156" i="12" s="1"/>
  <c r="F155" i="11"/>
  <c r="F150" i="10"/>
  <c r="F148" i="10"/>
  <c r="F149" i="10"/>
  <c r="F154" i="9"/>
  <c r="F149" i="11"/>
  <c r="F154" i="10"/>
  <c r="F152" i="10"/>
  <c r="F155" i="9"/>
  <c r="F153" i="11"/>
  <c r="F154" i="11"/>
  <c r="F153" i="10"/>
  <c r="F157" i="10"/>
  <c r="F151" i="10"/>
  <c r="F155" i="10"/>
  <c r="F148" i="11"/>
  <c r="F152" i="11"/>
  <c r="F156" i="11"/>
  <c r="F153" i="9"/>
  <c r="F149" i="9"/>
  <c r="F157" i="11"/>
  <c r="F157" i="9"/>
  <c r="F156" i="9"/>
  <c r="F152" i="9"/>
  <c r="F150" i="9"/>
  <c r="F148" i="9"/>
  <c r="F151" i="9"/>
  <c r="F150" i="11"/>
  <c r="F151" i="11"/>
  <c r="F126" i="10"/>
  <c r="F129" i="10"/>
  <c r="F127" i="11"/>
  <c r="F128" i="10"/>
  <c r="F130" i="10"/>
  <c r="F126" i="11"/>
  <c r="F131" i="11"/>
  <c r="F134" i="10"/>
  <c r="F134" i="16" s="1"/>
  <c r="F134" i="12" s="1"/>
  <c r="F127" i="10"/>
  <c r="F131" i="10"/>
  <c r="F135" i="10"/>
  <c r="F135" i="11"/>
  <c r="F130" i="9"/>
  <c r="F131" i="9"/>
  <c r="F135" i="9"/>
  <c r="F134" i="9"/>
  <c r="F126" i="9"/>
  <c r="F130" i="11"/>
  <c r="F129" i="9"/>
  <c r="F134" i="11"/>
  <c r="F127" i="9"/>
  <c r="F128" i="9"/>
  <c r="F128" i="11"/>
  <c r="F129" i="11"/>
  <c r="F77" i="10"/>
  <c r="F71" i="10"/>
  <c r="F71" i="11"/>
  <c r="F78" i="11"/>
  <c r="F75" i="10"/>
  <c r="F78" i="9"/>
  <c r="F77" i="9"/>
  <c r="F79" i="10"/>
  <c r="F79" i="16" s="1"/>
  <c r="F79" i="12" s="1"/>
  <c r="F77" i="11"/>
  <c r="F76" i="10"/>
  <c r="F80" i="10"/>
  <c r="F78" i="10"/>
  <c r="F74" i="10"/>
  <c r="F76" i="11"/>
  <c r="F73" i="10"/>
  <c r="F72" i="10"/>
  <c r="F72" i="11"/>
  <c r="F80" i="11"/>
  <c r="F75" i="9"/>
  <c r="F75" i="11"/>
  <c r="F72" i="9"/>
  <c r="F71" i="9"/>
  <c r="F80" i="9"/>
  <c r="F79" i="11"/>
  <c r="F74" i="9"/>
  <c r="F73" i="9"/>
  <c r="F79" i="9"/>
  <c r="F76" i="9"/>
  <c r="F73" i="11"/>
  <c r="F74" i="11"/>
  <c r="F45" i="11"/>
  <c r="F46" i="10"/>
  <c r="F46" i="16" s="1"/>
  <c r="F46" i="12" s="1"/>
  <c r="F43" i="10"/>
  <c r="F47" i="10"/>
  <c r="F45" i="9"/>
  <c r="F44" i="10"/>
  <c r="F38" i="11"/>
  <c r="F44" i="11"/>
  <c r="F42" i="10"/>
  <c r="F45" i="10"/>
  <c r="F38" i="10"/>
  <c r="F44" i="9"/>
  <c r="F39" i="11"/>
  <c r="F43" i="11"/>
  <c r="F40" i="10"/>
  <c r="F41" i="10"/>
  <c r="F39" i="10"/>
  <c r="F42" i="11"/>
  <c r="F47" i="11"/>
  <c r="F42" i="9"/>
  <c r="F43" i="9"/>
  <c r="F47" i="9"/>
  <c r="F46" i="11"/>
  <c r="F40" i="9"/>
  <c r="F41" i="9"/>
  <c r="F38" i="9"/>
  <c r="F39" i="9"/>
  <c r="F46" i="9"/>
  <c r="F40" i="11"/>
  <c r="F41" i="11"/>
  <c r="E144" i="9"/>
  <c r="E137" i="11"/>
  <c r="E142" i="11"/>
  <c r="E143" i="10"/>
  <c r="E142" i="10"/>
  <c r="E140" i="10"/>
  <c r="E144" i="10"/>
  <c r="E141" i="10"/>
  <c r="E145" i="10"/>
  <c r="E145" i="16" s="1"/>
  <c r="E145" i="12" s="1"/>
  <c r="E144" i="11"/>
  <c r="E139" i="10"/>
  <c r="E146" i="10"/>
  <c r="E143" i="9"/>
  <c r="E138" i="11"/>
  <c r="E143" i="11"/>
  <c r="E137" i="10"/>
  <c r="E138" i="10"/>
  <c r="E141" i="9"/>
  <c r="E142" i="9"/>
  <c r="E141" i="11"/>
  <c r="E145" i="11"/>
  <c r="E145" i="9"/>
  <c r="E138" i="9"/>
  <c r="E140" i="9"/>
  <c r="E146" i="9"/>
  <c r="E139" i="9"/>
  <c r="E146" i="11"/>
  <c r="E137" i="9"/>
  <c r="E139" i="11"/>
  <c r="E140" i="11"/>
  <c r="E111" i="11"/>
  <c r="E104" i="10"/>
  <c r="E108" i="10"/>
  <c r="E112" i="10"/>
  <c r="E112" i="16" s="1"/>
  <c r="E112" i="12" s="1"/>
  <c r="E106" i="10"/>
  <c r="E105" i="10"/>
  <c r="E110" i="9"/>
  <c r="E109" i="11"/>
  <c r="E110" i="11"/>
  <c r="E111" i="10"/>
  <c r="E113" i="10"/>
  <c r="E110" i="10"/>
  <c r="E111" i="9"/>
  <c r="E109" i="10"/>
  <c r="E107" i="10"/>
  <c r="E105" i="11"/>
  <c r="E104" i="11"/>
  <c r="E108" i="11"/>
  <c r="E105" i="9"/>
  <c r="E112" i="9"/>
  <c r="E106" i="9"/>
  <c r="E113" i="9"/>
  <c r="E107" i="9"/>
  <c r="E104" i="9"/>
  <c r="E113" i="11"/>
  <c r="E112" i="11"/>
  <c r="E108" i="9"/>
  <c r="E109" i="9"/>
  <c r="E106" i="11"/>
  <c r="E107" i="11"/>
  <c r="E156" i="10"/>
  <c r="E156" i="16" s="1"/>
  <c r="E156" i="12" s="1"/>
  <c r="E153" i="10"/>
  <c r="E155" i="9"/>
  <c r="E154" i="9"/>
  <c r="E149" i="11"/>
  <c r="E148" i="11"/>
  <c r="E150" i="10"/>
  <c r="E154" i="10"/>
  <c r="E152" i="10"/>
  <c r="E148" i="10"/>
  <c r="E155" i="11"/>
  <c r="E154" i="11"/>
  <c r="E157" i="10"/>
  <c r="E155" i="10"/>
  <c r="E153" i="11"/>
  <c r="E149" i="10"/>
  <c r="E151" i="10"/>
  <c r="E150" i="9"/>
  <c r="E156" i="9"/>
  <c r="E153" i="9"/>
  <c r="E157" i="11"/>
  <c r="E156" i="11"/>
  <c r="E152" i="9"/>
  <c r="E152" i="11"/>
  <c r="E151" i="9"/>
  <c r="E149" i="9"/>
  <c r="E157" i="9"/>
  <c r="E148" i="9"/>
  <c r="E150" i="11"/>
  <c r="E151" i="11"/>
  <c r="E90" i="10"/>
  <c r="E90" i="16" s="1"/>
  <c r="E90" i="12" s="1"/>
  <c r="E88" i="11"/>
  <c r="E88" i="10"/>
  <c r="E87" i="10"/>
  <c r="E86" i="10"/>
  <c r="E82" i="11"/>
  <c r="E85" i="10"/>
  <c r="E91" i="10"/>
  <c r="E89" i="10"/>
  <c r="E84" i="10"/>
  <c r="E89" i="9"/>
  <c r="E88" i="9"/>
  <c r="E83" i="11"/>
  <c r="E89" i="11"/>
  <c r="E82" i="10"/>
  <c r="E83" i="10"/>
  <c r="E87" i="11"/>
  <c r="E86" i="11"/>
  <c r="E84" i="9"/>
  <c r="E83" i="9"/>
  <c r="E85" i="9"/>
  <c r="E82" i="9"/>
  <c r="E91" i="11"/>
  <c r="E90" i="11"/>
  <c r="E91" i="9"/>
  <c r="E87" i="9"/>
  <c r="E86" i="9"/>
  <c r="E90" i="9"/>
  <c r="E84" i="11"/>
  <c r="E85" i="11"/>
  <c r="E123" i="10"/>
  <c r="E123" i="16" s="1"/>
  <c r="E123" i="12" s="1"/>
  <c r="E121" i="11"/>
  <c r="E117" i="10"/>
  <c r="E122" i="10"/>
  <c r="E122" i="9"/>
  <c r="E115" i="11"/>
  <c r="E116" i="10"/>
  <c r="E118" i="10"/>
  <c r="E121" i="9"/>
  <c r="E116" i="11"/>
  <c r="E120" i="11"/>
  <c r="E122" i="11"/>
  <c r="E121" i="10"/>
  <c r="E124" i="10"/>
  <c r="E115" i="10"/>
  <c r="E120" i="10"/>
  <c r="E119" i="10"/>
  <c r="E124" i="9"/>
  <c r="E117" i="9"/>
  <c r="E123" i="11"/>
  <c r="E119" i="9"/>
  <c r="E116" i="9"/>
  <c r="E118" i="9"/>
  <c r="E124" i="11"/>
  <c r="E119" i="11"/>
  <c r="E115" i="9"/>
  <c r="E123" i="9"/>
  <c r="E120" i="9"/>
  <c r="E117" i="11"/>
  <c r="E118" i="11"/>
  <c r="E75" i="10"/>
  <c r="E71" i="10"/>
  <c r="E78" i="11"/>
  <c r="E77" i="10"/>
  <c r="E74" i="10"/>
  <c r="E78" i="9"/>
  <c r="E72" i="11"/>
  <c r="E71" i="11"/>
  <c r="E79" i="10"/>
  <c r="E79" i="16" s="1"/>
  <c r="E79" i="12" s="1"/>
  <c r="E76" i="10"/>
  <c r="E73" i="10"/>
  <c r="E72" i="10"/>
  <c r="E78" i="10"/>
  <c r="E80" i="10"/>
  <c r="E77" i="9"/>
  <c r="E77" i="11"/>
  <c r="E76" i="11"/>
  <c r="E79" i="11"/>
  <c r="E71" i="9"/>
  <c r="E74" i="9"/>
  <c r="E80" i="11"/>
  <c r="E75" i="9"/>
  <c r="E80" i="9"/>
  <c r="E76" i="9"/>
  <c r="E75" i="11"/>
  <c r="E79" i="9"/>
  <c r="E73" i="9"/>
  <c r="E72" i="9"/>
  <c r="E73" i="11"/>
  <c r="E74" i="11"/>
  <c r="E134" i="10"/>
  <c r="E134" i="16" s="1"/>
  <c r="E134" i="12" s="1"/>
  <c r="E127" i="10"/>
  <c r="E130" i="10"/>
  <c r="E135" i="10"/>
  <c r="E126" i="11"/>
  <c r="E131" i="10"/>
  <c r="E129" i="10"/>
  <c r="E126" i="10"/>
  <c r="E128" i="10"/>
  <c r="E127" i="11"/>
  <c r="E131" i="11"/>
  <c r="E135" i="11"/>
  <c r="E129" i="9"/>
  <c r="E130" i="11"/>
  <c r="E135" i="9"/>
  <c r="E130" i="9"/>
  <c r="E134" i="9"/>
  <c r="E127" i="9"/>
  <c r="E131" i="9"/>
  <c r="E134" i="11"/>
  <c r="E128" i="9"/>
  <c r="E126" i="9"/>
  <c r="E128" i="11"/>
  <c r="E129" i="11"/>
  <c r="E102" i="10"/>
  <c r="E98" i="10"/>
  <c r="E96" i="10"/>
  <c r="E98" i="11"/>
  <c r="E101" i="10"/>
  <c r="E101" i="16" s="1"/>
  <c r="E101" i="12" s="1"/>
  <c r="E93" i="10"/>
  <c r="E97" i="10"/>
  <c r="E95" i="10"/>
  <c r="E94" i="10"/>
  <c r="E94" i="11"/>
  <c r="E93" i="11"/>
  <c r="E101" i="11"/>
  <c r="E101" i="9"/>
  <c r="E98" i="9"/>
  <c r="E102" i="11"/>
  <c r="E95" i="9"/>
  <c r="E93" i="9"/>
  <c r="E97" i="11"/>
  <c r="E97" i="9"/>
  <c r="E94" i="9"/>
  <c r="E102" i="9"/>
  <c r="E96" i="9"/>
  <c r="E95" i="11"/>
  <c r="E96" i="11"/>
  <c r="E67" i="11"/>
  <c r="E64" i="10"/>
  <c r="E66" i="10"/>
  <c r="E62" i="10"/>
  <c r="E67" i="10"/>
  <c r="E69" i="10"/>
  <c r="E67" i="9"/>
  <c r="E63" i="10"/>
  <c r="E61" i="10"/>
  <c r="E61" i="11"/>
  <c r="E68" i="10"/>
  <c r="E68" i="16" s="1"/>
  <c r="E68" i="12" s="1"/>
  <c r="E66" i="11"/>
  <c r="E65" i="10"/>
  <c r="E60" i="10"/>
  <c r="E66" i="9"/>
  <c r="E60" i="11"/>
  <c r="E65" i="11"/>
  <c r="E68" i="11"/>
  <c r="E64" i="9"/>
  <c r="E61" i="9"/>
  <c r="E62" i="9"/>
  <c r="E60" i="9"/>
  <c r="E65" i="9"/>
  <c r="E69" i="11"/>
  <c r="E64" i="11"/>
  <c r="E69" i="9"/>
  <c r="E68" i="9"/>
  <c r="E63" i="9"/>
  <c r="E62" i="11"/>
  <c r="E63" i="11"/>
  <c r="E55" i="11"/>
  <c r="E56" i="11"/>
  <c r="E49" i="10"/>
  <c r="E52" i="10"/>
  <c r="E54" i="10"/>
  <c r="E56" i="9"/>
  <c r="E56" i="10"/>
  <c r="E50" i="10"/>
  <c r="E55" i="10"/>
  <c r="E53" i="10"/>
  <c r="E55" i="9"/>
  <c r="E49" i="11"/>
  <c r="E51" i="10"/>
  <c r="E54" i="11"/>
  <c r="E57" i="11"/>
  <c r="E57" i="10"/>
  <c r="E57" i="16" s="1"/>
  <c r="E57" i="12" s="1"/>
  <c r="E58" i="10"/>
  <c r="E50" i="11"/>
  <c r="E53" i="11"/>
  <c r="E58" i="9"/>
  <c r="E54" i="9"/>
  <c r="E49" i="9"/>
  <c r="E50" i="9"/>
  <c r="E58" i="11"/>
  <c r="E53" i="9"/>
  <c r="E57" i="9"/>
  <c r="E52" i="9"/>
  <c r="E51" i="9"/>
  <c r="E51" i="11"/>
  <c r="E52" i="11"/>
  <c r="E40" i="10"/>
  <c r="E39" i="10"/>
  <c r="E45" i="9"/>
  <c r="E47" i="10"/>
  <c r="E39" i="11"/>
  <c r="E38" i="11"/>
  <c r="E46" i="10"/>
  <c r="E46" i="16" s="1"/>
  <c r="E46" i="12" s="1"/>
  <c r="E44" i="11"/>
  <c r="E45" i="11"/>
  <c r="E43" i="10"/>
  <c r="E41" i="10"/>
  <c r="E42" i="10"/>
  <c r="E43" i="11"/>
  <c r="E44" i="10"/>
  <c r="E38" i="10"/>
  <c r="E45" i="10"/>
  <c r="E44" i="9"/>
  <c r="E47" i="9"/>
  <c r="E41" i="9"/>
  <c r="E46" i="11"/>
  <c r="E42" i="9"/>
  <c r="E43" i="9"/>
  <c r="E38" i="9"/>
  <c r="E39" i="9"/>
  <c r="E46" i="9"/>
  <c r="E47" i="11"/>
  <c r="E42" i="11"/>
  <c r="E40" i="9"/>
  <c r="E40" i="11"/>
  <c r="E41" i="11"/>
  <c r="E35" i="10"/>
  <c r="E35" i="16" s="1"/>
  <c r="E35" i="12" s="1"/>
  <c r="E34" i="11"/>
  <c r="E34" i="10"/>
  <c r="E32" i="10"/>
  <c r="E30" i="10"/>
  <c r="E36" i="10"/>
  <c r="E28" i="10"/>
  <c r="E33" i="9"/>
  <c r="E28" i="11"/>
  <c r="E32" i="11"/>
  <c r="E33" i="11"/>
  <c r="E33" i="10"/>
  <c r="E31" i="10"/>
  <c r="E27" i="10"/>
  <c r="E29" i="10"/>
  <c r="E34" i="9"/>
  <c r="E27" i="11"/>
  <c r="E31" i="9"/>
  <c r="E35" i="9"/>
  <c r="E32" i="9"/>
  <c r="E30" i="9"/>
  <c r="E27" i="9"/>
  <c r="E28" i="9"/>
  <c r="E29" i="9"/>
  <c r="E31" i="11"/>
  <c r="E35" i="11"/>
  <c r="E36" i="9"/>
  <c r="E36" i="11"/>
  <c r="E29" i="11"/>
  <c r="E30" i="11"/>
  <c r="E16" i="10"/>
  <c r="E18" i="10"/>
  <c r="E17" i="11"/>
  <c r="E21" i="10"/>
  <c r="E25" i="10"/>
  <c r="E16" i="11"/>
  <c r="E24" i="10"/>
  <c r="E19" i="10"/>
  <c r="E20" i="10"/>
  <c r="E21" i="11"/>
  <c r="E17" i="10"/>
  <c r="E18" i="11"/>
  <c r="E20" i="11"/>
  <c r="E25" i="11"/>
  <c r="E19" i="9"/>
  <c r="E24" i="11"/>
  <c r="E20" i="9"/>
  <c r="E17" i="9"/>
  <c r="E16" i="9"/>
  <c r="E18" i="9"/>
  <c r="E25" i="9"/>
  <c r="E21" i="9"/>
  <c r="E24" i="9"/>
  <c r="E19" i="11"/>
  <c r="E169" i="7"/>
  <c r="E13" i="10"/>
  <c r="E11" i="11"/>
  <c r="E12" i="11"/>
  <c r="E6" i="10"/>
  <c r="E11" i="10"/>
  <c r="E12" i="10"/>
  <c r="E11" i="9"/>
  <c r="E12" i="9"/>
  <c r="E6" i="11"/>
  <c r="E10" i="11"/>
  <c r="E14" i="10"/>
  <c r="E7" i="10"/>
  <c r="E9" i="10"/>
  <c r="E5" i="11"/>
  <c r="E10" i="10"/>
  <c r="E5" i="10"/>
  <c r="E8" i="10"/>
  <c r="E8" i="9"/>
  <c r="E10" i="9"/>
  <c r="E13" i="11"/>
  <c r="E7" i="9"/>
  <c r="E6" i="9"/>
  <c r="E14" i="9"/>
  <c r="E5" i="9"/>
  <c r="E9" i="11"/>
  <c r="E14" i="11"/>
  <c r="E9" i="9"/>
  <c r="E13" i="9"/>
  <c r="E7" i="11"/>
  <c r="E8" i="11"/>
  <c r="D154" i="11"/>
  <c r="D148" i="10"/>
  <c r="D149" i="10"/>
  <c r="D152" i="10"/>
  <c r="D155" i="9"/>
  <c r="D155" i="10"/>
  <c r="D154" i="10"/>
  <c r="D148" i="11"/>
  <c r="D153" i="10"/>
  <c r="D157" i="10"/>
  <c r="D151" i="10"/>
  <c r="D154" i="9"/>
  <c r="D149" i="11"/>
  <c r="D153" i="11"/>
  <c r="D156" i="10"/>
  <c r="D156" i="16" s="1"/>
  <c r="D156" i="12" s="1"/>
  <c r="D155" i="11"/>
  <c r="D150" i="10"/>
  <c r="D150" i="11"/>
  <c r="D157" i="11"/>
  <c r="D151" i="9"/>
  <c r="D148" i="9"/>
  <c r="D150" i="9"/>
  <c r="D152" i="11"/>
  <c r="D152" i="9"/>
  <c r="D149" i="9"/>
  <c r="D153" i="9"/>
  <c r="D156" i="9"/>
  <c r="D157" i="9"/>
  <c r="D156" i="11"/>
  <c r="D151" i="11"/>
  <c r="D145" i="10"/>
  <c r="D145" i="16" s="1"/>
  <c r="D145" i="12" s="1"/>
  <c r="D140" i="10"/>
  <c r="D139" i="10"/>
  <c r="D144" i="10"/>
  <c r="D143" i="11"/>
  <c r="D143" i="10"/>
  <c r="D138" i="10"/>
  <c r="D141" i="10"/>
  <c r="D137" i="11"/>
  <c r="D142" i="11"/>
  <c r="D137" i="10"/>
  <c r="D146" i="10"/>
  <c r="D144" i="11"/>
  <c r="D142" i="10"/>
  <c r="D144" i="9"/>
  <c r="D143" i="9"/>
  <c r="D138" i="11"/>
  <c r="D139" i="11"/>
  <c r="D141" i="11"/>
  <c r="D145" i="9"/>
  <c r="D146" i="11"/>
  <c r="D146" i="9"/>
  <c r="D145" i="11"/>
  <c r="D141" i="9"/>
  <c r="D138" i="9"/>
  <c r="D139" i="9"/>
  <c r="D142" i="9"/>
  <c r="D140" i="9"/>
  <c r="D137" i="9"/>
  <c r="D140" i="11"/>
  <c r="D134" i="10"/>
  <c r="D134" i="16" s="1"/>
  <c r="D134" i="12" s="1"/>
  <c r="D130" i="10"/>
  <c r="D135" i="10"/>
  <c r="D127" i="11"/>
  <c r="D126" i="11"/>
  <c r="D131" i="10"/>
  <c r="D127" i="10"/>
  <c r="D131" i="11"/>
  <c r="D129" i="10"/>
  <c r="D128" i="10"/>
  <c r="D126" i="10"/>
  <c r="D134" i="11"/>
  <c r="D127" i="9"/>
  <c r="D131" i="9"/>
  <c r="D135" i="9"/>
  <c r="D130" i="9"/>
  <c r="D126" i="9"/>
  <c r="D128" i="9"/>
  <c r="D135" i="11"/>
  <c r="D128" i="11"/>
  <c r="D130" i="11"/>
  <c r="D134" i="9"/>
  <c r="D129" i="9"/>
  <c r="D129" i="11"/>
  <c r="D116" i="10"/>
  <c r="D121" i="10"/>
  <c r="D124" i="10"/>
  <c r="D122" i="9"/>
  <c r="D123" i="10"/>
  <c r="D123" i="16" s="1"/>
  <c r="D123" i="12" s="1"/>
  <c r="D120" i="10"/>
  <c r="D115" i="10"/>
  <c r="D118" i="10"/>
  <c r="D122" i="11"/>
  <c r="D119" i="10"/>
  <c r="D117" i="10"/>
  <c r="D122" i="10"/>
  <c r="D121" i="11"/>
  <c r="D121" i="9"/>
  <c r="D116" i="11"/>
  <c r="D115" i="11"/>
  <c r="D120" i="11"/>
  <c r="D123" i="11"/>
  <c r="D119" i="9"/>
  <c r="D123" i="9"/>
  <c r="D115" i="9"/>
  <c r="D117" i="9"/>
  <c r="D120" i="9"/>
  <c r="D124" i="9"/>
  <c r="D119" i="11"/>
  <c r="D124" i="11"/>
  <c r="D116" i="9"/>
  <c r="D118" i="9"/>
  <c r="D117" i="11"/>
  <c r="D118" i="11"/>
  <c r="D106" i="10"/>
  <c r="D108" i="10"/>
  <c r="D109" i="10"/>
  <c r="D104" i="10"/>
  <c r="D104" i="11"/>
  <c r="D110" i="11"/>
  <c r="D111" i="11"/>
  <c r="D110" i="10"/>
  <c r="D105" i="10"/>
  <c r="D113" i="10"/>
  <c r="D111" i="10"/>
  <c r="D111" i="9"/>
  <c r="D109" i="11"/>
  <c r="D112" i="10"/>
  <c r="D112" i="16" s="1"/>
  <c r="D112" i="12" s="1"/>
  <c r="D107" i="10"/>
  <c r="D110" i="9"/>
  <c r="D105" i="11"/>
  <c r="D105" i="9"/>
  <c r="D106" i="9"/>
  <c r="D107" i="9"/>
  <c r="D112" i="11"/>
  <c r="D108" i="9"/>
  <c r="D109" i="9"/>
  <c r="D106" i="11"/>
  <c r="D113" i="11"/>
  <c r="D112" i="9"/>
  <c r="D104" i="9"/>
  <c r="D108" i="11"/>
  <c r="D113" i="9"/>
  <c r="D107" i="11"/>
  <c r="D101" i="10"/>
  <c r="D101" i="16" s="1"/>
  <c r="D101" i="12" s="1"/>
  <c r="D95" i="10"/>
  <c r="D98" i="10"/>
  <c r="D94" i="10"/>
  <c r="D98" i="11"/>
  <c r="D96" i="10"/>
  <c r="D93" i="10"/>
  <c r="D93" i="11"/>
  <c r="D97" i="10"/>
  <c r="D94" i="11"/>
  <c r="D102" i="10"/>
  <c r="D102" i="9"/>
  <c r="D97" i="9"/>
  <c r="D94" i="9"/>
  <c r="D96" i="9"/>
  <c r="D101" i="9"/>
  <c r="D98" i="9"/>
  <c r="D93" i="9"/>
  <c r="D95" i="11"/>
  <c r="D102" i="11"/>
  <c r="D97" i="11"/>
  <c r="D101" i="11"/>
  <c r="D95" i="9"/>
  <c r="D96" i="11"/>
  <c r="D90" i="10"/>
  <c r="D90" i="16" s="1"/>
  <c r="D90" i="12" s="1"/>
  <c r="D89" i="10"/>
  <c r="D91" i="10"/>
  <c r="D89" i="9"/>
  <c r="D88" i="9"/>
  <c r="D83" i="11"/>
  <c r="D88" i="10"/>
  <c r="D86" i="10"/>
  <c r="D86" i="11"/>
  <c r="D89" i="11"/>
  <c r="D82" i="10"/>
  <c r="D87" i="10"/>
  <c r="D85" i="10"/>
  <c r="D83" i="10"/>
  <c r="D82" i="11"/>
  <c r="D88" i="11"/>
  <c r="D84" i="10"/>
  <c r="D87" i="11"/>
  <c r="D90" i="11"/>
  <c r="D91" i="9"/>
  <c r="D83" i="9"/>
  <c r="D87" i="9"/>
  <c r="D84" i="11"/>
  <c r="D91" i="11"/>
  <c r="D84" i="9"/>
  <c r="D86" i="9"/>
  <c r="D82" i="9"/>
  <c r="D90" i="9"/>
  <c r="D85" i="9"/>
  <c r="D85" i="11"/>
  <c r="D78" i="10"/>
  <c r="D76" i="11"/>
  <c r="D77" i="11"/>
  <c r="D78" i="11"/>
  <c r="D71" i="10"/>
  <c r="D72" i="10"/>
  <c r="D80" i="10"/>
  <c r="D72" i="11"/>
  <c r="D79" i="10"/>
  <c r="D79" i="16" s="1"/>
  <c r="D79" i="12" s="1"/>
  <c r="D75" i="10"/>
  <c r="D76" i="10"/>
  <c r="D78" i="9"/>
  <c r="D74" i="10"/>
  <c r="D73" i="10"/>
  <c r="D77" i="10"/>
  <c r="D77" i="9"/>
  <c r="D71" i="11"/>
  <c r="D75" i="11"/>
  <c r="D72" i="9"/>
  <c r="D74" i="9"/>
  <c r="D75" i="9"/>
  <c r="D73" i="11"/>
  <c r="D71" i="9"/>
  <c r="D73" i="9"/>
  <c r="D79" i="9"/>
  <c r="D80" i="11"/>
  <c r="D79" i="11"/>
  <c r="D80" i="9"/>
  <c r="D76" i="9"/>
  <c r="D74" i="11"/>
  <c r="D68" i="10"/>
  <c r="D68" i="16" s="1"/>
  <c r="D68" i="12" s="1"/>
  <c r="D66" i="11"/>
  <c r="D60" i="10"/>
  <c r="D61" i="10"/>
  <c r="D66" i="9"/>
  <c r="D61" i="11"/>
  <c r="D65" i="11"/>
  <c r="D69" i="10"/>
  <c r="D67" i="9"/>
  <c r="D63" i="10"/>
  <c r="D62" i="10"/>
  <c r="D65" i="10"/>
  <c r="D64" i="10"/>
  <c r="D67" i="11"/>
  <c r="D66" i="10"/>
  <c r="D67" i="10"/>
  <c r="D60" i="11"/>
  <c r="D68" i="11"/>
  <c r="D69" i="9"/>
  <c r="D68" i="9"/>
  <c r="D65" i="9"/>
  <c r="D64" i="9"/>
  <c r="D62" i="11"/>
  <c r="D61" i="9"/>
  <c r="D62" i="9"/>
  <c r="D69" i="11"/>
  <c r="D64" i="11"/>
  <c r="D63" i="9"/>
  <c r="D60" i="9"/>
  <c r="D63" i="11"/>
  <c r="D56" i="11"/>
  <c r="D49" i="11"/>
  <c r="D54" i="11"/>
  <c r="D55" i="11"/>
  <c r="D51" i="10"/>
  <c r="D52" i="10"/>
  <c r="D56" i="10"/>
  <c r="D53" i="10"/>
  <c r="D50" i="10"/>
  <c r="D55" i="9"/>
  <c r="D57" i="10"/>
  <c r="D57" i="16" s="1"/>
  <c r="D57" i="12" s="1"/>
  <c r="D58" i="10"/>
  <c r="D54" i="10"/>
  <c r="D55" i="10"/>
  <c r="D49" i="10"/>
  <c r="D56" i="9"/>
  <c r="D50" i="11"/>
  <c r="D58" i="11"/>
  <c r="D50" i="9"/>
  <c r="D49" i="9"/>
  <c r="D54" i="9"/>
  <c r="D51" i="11"/>
  <c r="D58" i="9"/>
  <c r="D52" i="9"/>
  <c r="D53" i="9"/>
  <c r="D51" i="9"/>
  <c r="D57" i="9"/>
  <c r="D53" i="11"/>
  <c r="D57" i="11"/>
  <c r="D52" i="11"/>
  <c r="D45" i="11"/>
  <c r="D44" i="10"/>
  <c r="D40" i="10"/>
  <c r="D41" i="10"/>
  <c r="D42" i="10"/>
  <c r="D38" i="10"/>
  <c r="D38" i="11"/>
  <c r="D46" i="10"/>
  <c r="D46" i="16" s="1"/>
  <c r="D46" i="12" s="1"/>
  <c r="D43" i="10"/>
  <c r="D44" i="9"/>
  <c r="D39" i="11"/>
  <c r="D43" i="11"/>
  <c r="D44" i="11"/>
  <c r="D39" i="10"/>
  <c r="D45" i="9"/>
  <c r="D47" i="10"/>
  <c r="D45" i="10"/>
  <c r="D38" i="9"/>
  <c r="D47" i="11"/>
  <c r="D40" i="9"/>
  <c r="D42" i="11"/>
  <c r="D39" i="9"/>
  <c r="D46" i="9"/>
  <c r="D47" i="9"/>
  <c r="D40" i="11"/>
  <c r="D46" i="11"/>
  <c r="D42" i="9"/>
  <c r="D41" i="9"/>
  <c r="D43" i="9"/>
  <c r="D41" i="11"/>
  <c r="D35" i="10"/>
  <c r="D35" i="16" s="1"/>
  <c r="D35" i="12" s="1"/>
  <c r="D33" i="11"/>
  <c r="D29" i="10"/>
  <c r="D34" i="10"/>
  <c r="D32" i="10"/>
  <c r="D33" i="9"/>
  <c r="D27" i="11"/>
  <c r="D32" i="11"/>
  <c r="D33" i="10"/>
  <c r="D36" i="10"/>
  <c r="D34" i="9"/>
  <c r="D28" i="11"/>
  <c r="D34" i="11"/>
  <c r="D31" i="10"/>
  <c r="D27" i="10"/>
  <c r="D28" i="10"/>
  <c r="D30" i="10"/>
  <c r="D29" i="11"/>
  <c r="D35" i="11"/>
  <c r="D31" i="11"/>
  <c r="D30" i="9"/>
  <c r="D31" i="9"/>
  <c r="D35" i="9"/>
  <c r="D29" i="9"/>
  <c r="D36" i="9"/>
  <c r="D36" i="11"/>
  <c r="D27" i="9"/>
  <c r="D28" i="9"/>
  <c r="D32" i="9"/>
  <c r="D30" i="11"/>
  <c r="D18" i="10"/>
  <c r="D19" i="10"/>
  <c r="D17" i="11"/>
  <c r="D21" i="11"/>
  <c r="D21" i="10"/>
  <c r="D25" i="10"/>
  <c r="D17" i="10"/>
  <c r="D24" i="10"/>
  <c r="D16" i="10"/>
  <c r="D20" i="10"/>
  <c r="D16" i="11"/>
  <c r="D18" i="11"/>
  <c r="D25" i="11"/>
  <c r="D20" i="9"/>
  <c r="D18" i="9"/>
  <c r="D21" i="9"/>
  <c r="D19" i="9"/>
  <c r="D17" i="9"/>
  <c r="D24" i="9"/>
  <c r="D20" i="11"/>
  <c r="D24" i="11"/>
  <c r="D25" i="9"/>
  <c r="D16" i="9"/>
  <c r="D19" i="11"/>
  <c r="D169" i="7"/>
  <c r="D11" i="11"/>
  <c r="D9" i="10"/>
  <c r="D12" i="9"/>
  <c r="D10" i="10"/>
  <c r="D7" i="10"/>
  <c r="D12" i="10"/>
  <c r="D6" i="10"/>
  <c r="D14" i="10"/>
  <c r="D11" i="9"/>
  <c r="D6" i="11"/>
  <c r="D12" i="11"/>
  <c r="D11" i="10"/>
  <c r="D5" i="10"/>
  <c r="D10" i="11"/>
  <c r="D13" i="10"/>
  <c r="D8" i="10"/>
  <c r="D5" i="11"/>
  <c r="D9" i="11"/>
  <c r="D9" i="9"/>
  <c r="D10" i="9"/>
  <c r="D7" i="11"/>
  <c r="D14" i="11"/>
  <c r="D14" i="9"/>
  <c r="D5" i="9"/>
  <c r="D7" i="9"/>
  <c r="D13" i="11"/>
  <c r="D6" i="9"/>
  <c r="D8" i="9"/>
  <c r="D13" i="9"/>
  <c r="D8" i="11"/>
  <c r="C145" i="10"/>
  <c r="C145" i="16" s="1"/>
  <c r="C145" i="12" s="1"/>
  <c r="C146" i="10"/>
  <c r="C138" i="10"/>
  <c r="C144" i="9"/>
  <c r="C143" i="9"/>
  <c r="C139" i="10"/>
  <c r="C142" i="11"/>
  <c r="C144" i="11"/>
  <c r="C142" i="10"/>
  <c r="C143" i="10"/>
  <c r="C144" i="10"/>
  <c r="C140" i="10"/>
  <c r="C141" i="10"/>
  <c r="C137" i="10"/>
  <c r="C138" i="11"/>
  <c r="C137" i="11"/>
  <c r="C143" i="11"/>
  <c r="C146" i="11"/>
  <c r="C145" i="11"/>
  <c r="C146" i="9"/>
  <c r="C141" i="9"/>
  <c r="C138" i="9"/>
  <c r="C145" i="9"/>
  <c r="C142" i="9"/>
  <c r="C137" i="9"/>
  <c r="C139" i="11"/>
  <c r="C141" i="11"/>
  <c r="C139" i="9"/>
  <c r="C140" i="9"/>
  <c r="C140" i="11"/>
  <c r="C90" i="10"/>
  <c r="C90" i="16" s="1"/>
  <c r="C90" i="12" s="1"/>
  <c r="C89" i="11"/>
  <c r="C88" i="10"/>
  <c r="C87" i="10"/>
  <c r="C85" i="10"/>
  <c r="C86" i="10"/>
  <c r="C91" i="10"/>
  <c r="C88" i="11"/>
  <c r="C89" i="9"/>
  <c r="C83" i="10"/>
  <c r="C82" i="10"/>
  <c r="C88" i="9"/>
  <c r="C89" i="10"/>
  <c r="C84" i="10"/>
  <c r="C83" i="11"/>
  <c r="C82" i="11"/>
  <c r="C87" i="11"/>
  <c r="C87" i="9"/>
  <c r="C86" i="11"/>
  <c r="C91" i="11"/>
  <c r="C90" i="11"/>
  <c r="C83" i="9"/>
  <c r="C84" i="11"/>
  <c r="C82" i="9"/>
  <c r="C85" i="9"/>
  <c r="C90" i="9"/>
  <c r="C91" i="9"/>
  <c r="C86" i="9"/>
  <c r="C84" i="9"/>
  <c r="C85" i="11"/>
  <c r="C69" i="10"/>
  <c r="C67" i="11"/>
  <c r="C66" i="10"/>
  <c r="C65" i="10"/>
  <c r="C60" i="10"/>
  <c r="C61" i="10"/>
  <c r="C65" i="11"/>
  <c r="C66" i="9"/>
  <c r="C60" i="11"/>
  <c r="C61" i="11"/>
  <c r="C68" i="10"/>
  <c r="C68" i="16" s="1"/>
  <c r="C68" i="12" s="1"/>
  <c r="C67" i="9"/>
  <c r="C62" i="10"/>
  <c r="C63" i="10"/>
  <c r="C67" i="10"/>
  <c r="C64" i="10"/>
  <c r="C66" i="11"/>
  <c r="C64" i="11"/>
  <c r="C64" i="9"/>
  <c r="C63" i="9"/>
  <c r="C65" i="9"/>
  <c r="C62" i="9"/>
  <c r="C62" i="11"/>
  <c r="C68" i="11"/>
  <c r="C69" i="9"/>
  <c r="C69" i="11"/>
  <c r="C68" i="9"/>
  <c r="C61" i="9"/>
  <c r="C60" i="9"/>
  <c r="C63" i="11"/>
  <c r="C33" i="10"/>
  <c r="C33" i="11"/>
  <c r="C34" i="11"/>
  <c r="C36" i="10"/>
  <c r="C31" i="10"/>
  <c r="C27" i="10"/>
  <c r="C28" i="11"/>
  <c r="C32" i="11"/>
  <c r="C29" i="11"/>
  <c r="C32" i="10"/>
  <c r="C34" i="10"/>
  <c r="C28" i="10"/>
  <c r="C34" i="9"/>
  <c r="C27" i="11"/>
  <c r="C35" i="10"/>
  <c r="C35" i="16" s="1"/>
  <c r="C35" i="12" s="1"/>
  <c r="C29" i="10"/>
  <c r="C30" i="10"/>
  <c r="C33" i="9"/>
  <c r="C36" i="11"/>
  <c r="C36" i="9"/>
  <c r="C29" i="9"/>
  <c r="C28" i="9"/>
  <c r="C35" i="9"/>
  <c r="C31" i="11"/>
  <c r="C35" i="11"/>
  <c r="C30" i="9"/>
  <c r="C27" i="9"/>
  <c r="C32" i="9"/>
  <c r="C31" i="9"/>
  <c r="C30" i="11"/>
  <c r="C169" i="7"/>
  <c r="C12" i="10"/>
  <c r="C6" i="10"/>
  <c r="C14" i="10"/>
  <c r="C7" i="10"/>
  <c r="C6" i="11"/>
  <c r="C8" i="10"/>
  <c r="C11" i="9"/>
  <c r="C5" i="11"/>
  <c r="C13" i="10"/>
  <c r="C12" i="11"/>
  <c r="C11" i="10"/>
  <c r="C10" i="10"/>
  <c r="C9" i="10"/>
  <c r="C5" i="10"/>
  <c r="C11" i="11"/>
  <c r="C12" i="9"/>
  <c r="C10" i="11"/>
  <c r="C13" i="9"/>
  <c r="C13" i="11"/>
  <c r="C9" i="9"/>
  <c r="C5" i="9"/>
  <c r="C7" i="9"/>
  <c r="C10" i="9"/>
  <c r="C7" i="11"/>
  <c r="C14" i="11"/>
  <c r="C14" i="9"/>
  <c r="C6" i="9"/>
  <c r="C9" i="11"/>
  <c r="C8" i="9"/>
  <c r="C8" i="11"/>
  <c r="C109" i="10"/>
  <c r="C105" i="10"/>
  <c r="C108" i="10"/>
  <c r="C104" i="10"/>
  <c r="C111" i="10"/>
  <c r="C110" i="11"/>
  <c r="C110" i="9"/>
  <c r="C104" i="11"/>
  <c r="C109" i="11"/>
  <c r="C111" i="9"/>
  <c r="C106" i="10"/>
  <c r="C107" i="10"/>
  <c r="C105" i="11"/>
  <c r="C112" i="10"/>
  <c r="C112" i="16" s="1"/>
  <c r="C112" i="12" s="1"/>
  <c r="C111" i="11"/>
  <c r="C113" i="10"/>
  <c r="C110" i="10"/>
  <c r="C112" i="11"/>
  <c r="C106" i="9"/>
  <c r="C109" i="9"/>
  <c r="C106" i="11"/>
  <c r="C113" i="11"/>
  <c r="C104" i="9"/>
  <c r="C113" i="9"/>
  <c r="C108" i="9"/>
  <c r="C107" i="9"/>
  <c r="C108" i="11"/>
  <c r="C105" i="9"/>
  <c r="C112" i="9"/>
  <c r="C107" i="11"/>
  <c r="C53" i="10"/>
  <c r="C50" i="10"/>
  <c r="C54" i="10"/>
  <c r="C55" i="10"/>
  <c r="C56" i="10"/>
  <c r="C49" i="10"/>
  <c r="C56" i="9"/>
  <c r="C57" i="10"/>
  <c r="C57" i="16" s="1"/>
  <c r="C57" i="12" s="1"/>
  <c r="C52" i="10"/>
  <c r="C50" i="11"/>
  <c r="C49" i="11"/>
  <c r="C58" i="10"/>
  <c r="C55" i="11"/>
  <c r="C55" i="9"/>
  <c r="C56" i="11"/>
  <c r="C51" i="10"/>
  <c r="C54" i="11"/>
  <c r="C51" i="9"/>
  <c r="C58" i="9"/>
  <c r="C52" i="9"/>
  <c r="C51" i="11"/>
  <c r="C57" i="9"/>
  <c r="C53" i="11"/>
  <c r="C53" i="9"/>
  <c r="C50" i="9"/>
  <c r="C54" i="9"/>
  <c r="C58" i="11"/>
  <c r="C57" i="11"/>
  <c r="C49" i="9"/>
  <c r="C52" i="11"/>
  <c r="C150" i="10"/>
  <c r="C155" i="10"/>
  <c r="C155" i="9"/>
  <c r="C152" i="10"/>
  <c r="C148" i="10"/>
  <c r="C154" i="11"/>
  <c r="C148" i="11"/>
  <c r="C154" i="10"/>
  <c r="C157" i="10"/>
  <c r="C149" i="10"/>
  <c r="C151" i="10"/>
  <c r="C156" i="10"/>
  <c r="C156" i="16" s="1"/>
  <c r="C156" i="12" s="1"/>
  <c r="C155" i="11"/>
  <c r="C153" i="10"/>
  <c r="C154" i="9"/>
  <c r="C149" i="11"/>
  <c r="C153" i="11"/>
  <c r="C152" i="11"/>
  <c r="C156" i="11"/>
  <c r="C156" i="9"/>
  <c r="C153" i="9"/>
  <c r="C157" i="11"/>
  <c r="C152" i="9"/>
  <c r="C149" i="9"/>
  <c r="C148" i="9"/>
  <c r="C157" i="9"/>
  <c r="C151" i="9"/>
  <c r="C150" i="11"/>
  <c r="C150" i="9"/>
  <c r="C151" i="11"/>
  <c r="C134" i="10"/>
  <c r="C134" i="16" s="1"/>
  <c r="C134" i="12" s="1"/>
  <c r="C126" i="10"/>
  <c r="C128" i="10"/>
  <c r="C135" i="10"/>
  <c r="C131" i="10"/>
  <c r="C129" i="10"/>
  <c r="C130" i="10"/>
  <c r="C127" i="11"/>
  <c r="C127" i="10"/>
  <c r="C126" i="11"/>
  <c r="C131" i="11"/>
  <c r="C128" i="11"/>
  <c r="C134" i="11"/>
  <c r="C129" i="9"/>
  <c r="C134" i="9"/>
  <c r="C127" i="9"/>
  <c r="C126" i="9"/>
  <c r="C128" i="9"/>
  <c r="C130" i="11"/>
  <c r="C135" i="11"/>
  <c r="C135" i="9"/>
  <c r="C130" i="9"/>
  <c r="C131" i="9"/>
  <c r="C129" i="11"/>
  <c r="C101" i="10"/>
  <c r="C101" i="16" s="1"/>
  <c r="C101" i="12" s="1"/>
  <c r="C98" i="10"/>
  <c r="C93" i="10"/>
  <c r="C94" i="11"/>
  <c r="C95" i="10"/>
  <c r="C94" i="10"/>
  <c r="C96" i="10"/>
  <c r="C93" i="11"/>
  <c r="C97" i="10"/>
  <c r="C102" i="10"/>
  <c r="C98" i="11"/>
  <c r="C95" i="11"/>
  <c r="C97" i="11"/>
  <c r="C94" i="9"/>
  <c r="C95" i="9"/>
  <c r="C101" i="11"/>
  <c r="C102" i="11"/>
  <c r="C97" i="9"/>
  <c r="C102" i="9"/>
  <c r="C101" i="9"/>
  <c r="C98" i="9"/>
  <c r="C96" i="9"/>
  <c r="C93" i="9"/>
  <c r="C96" i="11"/>
  <c r="C79" i="10"/>
  <c r="C79" i="16" s="1"/>
  <c r="C79" i="12" s="1"/>
  <c r="C78" i="10"/>
  <c r="C72" i="11"/>
  <c r="C77" i="11"/>
  <c r="C76" i="10"/>
  <c r="C80" i="10"/>
  <c r="C77" i="9"/>
  <c r="C78" i="11"/>
  <c r="C77" i="10"/>
  <c r="C71" i="10"/>
  <c r="C74" i="10"/>
  <c r="C73" i="10"/>
  <c r="C75" i="10"/>
  <c r="C72" i="10"/>
  <c r="C78" i="9"/>
  <c r="C71" i="11"/>
  <c r="C76" i="11"/>
  <c r="C79" i="11"/>
  <c r="C74" i="9"/>
  <c r="C75" i="11"/>
  <c r="C72" i="9"/>
  <c r="C73" i="9"/>
  <c r="C73" i="11"/>
  <c r="C79" i="9"/>
  <c r="C76" i="9"/>
  <c r="C80" i="9"/>
  <c r="C80" i="11"/>
  <c r="C75" i="9"/>
  <c r="C71" i="9"/>
  <c r="C74" i="11"/>
  <c r="C43" i="10"/>
  <c r="C39" i="11"/>
  <c r="C38" i="11"/>
  <c r="C46" i="10"/>
  <c r="C46" i="16" s="1"/>
  <c r="C46" i="12" s="1"/>
  <c r="C45" i="11"/>
  <c r="C40" i="10"/>
  <c r="C42" i="10"/>
  <c r="C47" i="10"/>
  <c r="C41" i="10"/>
  <c r="C44" i="10"/>
  <c r="C39" i="10"/>
  <c r="C44" i="11"/>
  <c r="C44" i="9"/>
  <c r="C43" i="11"/>
  <c r="C45" i="10"/>
  <c r="C38" i="10"/>
  <c r="C45" i="9"/>
  <c r="C43" i="9"/>
  <c r="C47" i="11"/>
  <c r="C42" i="9"/>
  <c r="C46" i="9"/>
  <c r="C38" i="9"/>
  <c r="C40" i="9"/>
  <c r="C47" i="9"/>
  <c r="C41" i="9"/>
  <c r="C46" i="11"/>
  <c r="C39" i="9"/>
  <c r="C40" i="11"/>
  <c r="C42" i="11"/>
  <c r="C41" i="11"/>
  <c r="C20" i="10"/>
  <c r="C16" i="10"/>
  <c r="C19" i="10"/>
  <c r="C16" i="11"/>
  <c r="C21" i="11"/>
  <c r="C24" i="10"/>
  <c r="C21" i="10"/>
  <c r="C25" i="10"/>
  <c r="C17" i="11"/>
  <c r="C18" i="10"/>
  <c r="C17" i="10"/>
  <c r="C24" i="9"/>
  <c r="C18" i="11"/>
  <c r="C21" i="9"/>
  <c r="C25" i="9"/>
  <c r="C25" i="11"/>
  <c r="C20" i="11"/>
  <c r="C24" i="11"/>
  <c r="C20" i="9"/>
  <c r="C19" i="9"/>
  <c r="C18" i="9"/>
  <c r="C17" i="9"/>
  <c r="C16" i="9"/>
  <c r="C19" i="11"/>
  <c r="C115" i="10"/>
  <c r="C122" i="9"/>
  <c r="C119" i="10"/>
  <c r="C122" i="10"/>
  <c r="C116" i="10"/>
  <c r="C121" i="9"/>
  <c r="C120" i="11"/>
  <c r="C123" i="10"/>
  <c r="C123" i="16" s="1"/>
  <c r="C123" i="12" s="1"/>
  <c r="C120" i="10"/>
  <c r="C118" i="10"/>
  <c r="C121" i="11"/>
  <c r="C116" i="11"/>
  <c r="C115" i="11"/>
  <c r="C122" i="11"/>
  <c r="C117" i="10"/>
  <c r="C121" i="10"/>
  <c r="C124" i="10"/>
  <c r="C117" i="11"/>
  <c r="C124" i="11"/>
  <c r="C115" i="9"/>
  <c r="C124" i="9"/>
  <c r="C118" i="9"/>
  <c r="C123" i="9"/>
  <c r="C119" i="11"/>
  <c r="C123" i="11"/>
  <c r="C119" i="9"/>
  <c r="C116" i="9"/>
  <c r="C117" i="9"/>
  <c r="C120" i="9"/>
  <c r="C118" i="11"/>
  <c r="H110" i="10"/>
  <c r="H111" i="10"/>
  <c r="H108" i="10"/>
  <c r="H105" i="10"/>
  <c r="H109" i="11"/>
  <c r="H109" i="10"/>
  <c r="H113" i="10"/>
  <c r="H112" i="10"/>
  <c r="H112" i="16" s="1"/>
  <c r="H112" i="12" s="1"/>
  <c r="H110" i="11"/>
  <c r="H111" i="9"/>
  <c r="H105" i="11"/>
  <c r="H111" i="11"/>
  <c r="H106" i="10"/>
  <c r="H104" i="10"/>
  <c r="H107" i="10"/>
  <c r="H110" i="9"/>
  <c r="H104" i="11"/>
  <c r="H108" i="11"/>
  <c r="H108" i="9"/>
  <c r="H107" i="9"/>
  <c r="H109" i="9"/>
  <c r="H104" i="9"/>
  <c r="H112" i="9"/>
  <c r="H106" i="11"/>
  <c r="H113" i="11"/>
  <c r="H106" i="9"/>
  <c r="H112" i="11"/>
  <c r="H105" i="9"/>
  <c r="H113" i="9"/>
  <c r="H107" i="11"/>
  <c r="H66" i="11"/>
  <c r="H61" i="10"/>
  <c r="H60" i="10"/>
  <c r="H69" i="10"/>
  <c r="H64" i="10"/>
  <c r="H61" i="11"/>
  <c r="H63" i="10"/>
  <c r="H65" i="10"/>
  <c r="H68" i="10"/>
  <c r="H68" i="16" s="1"/>
  <c r="H68" i="12" s="1"/>
  <c r="H67" i="11"/>
  <c r="H67" i="10"/>
  <c r="H66" i="10"/>
  <c r="H62" i="10"/>
  <c r="H66" i="9"/>
  <c r="H67" i="9"/>
  <c r="H60" i="11"/>
  <c r="H65" i="11"/>
  <c r="H62" i="11"/>
  <c r="H64" i="11"/>
  <c r="H69" i="9"/>
  <c r="H62" i="9"/>
  <c r="H68" i="9"/>
  <c r="H68" i="11"/>
  <c r="H61" i="9"/>
  <c r="H63" i="9"/>
  <c r="H69" i="11"/>
  <c r="H60" i="9"/>
  <c r="H65" i="9"/>
  <c r="H64" i="9"/>
  <c r="H63" i="11"/>
  <c r="H46" i="10"/>
  <c r="H46" i="16" s="1"/>
  <c r="H46" i="12" s="1"/>
  <c r="H43" i="10"/>
  <c r="H41" i="10"/>
  <c r="H39" i="11"/>
  <c r="H38" i="10"/>
  <c r="H45" i="11"/>
  <c r="H44" i="11"/>
  <c r="H44" i="10"/>
  <c r="H39" i="10"/>
  <c r="H45" i="9"/>
  <c r="H43" i="11"/>
  <c r="H42" i="10"/>
  <c r="H40" i="10"/>
  <c r="H45" i="10"/>
  <c r="H47" i="10"/>
  <c r="H44" i="9"/>
  <c r="H38" i="11"/>
  <c r="H39" i="9"/>
  <c r="H43" i="9"/>
  <c r="H40" i="9"/>
  <c r="H46" i="9"/>
  <c r="H47" i="9"/>
  <c r="H42" i="11"/>
  <c r="H42" i="9"/>
  <c r="H41" i="9"/>
  <c r="H47" i="11"/>
  <c r="H46" i="11"/>
  <c r="H38" i="9"/>
  <c r="H40" i="11"/>
  <c r="H41" i="11"/>
  <c r="H142" i="10"/>
  <c r="H137" i="11"/>
  <c r="H137" i="10"/>
  <c r="H145" i="10"/>
  <c r="H145" i="16" s="1"/>
  <c r="H145" i="12" s="1"/>
  <c r="H143" i="11"/>
  <c r="H144" i="11"/>
  <c r="H146" i="10"/>
  <c r="H139" i="10"/>
  <c r="H144" i="10"/>
  <c r="H138" i="10"/>
  <c r="H141" i="10"/>
  <c r="H143" i="9"/>
  <c r="H142" i="11"/>
  <c r="H143" i="10"/>
  <c r="H140" i="10"/>
  <c r="H144" i="9"/>
  <c r="H138" i="11"/>
  <c r="H139" i="9"/>
  <c r="H139" i="11"/>
  <c r="H141" i="11"/>
  <c r="H141" i="9"/>
  <c r="H140" i="9"/>
  <c r="H145" i="9"/>
  <c r="H146" i="11"/>
  <c r="H146" i="9"/>
  <c r="H137" i="9"/>
  <c r="H142" i="9"/>
  <c r="H145" i="11"/>
  <c r="H138" i="9"/>
  <c r="H140" i="11"/>
  <c r="H94" i="10"/>
  <c r="H98" i="11"/>
  <c r="H93" i="10"/>
  <c r="H102" i="10"/>
  <c r="H101" i="10"/>
  <c r="H101" i="16" s="1"/>
  <c r="H101" i="12" s="1"/>
  <c r="H96" i="10"/>
  <c r="H95" i="10"/>
  <c r="H98" i="10"/>
  <c r="H97" i="10"/>
  <c r="H93" i="11"/>
  <c r="H94" i="11"/>
  <c r="H94" i="9"/>
  <c r="H102" i="11"/>
  <c r="H101" i="11"/>
  <c r="H102" i="9"/>
  <c r="H97" i="9"/>
  <c r="H95" i="9"/>
  <c r="H101" i="9"/>
  <c r="H96" i="9"/>
  <c r="H95" i="11"/>
  <c r="H97" i="11"/>
  <c r="H93" i="9"/>
  <c r="H98" i="9"/>
  <c r="H96" i="11"/>
  <c r="H88" i="11"/>
  <c r="H84" i="10"/>
  <c r="H85" i="10"/>
  <c r="H90" i="10"/>
  <c r="H90" i="16" s="1"/>
  <c r="H90" i="12" s="1"/>
  <c r="H89" i="10"/>
  <c r="H87" i="11"/>
  <c r="H89" i="11"/>
  <c r="H87" i="10"/>
  <c r="H88" i="10"/>
  <c r="H82" i="10"/>
  <c r="H86" i="10"/>
  <c r="H91" i="10"/>
  <c r="H83" i="10"/>
  <c r="H89" i="9"/>
  <c r="H83" i="11"/>
  <c r="H82" i="11"/>
  <c r="H88" i="9"/>
  <c r="H91" i="11"/>
  <c r="H86" i="9"/>
  <c r="H87" i="9"/>
  <c r="H84" i="11"/>
  <c r="H90" i="11"/>
  <c r="H82" i="9"/>
  <c r="H85" i="9"/>
  <c r="H86" i="11"/>
  <c r="H84" i="9"/>
  <c r="H83" i="9"/>
  <c r="H91" i="9"/>
  <c r="H90" i="9"/>
  <c r="H85" i="11"/>
  <c r="H32" i="10"/>
  <c r="H36" i="10"/>
  <c r="H33" i="9"/>
  <c r="H34" i="9"/>
  <c r="H28" i="11"/>
  <c r="H33" i="11"/>
  <c r="H33" i="10"/>
  <c r="H28" i="10"/>
  <c r="H27" i="11"/>
  <c r="H35" i="10"/>
  <c r="H35" i="16" s="1"/>
  <c r="H35" i="12" s="1"/>
  <c r="H34" i="11"/>
  <c r="H29" i="10"/>
  <c r="H31" i="10"/>
  <c r="H32" i="11"/>
  <c r="H30" i="10"/>
  <c r="H34" i="10"/>
  <c r="H27" i="10"/>
  <c r="H31" i="11"/>
  <c r="H32" i="9"/>
  <c r="H35" i="11"/>
  <c r="H31" i="9"/>
  <c r="H27" i="9"/>
  <c r="H29" i="11"/>
  <c r="H36" i="11"/>
  <c r="H28" i="9"/>
  <c r="H29" i="9"/>
  <c r="H30" i="9"/>
  <c r="H36" i="9"/>
  <c r="H35" i="9"/>
  <c r="H30" i="11"/>
  <c r="H124" i="10"/>
  <c r="H118" i="10"/>
  <c r="H116" i="11"/>
  <c r="H119" i="10"/>
  <c r="H122" i="10"/>
  <c r="H121" i="11"/>
  <c r="H121" i="10"/>
  <c r="H117" i="10"/>
  <c r="H122" i="9"/>
  <c r="H115" i="11"/>
  <c r="H120" i="11"/>
  <c r="H121" i="9"/>
  <c r="H123" i="10"/>
  <c r="H123" i="16" s="1"/>
  <c r="H123" i="12" s="1"/>
  <c r="H122" i="11"/>
  <c r="H120" i="10"/>
  <c r="H116" i="10"/>
  <c r="H115" i="10"/>
  <c r="H117" i="11"/>
  <c r="H119" i="11"/>
  <c r="H119" i="9"/>
  <c r="H118" i="9"/>
  <c r="H117" i="9"/>
  <c r="H124" i="11"/>
  <c r="H116" i="9"/>
  <c r="H120" i="9"/>
  <c r="H123" i="9"/>
  <c r="H123" i="11"/>
  <c r="H124" i="9"/>
  <c r="H115" i="9"/>
  <c r="H118" i="11"/>
  <c r="H79" i="10"/>
  <c r="H79" i="16" s="1"/>
  <c r="H79" i="12" s="1"/>
  <c r="H78" i="11"/>
  <c r="H76" i="10"/>
  <c r="H78" i="10"/>
  <c r="H78" i="9"/>
  <c r="H77" i="9"/>
  <c r="H77" i="11"/>
  <c r="H80" i="10"/>
  <c r="H73" i="10"/>
  <c r="H72" i="10"/>
  <c r="H75" i="10"/>
  <c r="H71" i="11"/>
  <c r="H74" i="10"/>
  <c r="H71" i="10"/>
  <c r="H77" i="10"/>
  <c r="H72" i="11"/>
  <c r="H76" i="11"/>
  <c r="H79" i="11"/>
  <c r="H76" i="9"/>
  <c r="H79" i="9"/>
  <c r="H80" i="11"/>
  <c r="H73" i="9"/>
  <c r="H71" i="9"/>
  <c r="H75" i="9"/>
  <c r="H80" i="9"/>
  <c r="H74" i="9"/>
  <c r="H73" i="11"/>
  <c r="H75" i="11"/>
  <c r="H72" i="9"/>
  <c r="H74" i="11"/>
  <c r="H169" i="7"/>
  <c r="H14" i="10"/>
  <c r="H11" i="9"/>
  <c r="H12" i="11"/>
  <c r="H7" i="10"/>
  <c r="H11" i="10"/>
  <c r="H10" i="10"/>
  <c r="H6" i="10"/>
  <c r="H5" i="10"/>
  <c r="H9" i="10"/>
  <c r="H12" i="10"/>
  <c r="H12" i="9"/>
  <c r="H6" i="11"/>
  <c r="H5" i="11"/>
  <c r="H10" i="11"/>
  <c r="H13" i="10"/>
  <c r="H11" i="11"/>
  <c r="H8" i="10"/>
  <c r="H7" i="11"/>
  <c r="H13" i="11"/>
  <c r="H8" i="9"/>
  <c r="H9" i="9"/>
  <c r="H5" i="9"/>
  <c r="H14" i="9"/>
  <c r="H10" i="9"/>
  <c r="H7" i="9"/>
  <c r="H13" i="9"/>
  <c r="H14" i="11"/>
  <c r="H9" i="11"/>
  <c r="H6" i="9"/>
  <c r="H8" i="11"/>
  <c r="H150" i="10"/>
  <c r="H154" i="10"/>
  <c r="H149" i="10"/>
  <c r="H152" i="10"/>
  <c r="H156" i="10"/>
  <c r="H156" i="16" s="1"/>
  <c r="H156" i="12" s="1"/>
  <c r="H155" i="10"/>
  <c r="H157" i="10"/>
  <c r="H148" i="10"/>
  <c r="H154" i="11"/>
  <c r="H151" i="10"/>
  <c r="H153" i="11"/>
  <c r="H155" i="11"/>
  <c r="H153" i="10"/>
  <c r="H154" i="9"/>
  <c r="H155" i="9"/>
  <c r="H149" i="11"/>
  <c r="H148" i="11"/>
  <c r="H152" i="9"/>
  <c r="H150" i="9"/>
  <c r="H156" i="9"/>
  <c r="H151" i="9"/>
  <c r="H149" i="9"/>
  <c r="H157" i="11"/>
  <c r="H150" i="11"/>
  <c r="H152" i="11"/>
  <c r="H156" i="11"/>
  <c r="H148" i="9"/>
  <c r="H153" i="9"/>
  <c r="H157" i="9"/>
  <c r="H151" i="11"/>
  <c r="H130" i="10"/>
  <c r="H129" i="10"/>
  <c r="H126" i="11"/>
  <c r="H134" i="10"/>
  <c r="H134" i="16" s="1"/>
  <c r="H134" i="12" s="1"/>
  <c r="H127" i="10"/>
  <c r="H131" i="10"/>
  <c r="H128" i="10"/>
  <c r="H126" i="10"/>
  <c r="H135" i="10"/>
  <c r="H131" i="11"/>
  <c r="H127" i="11"/>
  <c r="H135" i="11"/>
  <c r="H129" i="9"/>
  <c r="H130" i="11"/>
  <c r="H134" i="9"/>
  <c r="H130" i="9"/>
  <c r="H131" i="9"/>
  <c r="H128" i="11"/>
  <c r="H134" i="11"/>
  <c r="H135" i="9"/>
  <c r="H127" i="9"/>
  <c r="H126" i="9"/>
  <c r="H128" i="9"/>
  <c r="H129" i="11"/>
  <c r="H52" i="10"/>
  <c r="H51" i="10"/>
  <c r="H55" i="10"/>
  <c r="H50" i="10"/>
  <c r="H56" i="10"/>
  <c r="H56" i="9"/>
  <c r="H50" i="11"/>
  <c r="H57" i="10"/>
  <c r="H57" i="16" s="1"/>
  <c r="H57" i="12" s="1"/>
  <c r="H53" i="10"/>
  <c r="H58" i="11"/>
  <c r="H55" i="11"/>
  <c r="H56" i="11"/>
  <c r="H49" i="10"/>
  <c r="H54" i="10"/>
  <c r="H58" i="10"/>
  <c r="H49" i="11"/>
  <c r="H54" i="11"/>
  <c r="H55" i="9"/>
  <c r="H53" i="9"/>
  <c r="H54" i="9"/>
  <c r="H58" i="9"/>
  <c r="H52" i="9"/>
  <c r="H51" i="11"/>
  <c r="H57" i="11"/>
  <c r="H53" i="11"/>
  <c r="H49" i="9"/>
  <c r="H51" i="9"/>
  <c r="H50" i="9"/>
  <c r="H57" i="9"/>
  <c r="H52" i="11"/>
  <c r="H16" i="10"/>
  <c r="H17" i="10"/>
  <c r="H16" i="11"/>
  <c r="H21" i="11"/>
  <c r="H24" i="10"/>
  <c r="H18" i="10"/>
  <c r="H19" i="10"/>
  <c r="H21" i="10"/>
  <c r="H20" i="10"/>
  <c r="H17" i="11"/>
  <c r="H25" i="10"/>
  <c r="H18" i="11"/>
  <c r="H24" i="11"/>
  <c r="H20" i="9"/>
  <c r="H17" i="9"/>
  <c r="H19" i="9"/>
  <c r="H25" i="9"/>
  <c r="H18" i="9"/>
  <c r="H21" i="9"/>
  <c r="H16" i="9"/>
  <c r="H20" i="11"/>
  <c r="H25" i="11"/>
  <c r="H24" i="9"/>
  <c r="H19" i="11"/>
  <c r="K165" i="11" l="1"/>
  <c r="K165" i="17" s="1"/>
  <c r="K132" i="17" s="1"/>
  <c r="J165" i="9"/>
  <c r="J165" i="18" s="1"/>
  <c r="J165" i="10"/>
  <c r="J165" i="16" s="1"/>
  <c r="I165" i="11"/>
  <c r="I165" i="17" s="1"/>
  <c r="J165" i="11"/>
  <c r="J165" i="17" s="1"/>
  <c r="K165" i="9"/>
  <c r="K165" i="18" s="1"/>
  <c r="I165" i="9"/>
  <c r="I165" i="18" s="1"/>
  <c r="K165" i="10"/>
  <c r="K165" i="16" s="1"/>
  <c r="I165" i="10"/>
  <c r="I165" i="16" s="1"/>
  <c r="I132" i="16" s="1"/>
  <c r="J100" i="4"/>
  <c r="K100" i="4" s="1"/>
  <c r="I159" i="3"/>
  <c r="I181" i="9" s="1"/>
  <c r="J5" i="3"/>
  <c r="J22" i="3"/>
  <c r="I187" i="9"/>
  <c r="J7" i="3"/>
  <c r="I161" i="3"/>
  <c r="I183" i="9" s="1"/>
  <c r="I164" i="4"/>
  <c r="I186" i="10" s="1"/>
  <c r="J10" i="4"/>
  <c r="I168" i="3"/>
  <c r="I190" i="9" s="1"/>
  <c r="J14" i="3"/>
  <c r="J12" i="3"/>
  <c r="I188" i="9"/>
  <c r="I166" i="3"/>
  <c r="I167" i="3"/>
  <c r="I189" i="9" s="1"/>
  <c r="J13" i="3"/>
  <c r="J100" i="3"/>
  <c r="I187" i="10"/>
  <c r="J22" i="4"/>
  <c r="I162" i="4"/>
  <c r="I184" i="10" s="1"/>
  <c r="J8" i="4"/>
  <c r="I168" i="4"/>
  <c r="I190" i="10" s="1"/>
  <c r="J14" i="4"/>
  <c r="J56" i="3"/>
  <c r="J23" i="3"/>
  <c r="I160" i="4"/>
  <c r="I182" i="10" s="1"/>
  <c r="J6" i="4"/>
  <c r="I163" i="4"/>
  <c r="I185" i="10" s="1"/>
  <c r="J9" i="4"/>
  <c r="I167" i="4"/>
  <c r="I189" i="10" s="1"/>
  <c r="J13" i="4"/>
  <c r="I159" i="4"/>
  <c r="I181" i="10" s="1"/>
  <c r="J5" i="4"/>
  <c r="J11" i="3"/>
  <c r="I165" i="3"/>
  <c r="J99" i="3"/>
  <c r="I160" i="3"/>
  <c r="I182" i="9" s="1"/>
  <c r="J6" i="3"/>
  <c r="J7" i="4"/>
  <c r="I161" i="4"/>
  <c r="I183" i="10" s="1"/>
  <c r="J23" i="4"/>
  <c r="I162" i="3"/>
  <c r="I184" i="9" s="1"/>
  <c r="J8" i="3"/>
  <c r="J12" i="4"/>
  <c r="I188" i="10"/>
  <c r="I166" i="4"/>
  <c r="I163" i="3"/>
  <c r="I185" i="9" s="1"/>
  <c r="J9" i="3"/>
  <c r="I164" i="3"/>
  <c r="I186" i="9" s="1"/>
  <c r="J10" i="3"/>
  <c r="J11" i="4"/>
  <c r="I165" i="4"/>
  <c r="J99" i="4"/>
  <c r="J22" i="5"/>
  <c r="I187" i="11"/>
  <c r="J5" i="5"/>
  <c r="I159" i="5"/>
  <c r="I181" i="11" s="1"/>
  <c r="I167" i="5"/>
  <c r="I189" i="11" s="1"/>
  <c r="J13" i="5"/>
  <c r="J23" i="5"/>
  <c r="J14" i="5"/>
  <c r="I168" i="5"/>
  <c r="I190" i="11" s="1"/>
  <c r="I161" i="5"/>
  <c r="I183" i="11" s="1"/>
  <c r="J7" i="5"/>
  <c r="J6" i="5"/>
  <c r="I160" i="5"/>
  <c r="I182" i="11" s="1"/>
  <c r="J10" i="5"/>
  <c r="I164" i="5"/>
  <c r="I186" i="11" s="1"/>
  <c r="I162" i="5"/>
  <c r="I184" i="11" s="1"/>
  <c r="J8" i="5"/>
  <c r="J99" i="5"/>
  <c r="I163" i="5"/>
  <c r="I185" i="11" s="1"/>
  <c r="J9" i="5"/>
  <c r="J12" i="5"/>
  <c r="I166" i="5"/>
  <c r="I188" i="11"/>
  <c r="J11" i="5"/>
  <c r="I165" i="5"/>
  <c r="J100" i="5"/>
  <c r="D162" i="11"/>
  <c r="D167" i="11"/>
  <c r="D168" i="11"/>
  <c r="D163" i="11"/>
  <c r="D164" i="11"/>
  <c r="D160" i="11"/>
  <c r="D166" i="10"/>
  <c r="D166" i="16" s="1"/>
  <c r="O177" i="10" s="1"/>
  <c r="D163" i="10"/>
  <c r="E161" i="11"/>
  <c r="E163" i="11"/>
  <c r="E161" i="9"/>
  <c r="E162" i="10"/>
  <c r="E163" i="10"/>
  <c r="E160" i="11"/>
  <c r="D167" i="9"/>
  <c r="D161" i="9"/>
  <c r="D161" i="11"/>
  <c r="D159" i="11"/>
  <c r="E167" i="9"/>
  <c r="E159" i="9"/>
  <c r="E167" i="11"/>
  <c r="E159" i="10"/>
  <c r="E161" i="10"/>
  <c r="E166" i="9"/>
  <c r="E166" i="18" s="1"/>
  <c r="P177" i="9" s="1"/>
  <c r="D162" i="9"/>
  <c r="D159" i="9"/>
  <c r="D164" i="9"/>
  <c r="D162" i="10"/>
  <c r="D168" i="10"/>
  <c r="D164" i="10"/>
  <c r="E163" i="9"/>
  <c r="E168" i="9"/>
  <c r="E164" i="9"/>
  <c r="E164" i="10"/>
  <c r="E168" i="10"/>
  <c r="E166" i="11"/>
  <c r="E166" i="17" s="1"/>
  <c r="P177" i="11" s="1"/>
  <c r="D160" i="9"/>
  <c r="D168" i="9"/>
  <c r="D163" i="9"/>
  <c r="D166" i="11"/>
  <c r="D166" i="17" s="1"/>
  <c r="O177" i="11" s="1"/>
  <c r="D160" i="10"/>
  <c r="D166" i="9"/>
  <c r="D166" i="18" s="1"/>
  <c r="O177" i="9" s="1"/>
  <c r="E162" i="11"/>
  <c r="E168" i="11"/>
  <c r="E160" i="9"/>
  <c r="E162" i="9"/>
  <c r="E159" i="11"/>
  <c r="E164" i="11"/>
  <c r="E166" i="10"/>
  <c r="E166" i="16" s="1"/>
  <c r="G160" i="9"/>
  <c r="G159" i="9"/>
  <c r="G162" i="9"/>
  <c r="G166" i="10"/>
  <c r="G166" i="16" s="1"/>
  <c r="G160" i="10"/>
  <c r="G159" i="11"/>
  <c r="G168" i="10"/>
  <c r="D159" i="10"/>
  <c r="D161" i="10"/>
  <c r="G162" i="11"/>
  <c r="G163" i="9"/>
  <c r="G163" i="11"/>
  <c r="G168" i="11"/>
  <c r="G167" i="10"/>
  <c r="G13" i="16"/>
  <c r="G13" i="12" s="1"/>
  <c r="G162" i="10"/>
  <c r="G166" i="9"/>
  <c r="G166" i="18" s="1"/>
  <c r="G164" i="10"/>
  <c r="G161" i="11"/>
  <c r="G167" i="11"/>
  <c r="G164" i="9"/>
  <c r="G160" i="11"/>
  <c r="G161" i="10"/>
  <c r="G161" i="9"/>
  <c r="G168" i="9"/>
  <c r="G167" i="9"/>
  <c r="G164" i="11"/>
  <c r="G163" i="10"/>
  <c r="G166" i="11"/>
  <c r="G159" i="10"/>
  <c r="E160" i="10"/>
  <c r="F160" i="9"/>
  <c r="F163" i="9"/>
  <c r="F163" i="11"/>
  <c r="F159" i="10"/>
  <c r="F162" i="10"/>
  <c r="F160" i="11"/>
  <c r="F161" i="10"/>
  <c r="F162" i="11"/>
  <c r="F168" i="9"/>
  <c r="F164" i="9"/>
  <c r="F167" i="9"/>
  <c r="F166" i="11"/>
  <c r="F167" i="10"/>
  <c r="F13" i="16"/>
  <c r="F13" i="12" s="1"/>
  <c r="F161" i="11"/>
  <c r="F168" i="11"/>
  <c r="F161" i="9"/>
  <c r="F163" i="10"/>
  <c r="F164" i="10"/>
  <c r="F164" i="11"/>
  <c r="F160" i="10"/>
  <c r="F159" i="9"/>
  <c r="F162" i="9"/>
  <c r="F167" i="11"/>
  <c r="F166" i="10"/>
  <c r="F166" i="16" s="1"/>
  <c r="F168" i="10"/>
  <c r="F159" i="11"/>
  <c r="F166" i="9"/>
  <c r="F166" i="18" s="1"/>
  <c r="E167" i="10"/>
  <c r="E13" i="16"/>
  <c r="E13" i="12" s="1"/>
  <c r="D167" i="10"/>
  <c r="D13" i="16"/>
  <c r="D13" i="12" s="1"/>
  <c r="C160" i="9"/>
  <c r="C164" i="9"/>
  <c r="C167" i="11"/>
  <c r="C168" i="10"/>
  <c r="C162" i="11"/>
  <c r="C168" i="9"/>
  <c r="C161" i="9"/>
  <c r="C167" i="9"/>
  <c r="C159" i="10"/>
  <c r="C166" i="11"/>
  <c r="C162" i="10"/>
  <c r="C160" i="10"/>
  <c r="C162" i="9"/>
  <c r="C168" i="11"/>
  <c r="C159" i="9"/>
  <c r="C164" i="11"/>
  <c r="C163" i="10"/>
  <c r="C167" i="10"/>
  <c r="C13" i="16"/>
  <c r="C13" i="12" s="1"/>
  <c r="C160" i="11"/>
  <c r="C166" i="10"/>
  <c r="C166" i="16" s="1"/>
  <c r="C163" i="11"/>
  <c r="C161" i="11"/>
  <c r="C163" i="9"/>
  <c r="C166" i="9"/>
  <c r="C166" i="18" s="1"/>
  <c r="C164" i="10"/>
  <c r="C159" i="11"/>
  <c r="C161" i="10"/>
  <c r="H168" i="11"/>
  <c r="H168" i="9"/>
  <c r="H168" i="18" s="1"/>
  <c r="H167" i="11"/>
  <c r="H167" i="10"/>
  <c r="S178" i="10" s="1"/>
  <c r="H13" i="16"/>
  <c r="H13" i="12" s="1"/>
  <c r="H166" i="9"/>
  <c r="H166" i="18" s="1"/>
  <c r="H160" i="10"/>
  <c r="H160" i="16" s="1"/>
  <c r="H166" i="11"/>
  <c r="H162" i="11"/>
  <c r="H167" i="9"/>
  <c r="H167" i="18" s="1"/>
  <c r="H159" i="9"/>
  <c r="H159" i="18" s="1"/>
  <c r="H161" i="11"/>
  <c r="H164" i="11"/>
  <c r="H166" i="10"/>
  <c r="H166" i="16" s="1"/>
  <c r="H164" i="10"/>
  <c r="H164" i="16" s="1"/>
  <c r="H160" i="9"/>
  <c r="H160" i="18" s="1"/>
  <c r="H161" i="9"/>
  <c r="H161" i="18" s="1"/>
  <c r="H163" i="9"/>
  <c r="H163" i="18" s="1"/>
  <c r="H162" i="10"/>
  <c r="H162" i="16" s="1"/>
  <c r="H159" i="11"/>
  <c r="H163" i="10"/>
  <c r="H163" i="16" s="1"/>
  <c r="H168" i="10"/>
  <c r="H165" i="17"/>
  <c r="H44" i="17" s="1"/>
  <c r="H44" i="13" s="1"/>
  <c r="H165" i="16"/>
  <c r="H55" i="16" s="1"/>
  <c r="H55" i="12" s="1"/>
  <c r="H165" i="18"/>
  <c r="S176" i="9" s="1"/>
  <c r="H163" i="11"/>
  <c r="H164" i="9"/>
  <c r="H162" i="9"/>
  <c r="H162" i="18" s="1"/>
  <c r="H160" i="11"/>
  <c r="H159" i="10"/>
  <c r="H159" i="16" s="1"/>
  <c r="H161" i="10"/>
  <c r="H161" i="16" s="1"/>
  <c r="J132" i="16" l="1"/>
  <c r="J132" i="12" s="1"/>
  <c r="J11" i="16"/>
  <c r="J11" i="12" s="1"/>
  <c r="J44" i="16"/>
  <c r="J44" i="12" s="1"/>
  <c r="J121" i="16"/>
  <c r="J121" i="12" s="1"/>
  <c r="J143" i="16"/>
  <c r="J143" i="12" s="1"/>
  <c r="J154" i="16"/>
  <c r="J154" i="12" s="1"/>
  <c r="J77" i="16"/>
  <c r="J77" i="12" s="1"/>
  <c r="J110" i="16"/>
  <c r="J110" i="12" s="1"/>
  <c r="J33" i="16"/>
  <c r="J33" i="12" s="1"/>
  <c r="J55" i="16"/>
  <c r="J55" i="12" s="1"/>
  <c r="J66" i="16"/>
  <c r="J66" i="12" s="1"/>
  <c r="J88" i="16"/>
  <c r="J88" i="12" s="1"/>
  <c r="J110" i="18"/>
  <c r="J110" i="6" s="1"/>
  <c r="J103" i="6" s="1"/>
  <c r="J77" i="18"/>
  <c r="J77" i="6" s="1"/>
  <c r="J70" i="6" s="1"/>
  <c r="J88" i="18"/>
  <c r="J88" i="6" s="1"/>
  <c r="J81" i="6" s="1"/>
  <c r="J121" i="18"/>
  <c r="J121" i="6" s="1"/>
  <c r="J114" i="6" s="1"/>
  <c r="J66" i="18"/>
  <c r="J66" i="6" s="1"/>
  <c r="J59" i="6" s="1"/>
  <c r="J55" i="18"/>
  <c r="J55" i="6" s="1"/>
  <c r="J48" i="6" s="1"/>
  <c r="J44" i="18"/>
  <c r="J44" i="6" s="1"/>
  <c r="J37" i="6" s="1"/>
  <c r="J143" i="18"/>
  <c r="J143" i="6" s="1"/>
  <c r="J136" i="6" s="1"/>
  <c r="J11" i="18"/>
  <c r="J11" i="6" s="1"/>
  <c r="J4" i="6" s="1"/>
  <c r="J154" i="18"/>
  <c r="J154" i="6" s="1"/>
  <c r="J147" i="6" s="1"/>
  <c r="J33" i="18"/>
  <c r="J33" i="6" s="1"/>
  <c r="J26" i="6" s="1"/>
  <c r="I143" i="18"/>
  <c r="I143" i="6" s="1"/>
  <c r="I136" i="6" s="1"/>
  <c r="I33" i="18"/>
  <c r="I33" i="6" s="1"/>
  <c r="I26" i="6" s="1"/>
  <c r="I88" i="18"/>
  <c r="I88" i="6" s="1"/>
  <c r="I81" i="6" s="1"/>
  <c r="I121" i="18"/>
  <c r="I121" i="6" s="1"/>
  <c r="I114" i="6" s="1"/>
  <c r="I77" i="18"/>
  <c r="I77" i="6" s="1"/>
  <c r="I70" i="6" s="1"/>
  <c r="I11" i="18"/>
  <c r="I11" i="6" s="1"/>
  <c r="I4" i="6" s="1"/>
  <c r="I44" i="18"/>
  <c r="I44" i="6" s="1"/>
  <c r="I37" i="6" s="1"/>
  <c r="I66" i="18"/>
  <c r="I66" i="6" s="1"/>
  <c r="I59" i="6" s="1"/>
  <c r="I154" i="18"/>
  <c r="I154" i="6" s="1"/>
  <c r="I147" i="6" s="1"/>
  <c r="I110" i="18"/>
  <c r="I110" i="6" s="1"/>
  <c r="I103" i="6" s="1"/>
  <c r="I55" i="18"/>
  <c r="I55" i="6" s="1"/>
  <c r="I48" i="6" s="1"/>
  <c r="I132" i="17"/>
  <c r="I132" i="13" s="1"/>
  <c r="I110" i="17"/>
  <c r="I110" i="13" s="1"/>
  <c r="I154" i="17"/>
  <c r="I154" i="13" s="1"/>
  <c r="I143" i="17"/>
  <c r="I143" i="13" s="1"/>
  <c r="I33" i="17"/>
  <c r="I33" i="13" s="1"/>
  <c r="I88" i="17"/>
  <c r="I88" i="13" s="1"/>
  <c r="I121" i="17"/>
  <c r="I121" i="13" s="1"/>
  <c r="I44" i="17"/>
  <c r="I44" i="13" s="1"/>
  <c r="I55" i="17"/>
  <c r="I55" i="13" s="1"/>
  <c r="I66" i="17"/>
  <c r="I66" i="13" s="1"/>
  <c r="I77" i="17"/>
  <c r="I77" i="13" s="1"/>
  <c r="I11" i="17"/>
  <c r="I11" i="13" s="1"/>
  <c r="J132" i="17"/>
  <c r="J132" i="13" s="1"/>
  <c r="J121" i="17"/>
  <c r="J121" i="13" s="1"/>
  <c r="J66" i="17"/>
  <c r="J66" i="13" s="1"/>
  <c r="J77" i="17"/>
  <c r="J77" i="13" s="1"/>
  <c r="J11" i="17"/>
  <c r="J11" i="13" s="1"/>
  <c r="J143" i="17"/>
  <c r="J143" i="13" s="1"/>
  <c r="J88" i="17"/>
  <c r="J88" i="13" s="1"/>
  <c r="J55" i="17"/>
  <c r="J55" i="13" s="1"/>
  <c r="J110" i="17"/>
  <c r="J110" i="13" s="1"/>
  <c r="J44" i="17"/>
  <c r="J44" i="13" s="1"/>
  <c r="J33" i="17"/>
  <c r="J33" i="13" s="1"/>
  <c r="J154" i="17"/>
  <c r="J154" i="13" s="1"/>
  <c r="K100" i="3"/>
  <c r="K11" i="3"/>
  <c r="J165" i="3"/>
  <c r="K22" i="4"/>
  <c r="J187" i="10"/>
  <c r="J167" i="3"/>
  <c r="J189" i="9" s="1"/>
  <c r="K13" i="3"/>
  <c r="K167" i="3" s="1"/>
  <c r="K189" i="9" s="1"/>
  <c r="K12" i="3"/>
  <c r="J166" i="3"/>
  <c r="J188" i="9"/>
  <c r="J162" i="3"/>
  <c r="J184" i="9" s="1"/>
  <c r="K8" i="3"/>
  <c r="K162" i="3" s="1"/>
  <c r="K184" i="9" s="1"/>
  <c r="J159" i="4"/>
  <c r="J181" i="10" s="1"/>
  <c r="K5" i="4"/>
  <c r="K159" i="4" s="1"/>
  <c r="K181" i="10" s="1"/>
  <c r="J163" i="4"/>
  <c r="J185" i="10" s="1"/>
  <c r="K9" i="4"/>
  <c r="K163" i="4" s="1"/>
  <c r="K185" i="10" s="1"/>
  <c r="K8" i="4"/>
  <c r="K162" i="4" s="1"/>
  <c r="K184" i="10" s="1"/>
  <c r="J162" i="4"/>
  <c r="J184" i="10" s="1"/>
  <c r="K14" i="3"/>
  <c r="K168" i="3" s="1"/>
  <c r="K190" i="9" s="1"/>
  <c r="J168" i="3"/>
  <c r="J190" i="9" s="1"/>
  <c r="K22" i="3"/>
  <c r="J187" i="9"/>
  <c r="J164" i="3"/>
  <c r="J186" i="9" s="1"/>
  <c r="K10" i="3"/>
  <c r="K164" i="3" s="1"/>
  <c r="K186" i="9" s="1"/>
  <c r="J161" i="4"/>
  <c r="J183" i="10" s="1"/>
  <c r="K7" i="4"/>
  <c r="K161" i="4" s="1"/>
  <c r="K183" i="10" s="1"/>
  <c r="K99" i="3"/>
  <c r="K23" i="3"/>
  <c r="K7" i="3"/>
  <c r="K161" i="3" s="1"/>
  <c r="K183" i="9" s="1"/>
  <c r="J161" i="3"/>
  <c r="J183" i="9" s="1"/>
  <c r="K5" i="3"/>
  <c r="K159" i="3" s="1"/>
  <c r="K181" i="9" s="1"/>
  <c r="J159" i="3"/>
  <c r="J181" i="9" s="1"/>
  <c r="J163" i="3"/>
  <c r="J185" i="9" s="1"/>
  <c r="K9" i="3"/>
  <c r="K163" i="3" s="1"/>
  <c r="K185" i="9" s="1"/>
  <c r="J188" i="10"/>
  <c r="J166" i="4"/>
  <c r="K12" i="4"/>
  <c r="K23" i="4"/>
  <c r="K56" i="3"/>
  <c r="K11" i="4"/>
  <c r="J165" i="4"/>
  <c r="K99" i="4"/>
  <c r="K6" i="3"/>
  <c r="K160" i="3" s="1"/>
  <c r="K182" i="9" s="1"/>
  <c r="J160" i="3"/>
  <c r="J182" i="9" s="1"/>
  <c r="J167" i="4"/>
  <c r="J189" i="10" s="1"/>
  <c r="K13" i="4"/>
  <c r="K167" i="4" s="1"/>
  <c r="K189" i="10" s="1"/>
  <c r="J160" i="4"/>
  <c r="J182" i="10" s="1"/>
  <c r="K6" i="4"/>
  <c r="K160" i="4" s="1"/>
  <c r="K182" i="10" s="1"/>
  <c r="K14" i="4"/>
  <c r="K168" i="4" s="1"/>
  <c r="K190" i="10" s="1"/>
  <c r="J168" i="4"/>
  <c r="J190" i="10" s="1"/>
  <c r="K10" i="4"/>
  <c r="K164" i="4" s="1"/>
  <c r="K186" i="10" s="1"/>
  <c r="J164" i="4"/>
  <c r="J186" i="10" s="1"/>
  <c r="K12" i="5"/>
  <c r="J166" i="5"/>
  <c r="J188" i="11"/>
  <c r="K99" i="5"/>
  <c r="K10" i="5"/>
  <c r="K164" i="5" s="1"/>
  <c r="K186" i="11" s="1"/>
  <c r="J164" i="5"/>
  <c r="J186" i="11" s="1"/>
  <c r="K23" i="5"/>
  <c r="J159" i="5"/>
  <c r="J181" i="11" s="1"/>
  <c r="K5" i="5"/>
  <c r="K159" i="5" s="1"/>
  <c r="K181" i="11" s="1"/>
  <c r="K11" i="5"/>
  <c r="J165" i="5"/>
  <c r="K9" i="5"/>
  <c r="K163" i="5" s="1"/>
  <c r="K185" i="11" s="1"/>
  <c r="J163" i="5"/>
  <c r="J185" i="11" s="1"/>
  <c r="K8" i="5"/>
  <c r="K162" i="5" s="1"/>
  <c r="K184" i="11" s="1"/>
  <c r="J162" i="5"/>
  <c r="J184" i="11" s="1"/>
  <c r="K13" i="5"/>
  <c r="K167" i="5" s="1"/>
  <c r="K189" i="11" s="1"/>
  <c r="J167" i="5"/>
  <c r="J189" i="11" s="1"/>
  <c r="K6" i="5"/>
  <c r="K160" i="5" s="1"/>
  <c r="K182" i="11" s="1"/>
  <c r="J160" i="5"/>
  <c r="J182" i="11" s="1"/>
  <c r="K14" i="5"/>
  <c r="K168" i="5" s="1"/>
  <c r="K190" i="11" s="1"/>
  <c r="J168" i="5"/>
  <c r="J190" i="11" s="1"/>
  <c r="K100" i="5"/>
  <c r="K7" i="5"/>
  <c r="K161" i="5" s="1"/>
  <c r="K183" i="11" s="1"/>
  <c r="J161" i="5"/>
  <c r="J183" i="11" s="1"/>
  <c r="K22" i="5"/>
  <c r="J187" i="11"/>
  <c r="H110" i="16"/>
  <c r="H110" i="12" s="1"/>
  <c r="H33" i="16"/>
  <c r="H33" i="12" s="1"/>
  <c r="H33" i="18"/>
  <c r="H33" i="6" s="1"/>
  <c r="H88" i="18"/>
  <c r="H88" i="6" s="1"/>
  <c r="H88" i="16"/>
  <c r="H88" i="12" s="1"/>
  <c r="H77" i="16"/>
  <c r="H77" i="12" s="1"/>
  <c r="G166" i="17"/>
  <c r="R177" i="11" s="1"/>
  <c r="R177" i="9"/>
  <c r="G56" i="18"/>
  <c r="G56" i="6" s="1"/>
  <c r="G45" i="18"/>
  <c r="G45" i="6" s="1"/>
  <c r="G122" i="18"/>
  <c r="G122" i="6" s="1"/>
  <c r="G78" i="18"/>
  <c r="G78" i="6" s="1"/>
  <c r="G155" i="18"/>
  <c r="G155" i="6" s="1"/>
  <c r="G34" i="18"/>
  <c r="G34" i="6" s="1"/>
  <c r="G89" i="18"/>
  <c r="G89" i="6" s="1"/>
  <c r="G67" i="18"/>
  <c r="G67" i="6" s="1"/>
  <c r="G144" i="18"/>
  <c r="G144" i="6" s="1"/>
  <c r="G12" i="18"/>
  <c r="G12" i="6" s="1"/>
  <c r="G111" i="18"/>
  <c r="G111" i="6" s="1"/>
  <c r="R177" i="10"/>
  <c r="G122" i="16"/>
  <c r="G122" i="12" s="1"/>
  <c r="G155" i="16"/>
  <c r="G155" i="12" s="1"/>
  <c r="G34" i="16"/>
  <c r="G34" i="12" s="1"/>
  <c r="G67" i="16"/>
  <c r="G67" i="12" s="1"/>
  <c r="G111" i="16"/>
  <c r="G111" i="12" s="1"/>
  <c r="G78" i="16"/>
  <c r="G78" i="12" s="1"/>
  <c r="G89" i="16"/>
  <c r="G89" i="12" s="1"/>
  <c r="G56" i="16"/>
  <c r="G56" i="12" s="1"/>
  <c r="G144" i="16"/>
  <c r="G144" i="12" s="1"/>
  <c r="G45" i="16"/>
  <c r="G45" i="12" s="1"/>
  <c r="G12" i="16"/>
  <c r="G12" i="12" s="1"/>
  <c r="F12" i="16"/>
  <c r="F12" i="12" s="1"/>
  <c r="F78" i="16"/>
  <c r="F78" i="12" s="1"/>
  <c r="F111" i="16"/>
  <c r="F111" i="12" s="1"/>
  <c r="F122" i="16"/>
  <c r="F122" i="12" s="1"/>
  <c r="F56" i="16"/>
  <c r="F56" i="12" s="1"/>
  <c r="F89" i="16"/>
  <c r="F89" i="12" s="1"/>
  <c r="F144" i="16"/>
  <c r="F144" i="12" s="1"/>
  <c r="F45" i="16"/>
  <c r="F45" i="12" s="1"/>
  <c r="F155" i="16"/>
  <c r="F155" i="12" s="1"/>
  <c r="F67" i="16"/>
  <c r="F67" i="12" s="1"/>
  <c r="F34" i="16"/>
  <c r="F34" i="12" s="1"/>
  <c r="Q177" i="10"/>
  <c r="Q177" i="9"/>
  <c r="F166" i="17"/>
  <c r="Q177" i="11" s="1"/>
  <c r="F56" i="18"/>
  <c r="F56" i="6" s="1"/>
  <c r="F122" i="18"/>
  <c r="F122" i="6" s="1"/>
  <c r="F34" i="18"/>
  <c r="F34" i="6" s="1"/>
  <c r="F144" i="18"/>
  <c r="F144" i="6" s="1"/>
  <c r="F45" i="18"/>
  <c r="F45" i="6" s="1"/>
  <c r="F111" i="18"/>
  <c r="F111" i="6" s="1"/>
  <c r="F89" i="18"/>
  <c r="F89" i="6" s="1"/>
  <c r="F155" i="18"/>
  <c r="F155" i="6" s="1"/>
  <c r="F67" i="18"/>
  <c r="F67" i="6" s="1"/>
  <c r="F78" i="18"/>
  <c r="F78" i="6" s="1"/>
  <c r="F12" i="18"/>
  <c r="F12" i="6" s="1"/>
  <c r="E34" i="16"/>
  <c r="E34" i="12" s="1"/>
  <c r="E45" i="16"/>
  <c r="E45" i="12" s="1"/>
  <c r="E122" i="16"/>
  <c r="E122" i="12" s="1"/>
  <c r="E111" i="16"/>
  <c r="E111" i="12" s="1"/>
  <c r="E144" i="16"/>
  <c r="E144" i="12" s="1"/>
  <c r="E12" i="16"/>
  <c r="E12" i="12" s="1"/>
  <c r="E56" i="16"/>
  <c r="E56" i="12" s="1"/>
  <c r="E155" i="16"/>
  <c r="E155" i="12" s="1"/>
  <c r="E67" i="16"/>
  <c r="E67" i="12" s="1"/>
  <c r="E78" i="16"/>
  <c r="E78" i="12" s="1"/>
  <c r="E89" i="16"/>
  <c r="E89" i="12" s="1"/>
  <c r="H154" i="18"/>
  <c r="H154" i="6" s="1"/>
  <c r="P177" i="10"/>
  <c r="E155" i="17"/>
  <c r="E155" i="13" s="1"/>
  <c r="E56" i="17"/>
  <c r="E56" i="13" s="1"/>
  <c r="E78" i="17"/>
  <c r="E78" i="13" s="1"/>
  <c r="E45" i="17"/>
  <c r="E45" i="13" s="1"/>
  <c r="E122" i="17"/>
  <c r="E122" i="13" s="1"/>
  <c r="E67" i="17"/>
  <c r="E67" i="13" s="1"/>
  <c r="E111" i="17"/>
  <c r="E111" i="13" s="1"/>
  <c r="E144" i="17"/>
  <c r="E144" i="13" s="1"/>
  <c r="E34" i="17"/>
  <c r="E34" i="13" s="1"/>
  <c r="E12" i="17"/>
  <c r="E12" i="13" s="1"/>
  <c r="E89" i="17"/>
  <c r="E89" i="13" s="1"/>
  <c r="E155" i="18"/>
  <c r="E155" i="6" s="1"/>
  <c r="E111" i="18"/>
  <c r="E111" i="6" s="1"/>
  <c r="E89" i="18"/>
  <c r="E89" i="6" s="1"/>
  <c r="E78" i="18"/>
  <c r="E78" i="6" s="1"/>
  <c r="E34" i="18"/>
  <c r="E34" i="6" s="1"/>
  <c r="E144" i="18"/>
  <c r="E144" i="6" s="1"/>
  <c r="E56" i="18"/>
  <c r="E56" i="6" s="1"/>
  <c r="E45" i="18"/>
  <c r="E45" i="6" s="1"/>
  <c r="E12" i="18"/>
  <c r="E12" i="6" s="1"/>
  <c r="E122" i="18"/>
  <c r="E122" i="6" s="1"/>
  <c r="E67" i="18"/>
  <c r="E67" i="6" s="1"/>
  <c r="D56" i="18"/>
  <c r="D56" i="6" s="1"/>
  <c r="D111" i="18"/>
  <c r="D111" i="6" s="1"/>
  <c r="D12" i="18"/>
  <c r="D12" i="6" s="1"/>
  <c r="D45" i="18"/>
  <c r="D45" i="6" s="1"/>
  <c r="D89" i="18"/>
  <c r="D89" i="6" s="1"/>
  <c r="D122" i="18"/>
  <c r="D122" i="6" s="1"/>
  <c r="D34" i="18"/>
  <c r="D34" i="6" s="1"/>
  <c r="D155" i="18"/>
  <c r="D155" i="6" s="1"/>
  <c r="D67" i="18"/>
  <c r="D67" i="6" s="1"/>
  <c r="D144" i="18"/>
  <c r="D144" i="6" s="1"/>
  <c r="D78" i="18"/>
  <c r="D78" i="6" s="1"/>
  <c r="D111" i="16"/>
  <c r="D111" i="12" s="1"/>
  <c r="D155" i="16"/>
  <c r="D155" i="12" s="1"/>
  <c r="D34" i="16"/>
  <c r="D34" i="12" s="1"/>
  <c r="D12" i="16"/>
  <c r="D12" i="12" s="1"/>
  <c r="D78" i="16"/>
  <c r="D78" i="12" s="1"/>
  <c r="D67" i="16"/>
  <c r="D67" i="12" s="1"/>
  <c r="D122" i="16"/>
  <c r="D122" i="12" s="1"/>
  <c r="D144" i="16"/>
  <c r="D144" i="12" s="1"/>
  <c r="D89" i="16"/>
  <c r="D89" i="12" s="1"/>
  <c r="D56" i="16"/>
  <c r="D56" i="12" s="1"/>
  <c r="D45" i="16"/>
  <c r="D45" i="12" s="1"/>
  <c r="D155" i="17"/>
  <c r="D155" i="13" s="1"/>
  <c r="D56" i="17"/>
  <c r="D56" i="13" s="1"/>
  <c r="D45" i="17"/>
  <c r="D45" i="13" s="1"/>
  <c r="D144" i="17"/>
  <c r="D144" i="13" s="1"/>
  <c r="D34" i="17"/>
  <c r="D34" i="13" s="1"/>
  <c r="D89" i="17"/>
  <c r="D89" i="13" s="1"/>
  <c r="D122" i="17"/>
  <c r="D122" i="13" s="1"/>
  <c r="D67" i="17"/>
  <c r="D67" i="13" s="1"/>
  <c r="D111" i="17"/>
  <c r="D111" i="13" s="1"/>
  <c r="D78" i="17"/>
  <c r="D78" i="13" s="1"/>
  <c r="D12" i="17"/>
  <c r="D12" i="13" s="1"/>
  <c r="C155" i="18"/>
  <c r="C155" i="6" s="1"/>
  <c r="C78" i="18"/>
  <c r="C78" i="6" s="1"/>
  <c r="C144" i="18"/>
  <c r="C144" i="6" s="1"/>
  <c r="C122" i="18"/>
  <c r="C122" i="6" s="1"/>
  <c r="C111" i="18"/>
  <c r="C111" i="6" s="1"/>
  <c r="C67" i="18"/>
  <c r="C67" i="6" s="1"/>
  <c r="C12" i="18"/>
  <c r="C12" i="6" s="1"/>
  <c r="C56" i="18"/>
  <c r="C56" i="6" s="1"/>
  <c r="C89" i="18"/>
  <c r="C89" i="6" s="1"/>
  <c r="C45" i="18"/>
  <c r="C45" i="6" s="1"/>
  <c r="C34" i="18"/>
  <c r="C34" i="6" s="1"/>
  <c r="C166" i="17"/>
  <c r="N177" i="11" s="1"/>
  <c r="C144" i="16"/>
  <c r="C144" i="12" s="1"/>
  <c r="C111" i="16"/>
  <c r="C111" i="12" s="1"/>
  <c r="C155" i="16"/>
  <c r="C155" i="12" s="1"/>
  <c r="C67" i="16"/>
  <c r="C67" i="12" s="1"/>
  <c r="C56" i="16"/>
  <c r="C56" i="12" s="1"/>
  <c r="C122" i="16"/>
  <c r="C122" i="12" s="1"/>
  <c r="C45" i="16"/>
  <c r="C45" i="12" s="1"/>
  <c r="C34" i="16"/>
  <c r="C34" i="12" s="1"/>
  <c r="C12" i="16"/>
  <c r="C12" i="12" s="1"/>
  <c r="C89" i="16"/>
  <c r="C89" i="12" s="1"/>
  <c r="C78" i="16"/>
  <c r="C78" i="12" s="1"/>
  <c r="N177" i="9"/>
  <c r="N177" i="10"/>
  <c r="H137" i="16"/>
  <c r="H137" i="12" s="1"/>
  <c r="H115" i="16"/>
  <c r="H115" i="12" s="1"/>
  <c r="H60" i="16"/>
  <c r="H60" i="12" s="1"/>
  <c r="H49" i="16"/>
  <c r="H49" i="12" s="1"/>
  <c r="H27" i="16"/>
  <c r="H27" i="12" s="1"/>
  <c r="H82" i="16"/>
  <c r="H82" i="12" s="1"/>
  <c r="H148" i="16"/>
  <c r="H148" i="12" s="1"/>
  <c r="H71" i="16"/>
  <c r="H71" i="12" s="1"/>
  <c r="H126" i="16"/>
  <c r="H5" i="16"/>
  <c r="H5" i="12" s="1"/>
  <c r="H38" i="16"/>
  <c r="H38" i="12" s="1"/>
  <c r="H104" i="16"/>
  <c r="H104" i="12" s="1"/>
  <c r="H155" i="16"/>
  <c r="H155" i="12" s="1"/>
  <c r="H78" i="16"/>
  <c r="H78" i="12" s="1"/>
  <c r="H56" i="16"/>
  <c r="H56" i="12" s="1"/>
  <c r="H45" i="16"/>
  <c r="H45" i="12" s="1"/>
  <c r="H67" i="16"/>
  <c r="H67" i="12" s="1"/>
  <c r="H12" i="16"/>
  <c r="H12" i="12" s="1"/>
  <c r="H144" i="16"/>
  <c r="H144" i="12" s="1"/>
  <c r="H89" i="16"/>
  <c r="H89" i="12" s="1"/>
  <c r="H122" i="16"/>
  <c r="H122" i="12" s="1"/>
  <c r="H34" i="16"/>
  <c r="H34" i="12" s="1"/>
  <c r="H111" i="16"/>
  <c r="H111" i="12" s="1"/>
  <c r="H160" i="17"/>
  <c r="S171" i="11" s="1"/>
  <c r="H154" i="16"/>
  <c r="H154" i="12" s="1"/>
  <c r="H6" i="16"/>
  <c r="H6" i="12" s="1"/>
  <c r="H61" i="16"/>
  <c r="H61" i="12" s="1"/>
  <c r="H116" i="16"/>
  <c r="H116" i="12" s="1"/>
  <c r="H28" i="16"/>
  <c r="H28" i="12" s="1"/>
  <c r="H138" i="16"/>
  <c r="H138" i="12" s="1"/>
  <c r="H72" i="16"/>
  <c r="H72" i="12" s="1"/>
  <c r="H105" i="16"/>
  <c r="H105" i="12" s="1"/>
  <c r="H149" i="16"/>
  <c r="H149" i="12" s="1"/>
  <c r="H50" i="16"/>
  <c r="H50" i="12" s="1"/>
  <c r="H127" i="16"/>
  <c r="H39" i="16"/>
  <c r="H39" i="12" s="1"/>
  <c r="H83" i="16"/>
  <c r="H83" i="12" s="1"/>
  <c r="H66" i="16"/>
  <c r="H66" i="12" s="1"/>
  <c r="S174" i="10"/>
  <c r="S172" i="9"/>
  <c r="H121" i="16"/>
  <c r="H121" i="12" s="1"/>
  <c r="H164" i="17"/>
  <c r="S175" i="11" s="1"/>
  <c r="H162" i="17"/>
  <c r="S173" i="11" s="1"/>
  <c r="H44" i="16"/>
  <c r="H44" i="12" s="1"/>
  <c r="H77" i="18"/>
  <c r="H77" i="6" s="1"/>
  <c r="H168" i="17"/>
  <c r="S179" i="11" s="1"/>
  <c r="S177" i="9"/>
  <c r="H12" i="18"/>
  <c r="H12" i="6" s="1"/>
  <c r="H34" i="18"/>
  <c r="H34" i="6" s="1"/>
  <c r="H67" i="18"/>
  <c r="H67" i="6" s="1"/>
  <c r="H45" i="18"/>
  <c r="H45" i="6" s="1"/>
  <c r="H56" i="18"/>
  <c r="H56" i="6" s="1"/>
  <c r="H155" i="18"/>
  <c r="H155" i="6" s="1"/>
  <c r="H89" i="18"/>
  <c r="H89" i="6" s="1"/>
  <c r="H111" i="18"/>
  <c r="H111" i="6" s="1"/>
  <c r="H78" i="18"/>
  <c r="H78" i="6" s="1"/>
  <c r="H122" i="18"/>
  <c r="H122" i="6" s="1"/>
  <c r="H144" i="18"/>
  <c r="H144" i="6" s="1"/>
  <c r="S173" i="9"/>
  <c r="H102" i="18"/>
  <c r="H102" i="6" s="1"/>
  <c r="H91" i="18"/>
  <c r="H91" i="6" s="1"/>
  <c r="H69" i="18"/>
  <c r="H69" i="6" s="1"/>
  <c r="H36" i="18"/>
  <c r="H36" i="6" s="1"/>
  <c r="H113" i="18"/>
  <c r="H113" i="6" s="1"/>
  <c r="H135" i="18"/>
  <c r="H135" i="6" s="1"/>
  <c r="H80" i="18"/>
  <c r="H80" i="6" s="1"/>
  <c r="H157" i="18"/>
  <c r="H157" i="6" s="1"/>
  <c r="H47" i="18"/>
  <c r="H47" i="6" s="1"/>
  <c r="H124" i="18"/>
  <c r="H124" i="6" s="1"/>
  <c r="H146" i="18"/>
  <c r="H146" i="6" s="1"/>
  <c r="H58" i="18"/>
  <c r="H58" i="6" s="1"/>
  <c r="H25" i="18"/>
  <c r="H25" i="6" s="1"/>
  <c r="H14" i="18"/>
  <c r="H14" i="6" s="1"/>
  <c r="H53" i="18"/>
  <c r="H119" i="18"/>
  <c r="H31" i="18"/>
  <c r="H130" i="18"/>
  <c r="H20" i="18"/>
  <c r="H108" i="18"/>
  <c r="H64" i="18"/>
  <c r="H141" i="18"/>
  <c r="H152" i="18"/>
  <c r="H42" i="18"/>
  <c r="H97" i="18"/>
  <c r="H75" i="18"/>
  <c r="H86" i="18"/>
  <c r="H9" i="18"/>
  <c r="H152" i="16"/>
  <c r="H31" i="16"/>
  <c r="H64" i="16"/>
  <c r="H141" i="16"/>
  <c r="H9" i="16"/>
  <c r="H130" i="16"/>
  <c r="H97" i="16"/>
  <c r="H42" i="16"/>
  <c r="H86" i="16"/>
  <c r="H75" i="16"/>
  <c r="H20" i="16"/>
  <c r="H119" i="16"/>
  <c r="H108" i="16"/>
  <c r="H53" i="16"/>
  <c r="H143" i="18"/>
  <c r="H143" i="6" s="1"/>
  <c r="H159" i="17"/>
  <c r="S170" i="11" s="1"/>
  <c r="S171" i="9"/>
  <c r="H11" i="18"/>
  <c r="H11" i="6" s="1"/>
  <c r="H161" i="17"/>
  <c r="S172" i="11" s="1"/>
  <c r="H55" i="18"/>
  <c r="H55" i="6" s="1"/>
  <c r="H44" i="18"/>
  <c r="H44" i="6" s="1"/>
  <c r="H166" i="17"/>
  <c r="S177" i="11" s="1"/>
  <c r="S172" i="10"/>
  <c r="H115" i="18"/>
  <c r="H115" i="6" s="1"/>
  <c r="H60" i="18"/>
  <c r="H60" i="6" s="1"/>
  <c r="H5" i="18"/>
  <c r="H5" i="6" s="1"/>
  <c r="H126" i="18"/>
  <c r="H71" i="18"/>
  <c r="H71" i="6" s="1"/>
  <c r="H27" i="18"/>
  <c r="H27" i="6" s="1"/>
  <c r="H137" i="18"/>
  <c r="H137" i="6" s="1"/>
  <c r="H104" i="18"/>
  <c r="H104" i="6" s="1"/>
  <c r="H38" i="18"/>
  <c r="H38" i="6" s="1"/>
  <c r="H148" i="18"/>
  <c r="H148" i="6" s="1"/>
  <c r="H82" i="18"/>
  <c r="H82" i="6" s="1"/>
  <c r="H49" i="18"/>
  <c r="H49" i="6" s="1"/>
  <c r="H90" i="18"/>
  <c r="H90" i="6" s="1"/>
  <c r="H13" i="18"/>
  <c r="H13" i="6" s="1"/>
  <c r="H123" i="18"/>
  <c r="H123" i="6" s="1"/>
  <c r="H57" i="18"/>
  <c r="H57" i="6" s="1"/>
  <c r="H134" i="18"/>
  <c r="H46" i="18"/>
  <c r="H46" i="6" s="1"/>
  <c r="H101" i="18"/>
  <c r="H101" i="6" s="1"/>
  <c r="H112" i="18"/>
  <c r="H112" i="6" s="1"/>
  <c r="H79" i="18"/>
  <c r="H79" i="6" s="1"/>
  <c r="H145" i="18"/>
  <c r="H145" i="6" s="1"/>
  <c r="H156" i="18"/>
  <c r="H35" i="18"/>
  <c r="H35" i="6" s="1"/>
  <c r="H68" i="18"/>
  <c r="H68" i="6" s="1"/>
  <c r="H132" i="16"/>
  <c r="S176" i="10"/>
  <c r="S173" i="10"/>
  <c r="S175" i="10"/>
  <c r="S170" i="9"/>
  <c r="H110" i="18"/>
  <c r="H110" i="6" s="1"/>
  <c r="H143" i="16"/>
  <c r="H143" i="12" s="1"/>
  <c r="S171" i="10"/>
  <c r="H167" i="17"/>
  <c r="S178" i="11" s="1"/>
  <c r="S170" i="10"/>
  <c r="H163" i="17"/>
  <c r="S174" i="11" s="1"/>
  <c r="H164" i="18"/>
  <c r="S175" i="9" s="1"/>
  <c r="H138" i="18"/>
  <c r="H138" i="6" s="1"/>
  <c r="H61" i="18"/>
  <c r="H61" i="6" s="1"/>
  <c r="H6" i="18"/>
  <c r="H6" i="6" s="1"/>
  <c r="H149" i="18"/>
  <c r="H149" i="6" s="1"/>
  <c r="H105" i="18"/>
  <c r="H105" i="6" s="1"/>
  <c r="H72" i="18"/>
  <c r="H72" i="6" s="1"/>
  <c r="H28" i="18"/>
  <c r="H28" i="6" s="1"/>
  <c r="H116" i="18"/>
  <c r="H116" i="6" s="1"/>
  <c r="H39" i="18"/>
  <c r="H39" i="6" s="1"/>
  <c r="H127" i="18"/>
  <c r="H83" i="18"/>
  <c r="H83" i="6" s="1"/>
  <c r="H50" i="18"/>
  <c r="H50" i="6" s="1"/>
  <c r="H168" i="16"/>
  <c r="H10" i="16"/>
  <c r="H10" i="12" s="1"/>
  <c r="H87" i="16"/>
  <c r="H87" i="12" s="1"/>
  <c r="H32" i="16"/>
  <c r="H32" i="12" s="1"/>
  <c r="H153" i="16"/>
  <c r="H153" i="12" s="1"/>
  <c r="H131" i="16"/>
  <c r="H131" i="12" s="1"/>
  <c r="H21" i="16"/>
  <c r="H21" i="12" s="1"/>
  <c r="H43" i="16"/>
  <c r="H43" i="12" s="1"/>
  <c r="H54" i="16"/>
  <c r="H54" i="12" s="1"/>
  <c r="H65" i="16"/>
  <c r="H65" i="12" s="1"/>
  <c r="H142" i="16"/>
  <c r="H142" i="12" s="1"/>
  <c r="H109" i="16"/>
  <c r="H109" i="12" s="1"/>
  <c r="H76" i="16"/>
  <c r="H76" i="12" s="1"/>
  <c r="H98" i="16"/>
  <c r="H98" i="12" s="1"/>
  <c r="H120" i="16"/>
  <c r="H120" i="12" s="1"/>
  <c r="S176" i="11"/>
  <c r="H132" i="17"/>
  <c r="H121" i="17"/>
  <c r="H121" i="13" s="1"/>
  <c r="H110" i="17"/>
  <c r="H110" i="13" s="1"/>
  <c r="H77" i="17"/>
  <c r="H77" i="13" s="1"/>
  <c r="H11" i="17"/>
  <c r="H11" i="13" s="1"/>
  <c r="H66" i="17"/>
  <c r="H66" i="13" s="1"/>
  <c r="H154" i="17"/>
  <c r="H154" i="13" s="1"/>
  <c r="H88" i="17"/>
  <c r="H88" i="13" s="1"/>
  <c r="H55" i="17"/>
  <c r="H55" i="13" s="1"/>
  <c r="H33" i="17"/>
  <c r="H33" i="13" s="1"/>
  <c r="H11" i="16"/>
  <c r="H11" i="12" s="1"/>
  <c r="S174" i="9"/>
  <c r="H143" i="17"/>
  <c r="H143" i="13" s="1"/>
  <c r="S177" i="10"/>
  <c r="S178" i="9"/>
  <c r="H66" i="18"/>
  <c r="H66" i="6" s="1"/>
  <c r="H121" i="18"/>
  <c r="H121" i="6" s="1"/>
  <c r="S179" i="9"/>
  <c r="H151" i="16" l="1"/>
  <c r="H151" i="12" s="1"/>
  <c r="I89" i="16"/>
  <c r="I89" i="12" s="1"/>
  <c r="I78" i="16"/>
  <c r="I78" i="12" s="1"/>
  <c r="I56" i="16"/>
  <c r="I56" i="12" s="1"/>
  <c r="I144" i="16"/>
  <c r="I144" i="12" s="1"/>
  <c r="I122" i="16"/>
  <c r="I122" i="12" s="1"/>
  <c r="I111" i="16"/>
  <c r="I111" i="12" s="1"/>
  <c r="I155" i="16"/>
  <c r="I155" i="12" s="1"/>
  <c r="I67" i="16"/>
  <c r="I67" i="12" s="1"/>
  <c r="I34" i="16"/>
  <c r="I34" i="12" s="1"/>
  <c r="I50" i="16"/>
  <c r="I50" i="12" s="1"/>
  <c r="I72" i="16"/>
  <c r="I72" i="12" s="1"/>
  <c r="I127" i="16"/>
  <c r="I61" i="16"/>
  <c r="I61" i="12" s="1"/>
  <c r="I28" i="16"/>
  <c r="I28" i="12" s="1"/>
  <c r="I138" i="16"/>
  <c r="I138" i="12" s="1"/>
  <c r="I105" i="16"/>
  <c r="I105" i="12" s="1"/>
  <c r="I83" i="16"/>
  <c r="I83" i="12" s="1"/>
  <c r="I116" i="16"/>
  <c r="I116" i="12" s="1"/>
  <c r="I39" i="16"/>
  <c r="I39" i="12" s="1"/>
  <c r="I25" i="16"/>
  <c r="I25" i="12" s="1"/>
  <c r="I80" i="16"/>
  <c r="I80" i="12" s="1"/>
  <c r="I113" i="16"/>
  <c r="I113" i="12" s="1"/>
  <c r="I135" i="16"/>
  <c r="I135" i="12" s="1"/>
  <c r="I36" i="16"/>
  <c r="I36" i="12" s="1"/>
  <c r="I58" i="16"/>
  <c r="I58" i="12" s="1"/>
  <c r="I69" i="16"/>
  <c r="I69" i="12" s="1"/>
  <c r="I102" i="16"/>
  <c r="I102" i="12" s="1"/>
  <c r="I47" i="16"/>
  <c r="I47" i="12" s="1"/>
  <c r="I124" i="16"/>
  <c r="I124" i="12" s="1"/>
  <c r="I146" i="16"/>
  <c r="I146" i="12" s="1"/>
  <c r="I157" i="16"/>
  <c r="I157" i="12" s="1"/>
  <c r="I115" i="16"/>
  <c r="I115" i="12" s="1"/>
  <c r="I126" i="16"/>
  <c r="I82" i="16"/>
  <c r="I82" i="12" s="1"/>
  <c r="I49" i="16"/>
  <c r="I49" i="12" s="1"/>
  <c r="I148" i="16"/>
  <c r="I148" i="12" s="1"/>
  <c r="I71" i="16"/>
  <c r="I71" i="12" s="1"/>
  <c r="I27" i="16"/>
  <c r="I27" i="12" s="1"/>
  <c r="I60" i="16"/>
  <c r="I60" i="12" s="1"/>
  <c r="I38" i="16"/>
  <c r="I38" i="12" s="1"/>
  <c r="I104" i="16"/>
  <c r="I104" i="12" s="1"/>
  <c r="I137" i="16"/>
  <c r="I137" i="12" s="1"/>
  <c r="I42" i="16"/>
  <c r="I86" i="16"/>
  <c r="I141" i="16"/>
  <c r="I130" i="16"/>
  <c r="I64" i="16"/>
  <c r="I152" i="16"/>
  <c r="I53" i="16"/>
  <c r="I108" i="16"/>
  <c r="I119" i="16"/>
  <c r="I97" i="16"/>
  <c r="I20" i="16"/>
  <c r="I31" i="16"/>
  <c r="I75" i="16"/>
  <c r="I65" i="16"/>
  <c r="I65" i="12" s="1"/>
  <c r="I21" i="16"/>
  <c r="I21" i="12" s="1"/>
  <c r="I109" i="16"/>
  <c r="I109" i="12" s="1"/>
  <c r="I98" i="16"/>
  <c r="I98" i="12" s="1"/>
  <c r="I142" i="16"/>
  <c r="I142" i="12" s="1"/>
  <c r="I76" i="16"/>
  <c r="I76" i="12" s="1"/>
  <c r="I43" i="16"/>
  <c r="I43" i="12" s="1"/>
  <c r="I131" i="16"/>
  <c r="I131" i="12" s="1"/>
  <c r="I87" i="16"/>
  <c r="I87" i="12" s="1"/>
  <c r="I153" i="16"/>
  <c r="I153" i="12" s="1"/>
  <c r="I54" i="16"/>
  <c r="I54" i="12" s="1"/>
  <c r="I32" i="16"/>
  <c r="I32" i="12" s="1"/>
  <c r="I156" i="16"/>
  <c r="I156" i="12" s="1"/>
  <c r="I134" i="16"/>
  <c r="I134" i="12" s="1"/>
  <c r="I57" i="16"/>
  <c r="I57" i="12" s="1"/>
  <c r="I101" i="16"/>
  <c r="I101" i="12" s="1"/>
  <c r="I79" i="16"/>
  <c r="I79" i="12" s="1"/>
  <c r="I145" i="16"/>
  <c r="I145" i="12" s="1"/>
  <c r="I46" i="16"/>
  <c r="I46" i="12" s="1"/>
  <c r="I35" i="16"/>
  <c r="I35" i="12" s="1"/>
  <c r="I123" i="16"/>
  <c r="I123" i="12" s="1"/>
  <c r="I112" i="16"/>
  <c r="I112" i="12" s="1"/>
  <c r="I90" i="16"/>
  <c r="I90" i="12" s="1"/>
  <c r="I68" i="16"/>
  <c r="I68" i="12" s="1"/>
  <c r="I154" i="16"/>
  <c r="I154" i="12" s="1"/>
  <c r="I44" i="16"/>
  <c r="I44" i="12" s="1"/>
  <c r="I121" i="16"/>
  <c r="I121" i="12" s="1"/>
  <c r="I88" i="16"/>
  <c r="I88" i="12" s="1"/>
  <c r="I77" i="16"/>
  <c r="I77" i="12" s="1"/>
  <c r="I110" i="16"/>
  <c r="I110" i="12" s="1"/>
  <c r="I33" i="16"/>
  <c r="I33" i="12" s="1"/>
  <c r="I55" i="16"/>
  <c r="I55" i="12" s="1"/>
  <c r="I11" i="16"/>
  <c r="I11" i="12" s="1"/>
  <c r="I66" i="16"/>
  <c r="I66" i="12" s="1"/>
  <c r="I143" i="16"/>
  <c r="I143" i="12" s="1"/>
  <c r="K165" i="4"/>
  <c r="K166" i="4"/>
  <c r="K188" i="10"/>
  <c r="K187" i="9"/>
  <c r="K188" i="9"/>
  <c r="K166" i="3"/>
  <c r="K187" i="10"/>
  <c r="K165" i="3"/>
  <c r="K165" i="5"/>
  <c r="K187" i="11"/>
  <c r="K166" i="5"/>
  <c r="K188" i="11"/>
  <c r="H118" i="16"/>
  <c r="H118" i="12" s="1"/>
  <c r="H129" i="16"/>
  <c r="H41" i="16"/>
  <c r="H41" i="12" s="1"/>
  <c r="H30" i="16"/>
  <c r="H30" i="12" s="1"/>
  <c r="H63" i="16"/>
  <c r="H63" i="12" s="1"/>
  <c r="H52" i="16"/>
  <c r="H74" i="16"/>
  <c r="H74" i="12" s="1"/>
  <c r="G78" i="17"/>
  <c r="G78" i="13" s="1"/>
  <c r="G155" i="17"/>
  <c r="G155" i="13" s="1"/>
  <c r="G89" i="17"/>
  <c r="G89" i="13" s="1"/>
  <c r="G67" i="17"/>
  <c r="G67" i="13" s="1"/>
  <c r="G12" i="17"/>
  <c r="G12" i="13" s="1"/>
  <c r="G34" i="17"/>
  <c r="G34" i="13" s="1"/>
  <c r="G56" i="17"/>
  <c r="G56" i="13" s="1"/>
  <c r="G111" i="17"/>
  <c r="G111" i="13" s="1"/>
  <c r="G144" i="17"/>
  <c r="G144" i="13" s="1"/>
  <c r="G122" i="17"/>
  <c r="G122" i="13" s="1"/>
  <c r="G45" i="17"/>
  <c r="G45" i="13" s="1"/>
  <c r="F155" i="17"/>
  <c r="F155" i="13" s="1"/>
  <c r="F78" i="17"/>
  <c r="F78" i="13" s="1"/>
  <c r="F122" i="17"/>
  <c r="F122" i="13" s="1"/>
  <c r="F89" i="17"/>
  <c r="F89" i="13" s="1"/>
  <c r="F144" i="17"/>
  <c r="F144" i="13" s="1"/>
  <c r="F111" i="17"/>
  <c r="F111" i="13" s="1"/>
  <c r="F34" i="17"/>
  <c r="F34" i="13" s="1"/>
  <c r="F12" i="17"/>
  <c r="F12" i="13" s="1"/>
  <c r="F56" i="17"/>
  <c r="F56" i="13" s="1"/>
  <c r="F67" i="17"/>
  <c r="F67" i="13" s="1"/>
  <c r="F45" i="17"/>
  <c r="F45" i="13" s="1"/>
  <c r="H140" i="16"/>
  <c r="H140" i="12" s="1"/>
  <c r="H107" i="16"/>
  <c r="H107" i="12" s="1"/>
  <c r="C155" i="17"/>
  <c r="C155" i="13" s="1"/>
  <c r="C56" i="17"/>
  <c r="C56" i="13" s="1"/>
  <c r="C34" i="17"/>
  <c r="C34" i="13" s="1"/>
  <c r="C122" i="17"/>
  <c r="C122" i="13" s="1"/>
  <c r="C78" i="17"/>
  <c r="C78" i="13" s="1"/>
  <c r="C12" i="17"/>
  <c r="C12" i="13" s="1"/>
  <c r="C111" i="17"/>
  <c r="C111" i="13" s="1"/>
  <c r="C89" i="17"/>
  <c r="C89" i="13" s="1"/>
  <c r="C67" i="17"/>
  <c r="C67" i="13" s="1"/>
  <c r="C144" i="17"/>
  <c r="C144" i="13" s="1"/>
  <c r="C45" i="17"/>
  <c r="C45" i="13" s="1"/>
  <c r="H85" i="16"/>
  <c r="H85" i="12" s="1"/>
  <c r="H8" i="16"/>
  <c r="H8" i="12" s="1"/>
  <c r="H168" i="6"/>
  <c r="H152" i="17"/>
  <c r="H64" i="17"/>
  <c r="H42" i="17"/>
  <c r="H97" i="17"/>
  <c r="H86" i="17"/>
  <c r="H31" i="17"/>
  <c r="H119" i="17"/>
  <c r="H130" i="17"/>
  <c r="H9" i="17"/>
  <c r="H75" i="17"/>
  <c r="H141" i="17"/>
  <c r="H20" i="17"/>
  <c r="H108" i="17"/>
  <c r="H53" i="17"/>
  <c r="H101" i="17"/>
  <c r="H101" i="13" s="1"/>
  <c r="H156" i="17"/>
  <c r="H156" i="13" s="1"/>
  <c r="H123" i="17"/>
  <c r="H123" i="13" s="1"/>
  <c r="H79" i="17"/>
  <c r="H79" i="13" s="1"/>
  <c r="H112" i="17"/>
  <c r="H112" i="13" s="1"/>
  <c r="H90" i="17"/>
  <c r="H90" i="13" s="1"/>
  <c r="H134" i="17"/>
  <c r="H134" i="13" s="1"/>
  <c r="H68" i="17"/>
  <c r="H68" i="13" s="1"/>
  <c r="H46" i="17"/>
  <c r="H46" i="13" s="1"/>
  <c r="H145" i="17"/>
  <c r="H145" i="13" s="1"/>
  <c r="H57" i="17"/>
  <c r="H57" i="13" s="1"/>
  <c r="H13" i="17"/>
  <c r="H13" i="13" s="1"/>
  <c r="H35" i="17"/>
  <c r="H35" i="13" s="1"/>
  <c r="H62" i="18"/>
  <c r="H62" i="6" s="1"/>
  <c r="H73" i="18"/>
  <c r="H73" i="6" s="1"/>
  <c r="H84" i="18"/>
  <c r="H84" i="6" s="1"/>
  <c r="H30" i="18"/>
  <c r="H30" i="6" s="1"/>
  <c r="H74" i="18"/>
  <c r="H74" i="6" s="1"/>
  <c r="H107" i="18"/>
  <c r="H107" i="6" s="1"/>
  <c r="H106" i="16"/>
  <c r="H106" i="12" s="1"/>
  <c r="H150" i="16"/>
  <c r="H150" i="12" s="1"/>
  <c r="H117" i="16"/>
  <c r="H117" i="12" s="1"/>
  <c r="H157" i="17"/>
  <c r="H157" i="13" s="1"/>
  <c r="H124" i="17"/>
  <c r="H124" i="13" s="1"/>
  <c r="H58" i="17"/>
  <c r="H58" i="13" s="1"/>
  <c r="H14" i="17"/>
  <c r="H14" i="13" s="1"/>
  <c r="H36" i="17"/>
  <c r="H36" i="13" s="1"/>
  <c r="H47" i="17"/>
  <c r="H47" i="13" s="1"/>
  <c r="H25" i="17"/>
  <c r="H25" i="13" s="1"/>
  <c r="H69" i="17"/>
  <c r="H69" i="13" s="1"/>
  <c r="H135" i="17"/>
  <c r="H135" i="13" s="1"/>
  <c r="H113" i="17"/>
  <c r="H113" i="13" s="1"/>
  <c r="H102" i="17"/>
  <c r="H102" i="13" s="1"/>
  <c r="H91" i="17"/>
  <c r="H91" i="13" s="1"/>
  <c r="H80" i="17"/>
  <c r="H80" i="13" s="1"/>
  <c r="H146" i="17"/>
  <c r="H146" i="13" s="1"/>
  <c r="H7" i="18"/>
  <c r="H7" i="6" s="1"/>
  <c r="H139" i="18"/>
  <c r="H139" i="6" s="1"/>
  <c r="H51" i="18"/>
  <c r="H51" i="6" s="1"/>
  <c r="H140" i="18"/>
  <c r="H140" i="6" s="1"/>
  <c r="H151" i="18"/>
  <c r="H151" i="6" s="1"/>
  <c r="H8" i="18"/>
  <c r="H8" i="6" s="1"/>
  <c r="H62" i="16"/>
  <c r="H62" i="12" s="1"/>
  <c r="H139" i="16"/>
  <c r="H139" i="12" s="1"/>
  <c r="H29" i="16"/>
  <c r="H29" i="12" s="1"/>
  <c r="H164" i="12"/>
  <c r="H131" i="18"/>
  <c r="H131" i="6" s="1"/>
  <c r="H153" i="18"/>
  <c r="H153" i="6" s="1"/>
  <c r="H120" i="18"/>
  <c r="H120" i="6" s="1"/>
  <c r="H142" i="18"/>
  <c r="H142" i="6" s="1"/>
  <c r="H87" i="18"/>
  <c r="H87" i="6" s="1"/>
  <c r="H10" i="18"/>
  <c r="H10" i="6" s="1"/>
  <c r="H32" i="18"/>
  <c r="H32" i="6" s="1"/>
  <c r="H98" i="18"/>
  <c r="H98" i="6" s="1"/>
  <c r="H21" i="18"/>
  <c r="H21" i="6" s="1"/>
  <c r="H109" i="18"/>
  <c r="H109" i="6" s="1"/>
  <c r="H54" i="18"/>
  <c r="H54" i="6" s="1"/>
  <c r="H43" i="18"/>
  <c r="H43" i="6" s="1"/>
  <c r="H65" i="18"/>
  <c r="H65" i="6" s="1"/>
  <c r="H76" i="18"/>
  <c r="H76" i="6" s="1"/>
  <c r="H117" i="18"/>
  <c r="H117" i="6" s="1"/>
  <c r="H40" i="18"/>
  <c r="H40" i="6" s="1"/>
  <c r="H106" i="18"/>
  <c r="H106" i="6" s="1"/>
  <c r="H116" i="17"/>
  <c r="H116" i="13" s="1"/>
  <c r="H83" i="17"/>
  <c r="H83" i="13" s="1"/>
  <c r="H72" i="17"/>
  <c r="H72" i="13" s="1"/>
  <c r="H105" i="17"/>
  <c r="H105" i="13" s="1"/>
  <c r="H138" i="17"/>
  <c r="H138" i="13" s="1"/>
  <c r="H61" i="17"/>
  <c r="H61" i="13" s="1"/>
  <c r="H149" i="17"/>
  <c r="H149" i="13" s="1"/>
  <c r="H50" i="17"/>
  <c r="H50" i="13" s="1"/>
  <c r="H28" i="17"/>
  <c r="H28" i="13" s="1"/>
  <c r="H39" i="17"/>
  <c r="H39" i="13" s="1"/>
  <c r="H6" i="17"/>
  <c r="H6" i="13" s="1"/>
  <c r="H127" i="17"/>
  <c r="H85" i="18"/>
  <c r="H85" i="6" s="1"/>
  <c r="H129" i="18"/>
  <c r="H63" i="18"/>
  <c r="H63" i="6" s="1"/>
  <c r="H40" i="16"/>
  <c r="H40" i="12" s="1"/>
  <c r="H73" i="16"/>
  <c r="H73" i="12" s="1"/>
  <c r="H7" i="16"/>
  <c r="H7" i="12" s="1"/>
  <c r="H146" i="16"/>
  <c r="H146" i="12" s="1"/>
  <c r="H58" i="16"/>
  <c r="H58" i="12" s="1"/>
  <c r="H36" i="16"/>
  <c r="H36" i="12" s="1"/>
  <c r="H14" i="16"/>
  <c r="H14" i="12" s="1"/>
  <c r="H135" i="16"/>
  <c r="H135" i="12" s="1"/>
  <c r="H25" i="16"/>
  <c r="H25" i="12" s="1"/>
  <c r="H113" i="16"/>
  <c r="H113" i="12" s="1"/>
  <c r="H91" i="16"/>
  <c r="H91" i="12" s="1"/>
  <c r="H157" i="16"/>
  <c r="H157" i="12" s="1"/>
  <c r="H102" i="16"/>
  <c r="H102" i="12" s="1"/>
  <c r="H80" i="16"/>
  <c r="H80" i="12" s="1"/>
  <c r="H47" i="16"/>
  <c r="H47" i="12" s="1"/>
  <c r="H124" i="16"/>
  <c r="H124" i="12" s="1"/>
  <c r="H69" i="16"/>
  <c r="H69" i="12" s="1"/>
  <c r="S179" i="10"/>
  <c r="H134" i="6"/>
  <c r="H156" i="6"/>
  <c r="H67" i="17"/>
  <c r="H67" i="13" s="1"/>
  <c r="H155" i="17"/>
  <c r="H155" i="13" s="1"/>
  <c r="H89" i="17"/>
  <c r="H89" i="13" s="1"/>
  <c r="H78" i="17"/>
  <c r="H78" i="13" s="1"/>
  <c r="H56" i="17"/>
  <c r="H56" i="13" s="1"/>
  <c r="H45" i="17"/>
  <c r="H45" i="13" s="1"/>
  <c r="H111" i="17"/>
  <c r="H111" i="13" s="1"/>
  <c r="H34" i="17"/>
  <c r="H34" i="13" s="1"/>
  <c r="H122" i="17"/>
  <c r="H122" i="13" s="1"/>
  <c r="H144" i="17"/>
  <c r="H144" i="13" s="1"/>
  <c r="H12" i="17"/>
  <c r="H12" i="13" s="1"/>
  <c r="H82" i="17"/>
  <c r="H82" i="13" s="1"/>
  <c r="H49" i="17"/>
  <c r="H49" i="13" s="1"/>
  <c r="H115" i="17"/>
  <c r="H115" i="13" s="1"/>
  <c r="H137" i="17"/>
  <c r="H137" i="13" s="1"/>
  <c r="H5" i="17"/>
  <c r="H5" i="13" s="1"/>
  <c r="H38" i="17"/>
  <c r="H38" i="13" s="1"/>
  <c r="H148" i="17"/>
  <c r="H148" i="13" s="1"/>
  <c r="H126" i="17"/>
  <c r="H104" i="17"/>
  <c r="H104" i="13" s="1"/>
  <c r="H27" i="17"/>
  <c r="H27" i="13" s="1"/>
  <c r="H60" i="17"/>
  <c r="H60" i="13" s="1"/>
  <c r="H71" i="17"/>
  <c r="H71" i="13" s="1"/>
  <c r="H153" i="17"/>
  <c r="H153" i="13" s="1"/>
  <c r="H109" i="17"/>
  <c r="H109" i="13" s="1"/>
  <c r="H54" i="17"/>
  <c r="H54" i="13" s="1"/>
  <c r="H21" i="17"/>
  <c r="H21" i="13" s="1"/>
  <c r="H87" i="17"/>
  <c r="H87" i="13" s="1"/>
  <c r="H32" i="17"/>
  <c r="H32" i="13" s="1"/>
  <c r="H98" i="17"/>
  <c r="H98" i="13" s="1"/>
  <c r="H131" i="17"/>
  <c r="H131" i="13" s="1"/>
  <c r="H120" i="17"/>
  <c r="H120" i="13" s="1"/>
  <c r="H43" i="17"/>
  <c r="H43" i="13" s="1"/>
  <c r="H142" i="17"/>
  <c r="H142" i="13" s="1"/>
  <c r="H10" i="17"/>
  <c r="H10" i="13" s="1"/>
  <c r="H76" i="17"/>
  <c r="H76" i="13" s="1"/>
  <c r="H65" i="17"/>
  <c r="H65" i="13" s="1"/>
  <c r="H29" i="18"/>
  <c r="H29" i="6" s="1"/>
  <c r="H128" i="18"/>
  <c r="H150" i="18"/>
  <c r="H150" i="6" s="1"/>
  <c r="H41" i="18"/>
  <c r="H41" i="6" s="1"/>
  <c r="H52" i="18"/>
  <c r="H118" i="18"/>
  <c r="H118" i="6" s="1"/>
  <c r="H51" i="16"/>
  <c r="H51" i="12" s="1"/>
  <c r="H128" i="16"/>
  <c r="H84" i="16"/>
  <c r="H84" i="12" s="1"/>
  <c r="I41" i="16" l="1"/>
  <c r="I41" i="12" s="1"/>
  <c r="I29" i="16"/>
  <c r="I29" i="12" s="1"/>
  <c r="I73" i="16"/>
  <c r="I73" i="12" s="1"/>
  <c r="I74" i="16"/>
  <c r="I74" i="12" s="1"/>
  <c r="I40" i="16"/>
  <c r="I40" i="12" s="1"/>
  <c r="I30" i="16"/>
  <c r="I30" i="12" s="1"/>
  <c r="I118" i="16"/>
  <c r="I118" i="12" s="1"/>
  <c r="I117" i="16"/>
  <c r="I117" i="12" s="1"/>
  <c r="I106" i="16"/>
  <c r="I106" i="12" s="1"/>
  <c r="I9" i="16"/>
  <c r="I5" i="16"/>
  <c r="I5" i="12" s="1"/>
  <c r="I63" i="16"/>
  <c r="I63" i="12" s="1"/>
  <c r="I128" i="16"/>
  <c r="I91" i="16"/>
  <c r="I91" i="12" s="1"/>
  <c r="I14" i="16"/>
  <c r="I14" i="12" s="1"/>
  <c r="I140" i="16"/>
  <c r="I140" i="12" s="1"/>
  <c r="I52" i="16"/>
  <c r="I139" i="16"/>
  <c r="I139" i="12" s="1"/>
  <c r="I6" i="16"/>
  <c r="I6" i="12" s="1"/>
  <c r="I149" i="16"/>
  <c r="I149" i="12" s="1"/>
  <c r="I45" i="16"/>
  <c r="I45" i="12" s="1"/>
  <c r="I12" i="16"/>
  <c r="I12" i="12" s="1"/>
  <c r="I13" i="16"/>
  <c r="I13" i="12" s="1"/>
  <c r="I85" i="16"/>
  <c r="I85" i="12" s="1"/>
  <c r="I129" i="16"/>
  <c r="I107" i="16"/>
  <c r="I107" i="12" s="1"/>
  <c r="I10" i="16"/>
  <c r="I10" i="12" s="1"/>
  <c r="I120" i="16"/>
  <c r="I120" i="12" s="1"/>
  <c r="I84" i="16"/>
  <c r="I84" i="12" s="1"/>
  <c r="I51" i="16"/>
  <c r="I51" i="12" s="1"/>
  <c r="I62" i="16"/>
  <c r="I62" i="12" s="1"/>
  <c r="K166" i="18"/>
  <c r="K144" i="18" s="1"/>
  <c r="K144" i="6" s="1"/>
  <c r="K45" i="16"/>
  <c r="K45" i="12" s="1"/>
  <c r="K111" i="17"/>
  <c r="K111" i="13" s="1"/>
  <c r="H75" i="6"/>
  <c r="H70" i="6" s="1"/>
  <c r="H119" i="6"/>
  <c r="H114" i="6" s="1"/>
  <c r="H9" i="12"/>
  <c r="H52" i="12"/>
  <c r="H31" i="6"/>
  <c r="H26" i="6" s="1"/>
  <c r="H108" i="6"/>
  <c r="H103" i="6" s="1"/>
  <c r="H152" i="12"/>
  <c r="H127" i="12"/>
  <c r="H152" i="6"/>
  <c r="H147" i="6" s="1"/>
  <c r="H42" i="12"/>
  <c r="H108" i="12"/>
  <c r="H9" i="6"/>
  <c r="H4" i="6" s="1"/>
  <c r="H42" i="6"/>
  <c r="H37" i="6" s="1"/>
  <c r="H119" i="12"/>
  <c r="H7" i="17"/>
  <c r="H7" i="13" s="1"/>
  <c r="H141" i="6"/>
  <c r="H136" i="6" s="1"/>
  <c r="H86" i="6"/>
  <c r="H81" i="6" s="1"/>
  <c r="H64" i="6"/>
  <c r="H59" i="6" s="1"/>
  <c r="H73" i="17"/>
  <c r="H73" i="13" s="1"/>
  <c r="H164" i="13"/>
  <c r="H141" i="12"/>
  <c r="H139" i="17"/>
  <c r="H139" i="13" s="1"/>
  <c r="H52" i="6"/>
  <c r="H53" i="6" s="1"/>
  <c r="H132" i="6"/>
  <c r="H133" i="6"/>
  <c r="H128" i="6"/>
  <c r="H40" i="17"/>
  <c r="H40" i="13" s="1"/>
  <c r="H128" i="17"/>
  <c r="H29" i="17"/>
  <c r="H29" i="13" s="1"/>
  <c r="H129" i="12"/>
  <c r="H168" i="12"/>
  <c r="H126" i="12"/>
  <c r="H8" i="17"/>
  <c r="H8" i="13" s="1"/>
  <c r="H129" i="17"/>
  <c r="H140" i="17"/>
  <c r="H140" i="13" s="1"/>
  <c r="H31" i="12"/>
  <c r="H132" i="12"/>
  <c r="H64" i="12"/>
  <c r="H127" i="6"/>
  <c r="H117" i="17"/>
  <c r="H117" i="13" s="1"/>
  <c r="H62" i="17"/>
  <c r="H62" i="13" s="1"/>
  <c r="H86" i="12"/>
  <c r="H151" i="17"/>
  <c r="H151" i="13" s="1"/>
  <c r="H118" i="17"/>
  <c r="H118" i="13" s="1"/>
  <c r="H107" i="17"/>
  <c r="H107" i="13" s="1"/>
  <c r="H51" i="17"/>
  <c r="H51" i="13" s="1"/>
  <c r="H150" i="17"/>
  <c r="H150" i="13" s="1"/>
  <c r="H129" i="6"/>
  <c r="H41" i="17"/>
  <c r="H41" i="13" s="1"/>
  <c r="H52" i="17"/>
  <c r="H52" i="13" s="1"/>
  <c r="H30" i="17"/>
  <c r="H30" i="13" s="1"/>
  <c r="H75" i="12"/>
  <c r="H128" i="12"/>
  <c r="H133" i="12"/>
  <c r="H106" i="17"/>
  <c r="H106" i="13" s="1"/>
  <c r="H84" i="17"/>
  <c r="H84" i="13" s="1"/>
  <c r="H164" i="6"/>
  <c r="H74" i="17"/>
  <c r="H74" i="13" s="1"/>
  <c r="H85" i="17"/>
  <c r="H85" i="13" s="1"/>
  <c r="H63" i="17"/>
  <c r="H63" i="13" s="1"/>
  <c r="H168" i="13"/>
  <c r="H126" i="6"/>
  <c r="I42" i="12" l="1"/>
  <c r="K34" i="18"/>
  <c r="K34" i="6" s="1"/>
  <c r="K78" i="18"/>
  <c r="K78" i="6" s="1"/>
  <c r="K111" i="18"/>
  <c r="K111" i="6" s="1"/>
  <c r="K45" i="18"/>
  <c r="K45" i="6" s="1"/>
  <c r="K12" i="18"/>
  <c r="K12" i="6" s="1"/>
  <c r="K56" i="18"/>
  <c r="K56" i="6" s="1"/>
  <c r="K122" i="18"/>
  <c r="K122" i="6" s="1"/>
  <c r="K67" i="18"/>
  <c r="K67" i="6" s="1"/>
  <c r="K155" i="18"/>
  <c r="K155" i="6" s="1"/>
  <c r="K89" i="18"/>
  <c r="K89" i="6" s="1"/>
  <c r="I31" i="12"/>
  <c r="I141" i="12"/>
  <c r="I75" i="12"/>
  <c r="I64" i="12"/>
  <c r="I126" i="12"/>
  <c r="I119" i="12"/>
  <c r="I129" i="12"/>
  <c r="I8" i="16"/>
  <c r="I8" i="12" s="1"/>
  <c r="I86" i="12"/>
  <c r="I108" i="12"/>
  <c r="I7" i="16"/>
  <c r="I7" i="12" s="1"/>
  <c r="I168" i="12"/>
  <c r="I151" i="16"/>
  <c r="I151" i="12" s="1"/>
  <c r="I128" i="12"/>
  <c r="I133" i="12"/>
  <c r="I132" i="12"/>
  <c r="I127" i="12"/>
  <c r="I52" i="12"/>
  <c r="I150" i="16"/>
  <c r="I150" i="12" s="1"/>
  <c r="I164" i="12"/>
  <c r="K144" i="17"/>
  <c r="K144" i="13" s="1"/>
  <c r="K78" i="17"/>
  <c r="K78" i="13" s="1"/>
  <c r="K56" i="17"/>
  <c r="K56" i="13" s="1"/>
  <c r="K89" i="17"/>
  <c r="K89" i="13" s="1"/>
  <c r="K12" i="17"/>
  <c r="K12" i="13" s="1"/>
  <c r="K155" i="17"/>
  <c r="K155" i="13" s="1"/>
  <c r="K67" i="17"/>
  <c r="K67" i="13" s="1"/>
  <c r="K122" i="17"/>
  <c r="K122" i="13" s="1"/>
  <c r="K34" i="17"/>
  <c r="K34" i="13" s="1"/>
  <c r="K45" i="17"/>
  <c r="K45" i="13" s="1"/>
  <c r="K67" i="16"/>
  <c r="K67" i="12" s="1"/>
  <c r="K122" i="16"/>
  <c r="K122" i="12" s="1"/>
  <c r="K89" i="16"/>
  <c r="K89" i="12" s="1"/>
  <c r="K56" i="16"/>
  <c r="K56" i="12" s="1"/>
  <c r="K12" i="16"/>
  <c r="K12" i="12" s="1"/>
  <c r="K34" i="16"/>
  <c r="K34" i="12" s="1"/>
  <c r="K144" i="16"/>
  <c r="K144" i="12" s="1"/>
  <c r="K111" i="16"/>
  <c r="K111" i="12" s="1"/>
  <c r="K155" i="16"/>
  <c r="K155" i="12" s="1"/>
  <c r="K78" i="16"/>
  <c r="K78" i="12" s="1"/>
  <c r="H42" i="13"/>
  <c r="H53" i="12"/>
  <c r="H129" i="13"/>
  <c r="H108" i="13"/>
  <c r="H9" i="13"/>
  <c r="H152" i="13"/>
  <c r="H75" i="13"/>
  <c r="H53" i="13"/>
  <c r="H141" i="13"/>
  <c r="H64" i="13"/>
  <c r="H130" i="6"/>
  <c r="H125" i="6" s="1"/>
  <c r="H86" i="13"/>
  <c r="H119" i="13"/>
  <c r="H48" i="6"/>
  <c r="H130" i="12"/>
  <c r="H31" i="13"/>
  <c r="H128" i="13"/>
  <c r="H133" i="13"/>
  <c r="H132" i="13"/>
  <c r="H126" i="13"/>
  <c r="H127" i="13"/>
  <c r="I9" i="12" l="1"/>
  <c r="I152" i="12"/>
  <c r="I130" i="12"/>
  <c r="I53" i="12"/>
  <c r="H130" i="13"/>
  <c r="G165" i="16" l="1"/>
  <c r="G165" i="17"/>
  <c r="G165" i="18"/>
  <c r="G163" i="16"/>
  <c r="G162" i="16"/>
  <c r="G159" i="16"/>
  <c r="G160" i="16"/>
  <c r="G168" i="16"/>
  <c r="G161" i="16"/>
  <c r="G164" i="16"/>
  <c r="G168" i="18"/>
  <c r="G162" i="18"/>
  <c r="G159" i="18"/>
  <c r="G163" i="18"/>
  <c r="G160" i="18"/>
  <c r="G164" i="18"/>
  <c r="G161" i="18"/>
  <c r="G167" i="18"/>
  <c r="G167" i="17"/>
  <c r="G168" i="17"/>
  <c r="G160" i="17"/>
  <c r="R178" i="10"/>
  <c r="G159" i="17"/>
  <c r="G161" i="17"/>
  <c r="G164" i="17"/>
  <c r="G162" i="17"/>
  <c r="G163" i="17"/>
  <c r="G153" i="17" l="1"/>
  <c r="G153" i="13" s="1"/>
  <c r="G76" i="17"/>
  <c r="G76" i="13" s="1"/>
  <c r="G32" i="17"/>
  <c r="G32" i="13" s="1"/>
  <c r="G142" i="17"/>
  <c r="G142" i="13" s="1"/>
  <c r="G87" i="17"/>
  <c r="G87" i="13" s="1"/>
  <c r="G98" i="17"/>
  <c r="G98" i="13" s="1"/>
  <c r="G109" i="17"/>
  <c r="G109" i="13" s="1"/>
  <c r="G65" i="17"/>
  <c r="G65" i="13" s="1"/>
  <c r="G43" i="17"/>
  <c r="G43" i="13" s="1"/>
  <c r="G120" i="17"/>
  <c r="G120" i="13" s="1"/>
  <c r="G21" i="17"/>
  <c r="G21" i="13" s="1"/>
  <c r="G131" i="17"/>
  <c r="G131" i="13" s="1"/>
  <c r="G54" i="17"/>
  <c r="G54" i="13" s="1"/>
  <c r="G10" i="17"/>
  <c r="G10" i="13" s="1"/>
  <c r="R175" i="11"/>
  <c r="G127" i="17"/>
  <c r="G50" i="17"/>
  <c r="G50" i="13" s="1"/>
  <c r="G28" i="17"/>
  <c r="G28" i="13" s="1"/>
  <c r="G105" i="17"/>
  <c r="G105" i="13" s="1"/>
  <c r="G6" i="17"/>
  <c r="G6" i="13" s="1"/>
  <c r="G72" i="17"/>
  <c r="G72" i="13" s="1"/>
  <c r="G138" i="17"/>
  <c r="G138" i="13" s="1"/>
  <c r="G39" i="17"/>
  <c r="G39" i="13" s="1"/>
  <c r="G83" i="17"/>
  <c r="G83" i="13" s="1"/>
  <c r="G61" i="17"/>
  <c r="G61" i="13" s="1"/>
  <c r="G149" i="17"/>
  <c r="G149" i="13" s="1"/>
  <c r="G116" i="17"/>
  <c r="G116" i="13" s="1"/>
  <c r="R171" i="11"/>
  <c r="R172" i="9"/>
  <c r="G49" i="18"/>
  <c r="G49" i="6" s="1"/>
  <c r="G38" i="18"/>
  <c r="G38" i="6" s="1"/>
  <c r="G126" i="18"/>
  <c r="G71" i="18"/>
  <c r="G71" i="6" s="1"/>
  <c r="G137" i="18"/>
  <c r="G137" i="6" s="1"/>
  <c r="G27" i="18"/>
  <c r="G148" i="18"/>
  <c r="G148" i="6" s="1"/>
  <c r="G60" i="18"/>
  <c r="G60" i="6" s="1"/>
  <c r="G5" i="18"/>
  <c r="G5" i="6" s="1"/>
  <c r="G82" i="18"/>
  <c r="G82" i="6" s="1"/>
  <c r="G104" i="18"/>
  <c r="G104" i="6" s="1"/>
  <c r="G115" i="18"/>
  <c r="G115" i="6" s="1"/>
  <c r="R170" i="9"/>
  <c r="R172" i="10"/>
  <c r="R173" i="10"/>
  <c r="G132" i="16"/>
  <c r="R176" i="10"/>
  <c r="G88" i="16"/>
  <c r="G88" i="12" s="1"/>
  <c r="G33" i="16"/>
  <c r="G33" i="12" s="1"/>
  <c r="G77" i="16"/>
  <c r="G77" i="12" s="1"/>
  <c r="G66" i="16"/>
  <c r="G66" i="12" s="1"/>
  <c r="G154" i="16"/>
  <c r="G154" i="12" s="1"/>
  <c r="G55" i="16"/>
  <c r="G55" i="12" s="1"/>
  <c r="G11" i="16"/>
  <c r="G11" i="12" s="1"/>
  <c r="G121" i="16"/>
  <c r="G121" i="12" s="1"/>
  <c r="G143" i="16"/>
  <c r="G143" i="12" s="1"/>
  <c r="G44" i="16"/>
  <c r="G44" i="12" s="1"/>
  <c r="G110" i="16"/>
  <c r="G110" i="12" s="1"/>
  <c r="R172" i="11"/>
  <c r="G102" i="17"/>
  <c r="G102" i="13" s="1"/>
  <c r="G69" i="17"/>
  <c r="G69" i="13" s="1"/>
  <c r="G80" i="17"/>
  <c r="G80" i="13" s="1"/>
  <c r="G146" i="17"/>
  <c r="G146" i="13" s="1"/>
  <c r="G124" i="17"/>
  <c r="G124" i="13" s="1"/>
  <c r="G14" i="17"/>
  <c r="G14" i="13" s="1"/>
  <c r="G91" i="17"/>
  <c r="G91" i="13" s="1"/>
  <c r="G36" i="17"/>
  <c r="G36" i="13" s="1"/>
  <c r="G113" i="17"/>
  <c r="G113" i="13" s="1"/>
  <c r="G58" i="17"/>
  <c r="G58" i="13" s="1"/>
  <c r="G135" i="17"/>
  <c r="G135" i="13" s="1"/>
  <c r="G25" i="17"/>
  <c r="G25" i="13" s="1"/>
  <c r="G157" i="17"/>
  <c r="G157" i="13" s="1"/>
  <c r="G47" i="17"/>
  <c r="G47" i="13" s="1"/>
  <c r="R179" i="11"/>
  <c r="G120" i="18"/>
  <c r="G120" i="6" s="1"/>
  <c r="G109" i="18"/>
  <c r="G109" i="6" s="1"/>
  <c r="G10" i="18"/>
  <c r="G10" i="6" s="1"/>
  <c r="G131" i="18"/>
  <c r="G131" i="6" s="1"/>
  <c r="G54" i="18"/>
  <c r="G54" i="6" s="1"/>
  <c r="G43" i="18"/>
  <c r="G43" i="6" s="1"/>
  <c r="G153" i="18"/>
  <c r="G153" i="6" s="1"/>
  <c r="G142" i="18"/>
  <c r="G142" i="6" s="1"/>
  <c r="G76" i="18"/>
  <c r="G76" i="6" s="1"/>
  <c r="G32" i="18"/>
  <c r="G32" i="6" s="1"/>
  <c r="G87" i="18"/>
  <c r="G87" i="6" s="1"/>
  <c r="G65" i="18"/>
  <c r="G65" i="6" s="1"/>
  <c r="G98" i="18"/>
  <c r="G98" i="6" s="1"/>
  <c r="G21" i="18"/>
  <c r="G21" i="6" s="1"/>
  <c r="R175" i="9"/>
  <c r="R173" i="9"/>
  <c r="G157" i="16"/>
  <c r="G157" i="12" s="1"/>
  <c r="G113" i="16"/>
  <c r="G113" i="12" s="1"/>
  <c r="G14" i="16"/>
  <c r="G14" i="12" s="1"/>
  <c r="G102" i="16"/>
  <c r="G102" i="12" s="1"/>
  <c r="G135" i="16"/>
  <c r="G135" i="12" s="1"/>
  <c r="G91" i="16"/>
  <c r="G91" i="12" s="1"/>
  <c r="G58" i="16"/>
  <c r="G58" i="12" s="1"/>
  <c r="G36" i="16"/>
  <c r="G36" i="12" s="1"/>
  <c r="G146" i="16"/>
  <c r="G146" i="12" s="1"/>
  <c r="G80" i="16"/>
  <c r="G80" i="12" s="1"/>
  <c r="G69" i="16"/>
  <c r="G69" i="12" s="1"/>
  <c r="G47" i="16"/>
  <c r="G47" i="12" s="1"/>
  <c r="G25" i="16"/>
  <c r="G25" i="12" s="1"/>
  <c r="G124" i="16"/>
  <c r="G124" i="12" s="1"/>
  <c r="R179" i="10"/>
  <c r="G97" i="16"/>
  <c r="G108" i="16"/>
  <c r="G119" i="16"/>
  <c r="G75" i="16"/>
  <c r="G141" i="16"/>
  <c r="G20" i="16"/>
  <c r="G53" i="16"/>
  <c r="G130" i="16"/>
  <c r="G31" i="16"/>
  <c r="G9" i="16"/>
  <c r="G42" i="16"/>
  <c r="G64" i="16"/>
  <c r="G152" i="16"/>
  <c r="G86" i="16"/>
  <c r="R174" i="10"/>
  <c r="G152" i="17"/>
  <c r="G20" i="17"/>
  <c r="G86" i="17"/>
  <c r="G75" i="17"/>
  <c r="G42" i="17"/>
  <c r="G119" i="17"/>
  <c r="G108" i="17"/>
  <c r="G97" i="17"/>
  <c r="G9" i="17"/>
  <c r="G141" i="17"/>
  <c r="G53" i="17"/>
  <c r="G130" i="17"/>
  <c r="G64" i="17"/>
  <c r="G31" i="17"/>
  <c r="R174" i="11"/>
  <c r="G82" i="17"/>
  <c r="G82" i="13" s="1"/>
  <c r="G49" i="17"/>
  <c r="G137" i="17"/>
  <c r="G5" i="17"/>
  <c r="G104" i="17"/>
  <c r="G104" i="13" s="1"/>
  <c r="G27" i="17"/>
  <c r="G126" i="17"/>
  <c r="G115" i="17"/>
  <c r="G60" i="17"/>
  <c r="G60" i="13" s="1"/>
  <c r="G38" i="17"/>
  <c r="G38" i="13" s="1"/>
  <c r="G148" i="17"/>
  <c r="G71" i="17"/>
  <c r="G71" i="13" s="1"/>
  <c r="R170" i="11"/>
  <c r="G13" i="17"/>
  <c r="G13" i="13" s="1"/>
  <c r="G134" i="17"/>
  <c r="G134" i="13" s="1"/>
  <c r="G35" i="17"/>
  <c r="G35" i="13" s="1"/>
  <c r="G112" i="17"/>
  <c r="G112" i="13" s="1"/>
  <c r="G123" i="17"/>
  <c r="G123" i="13" s="1"/>
  <c r="G145" i="17"/>
  <c r="G145" i="13" s="1"/>
  <c r="G156" i="17"/>
  <c r="G156" i="13" s="1"/>
  <c r="G46" i="17"/>
  <c r="G46" i="13" s="1"/>
  <c r="G57" i="17"/>
  <c r="G57" i="13" s="1"/>
  <c r="G101" i="17"/>
  <c r="G101" i="13" s="1"/>
  <c r="G90" i="17"/>
  <c r="G90" i="13" s="1"/>
  <c r="G79" i="17"/>
  <c r="G79" i="13" s="1"/>
  <c r="G68" i="17"/>
  <c r="G68" i="13" s="1"/>
  <c r="R178" i="11"/>
  <c r="G50" i="18"/>
  <c r="G50" i="6" s="1"/>
  <c r="G28" i="18"/>
  <c r="G28" i="6" s="1"/>
  <c r="G61" i="18"/>
  <c r="G61" i="6" s="1"/>
  <c r="G127" i="18"/>
  <c r="G105" i="18"/>
  <c r="G105" i="6" s="1"/>
  <c r="G138" i="18"/>
  <c r="G138" i="6" s="1"/>
  <c r="G149" i="18"/>
  <c r="G149" i="6" s="1"/>
  <c r="G6" i="18"/>
  <c r="G6" i="6" s="1"/>
  <c r="G116" i="18"/>
  <c r="G116" i="6" s="1"/>
  <c r="G72" i="18"/>
  <c r="G72" i="6" s="1"/>
  <c r="G83" i="18"/>
  <c r="G83" i="6" s="1"/>
  <c r="G39" i="18"/>
  <c r="R171" i="9"/>
  <c r="G135" i="18"/>
  <c r="G135" i="6" s="1"/>
  <c r="G58" i="18"/>
  <c r="G58" i="6" s="1"/>
  <c r="G36" i="18"/>
  <c r="G36" i="6" s="1"/>
  <c r="G102" i="18"/>
  <c r="G102" i="6" s="1"/>
  <c r="G157" i="18"/>
  <c r="G157" i="6" s="1"/>
  <c r="G113" i="18"/>
  <c r="G113" i="6" s="1"/>
  <c r="G124" i="18"/>
  <c r="G124" i="6" s="1"/>
  <c r="G146" i="18"/>
  <c r="G146" i="6" s="1"/>
  <c r="G91" i="18"/>
  <c r="G91" i="6" s="1"/>
  <c r="G14" i="18"/>
  <c r="G14" i="6" s="1"/>
  <c r="G25" i="18"/>
  <c r="G25" i="6" s="1"/>
  <c r="G80" i="18"/>
  <c r="G80" i="6" s="1"/>
  <c r="G69" i="18"/>
  <c r="G69" i="6" s="1"/>
  <c r="G47" i="18"/>
  <c r="G47" i="6" s="1"/>
  <c r="R179" i="9"/>
  <c r="G50" i="16"/>
  <c r="G50" i="12" s="1"/>
  <c r="G72" i="16"/>
  <c r="G72" i="12" s="1"/>
  <c r="G138" i="16"/>
  <c r="G138" i="12" s="1"/>
  <c r="G28" i="16"/>
  <c r="G28" i="12" s="1"/>
  <c r="G105" i="16"/>
  <c r="G105" i="12" s="1"/>
  <c r="G127" i="16"/>
  <c r="G39" i="16"/>
  <c r="G39" i="12" s="1"/>
  <c r="G6" i="16"/>
  <c r="G6" i="12" s="1"/>
  <c r="G116" i="16"/>
  <c r="G116" i="12" s="1"/>
  <c r="G149" i="16"/>
  <c r="G149" i="12" s="1"/>
  <c r="G83" i="16"/>
  <c r="G83" i="12" s="1"/>
  <c r="G61" i="16"/>
  <c r="G61" i="12" s="1"/>
  <c r="R171" i="10"/>
  <c r="R176" i="9"/>
  <c r="G55" i="18"/>
  <c r="G55" i="6" s="1"/>
  <c r="G11" i="18"/>
  <c r="G11" i="6" s="1"/>
  <c r="G121" i="18"/>
  <c r="G121" i="6" s="1"/>
  <c r="G154" i="18"/>
  <c r="G154" i="6" s="1"/>
  <c r="G77" i="18"/>
  <c r="G77" i="6" s="1"/>
  <c r="G88" i="18"/>
  <c r="G88" i="6" s="1"/>
  <c r="G143" i="18"/>
  <c r="G143" i="6" s="1"/>
  <c r="G44" i="18"/>
  <c r="G44" i="6" s="1"/>
  <c r="G33" i="18"/>
  <c r="G33" i="6" s="1"/>
  <c r="G66" i="18"/>
  <c r="G66" i="6" s="1"/>
  <c r="G110" i="18"/>
  <c r="G110" i="6" s="1"/>
  <c r="R173" i="11"/>
  <c r="G134" i="18"/>
  <c r="G68" i="18"/>
  <c r="G68" i="6" s="1"/>
  <c r="G46" i="18"/>
  <c r="G46" i="6" s="1"/>
  <c r="G156" i="18"/>
  <c r="G112" i="18"/>
  <c r="G112" i="6" s="1"/>
  <c r="G101" i="18"/>
  <c r="G101" i="6" s="1"/>
  <c r="G145" i="18"/>
  <c r="G145" i="6" s="1"/>
  <c r="G13" i="18"/>
  <c r="G13" i="6" s="1"/>
  <c r="G90" i="18"/>
  <c r="G90" i="6" s="1"/>
  <c r="G57" i="18"/>
  <c r="G57" i="6" s="1"/>
  <c r="G35" i="18"/>
  <c r="G35" i="6" s="1"/>
  <c r="G123" i="18"/>
  <c r="G123" i="6" s="1"/>
  <c r="G79" i="18"/>
  <c r="G79" i="6" s="1"/>
  <c r="R178" i="9"/>
  <c r="G119" i="18"/>
  <c r="G130" i="18"/>
  <c r="G9" i="18"/>
  <c r="G86" i="18"/>
  <c r="G53" i="18"/>
  <c r="G97" i="18"/>
  <c r="G75" i="18"/>
  <c r="G152" i="18"/>
  <c r="G31" i="18"/>
  <c r="G64" i="18"/>
  <c r="G20" i="18"/>
  <c r="G108" i="18"/>
  <c r="G141" i="18"/>
  <c r="G42" i="18"/>
  <c r="R174" i="9"/>
  <c r="G98" i="16"/>
  <c r="G98" i="12" s="1"/>
  <c r="G120" i="16"/>
  <c r="G120" i="12" s="1"/>
  <c r="G65" i="16"/>
  <c r="G65" i="12" s="1"/>
  <c r="G32" i="16"/>
  <c r="G32" i="12" s="1"/>
  <c r="G43" i="16"/>
  <c r="G43" i="12" s="1"/>
  <c r="G109" i="16"/>
  <c r="G109" i="12" s="1"/>
  <c r="G10" i="16"/>
  <c r="G10" i="12" s="1"/>
  <c r="G76" i="16"/>
  <c r="G76" i="12" s="1"/>
  <c r="G131" i="16"/>
  <c r="G131" i="12" s="1"/>
  <c r="G153" i="16"/>
  <c r="G153" i="12" s="1"/>
  <c r="G54" i="16"/>
  <c r="G54" i="12" s="1"/>
  <c r="G87" i="16"/>
  <c r="G87" i="12" s="1"/>
  <c r="G21" i="16"/>
  <c r="G21" i="12" s="1"/>
  <c r="G142" i="16"/>
  <c r="G142" i="12" s="1"/>
  <c r="R175" i="10"/>
  <c r="G5" i="16"/>
  <c r="G148" i="16"/>
  <c r="G82" i="16"/>
  <c r="G49" i="16"/>
  <c r="G126" i="16"/>
  <c r="G115" i="16"/>
  <c r="G137" i="16"/>
  <c r="G104" i="16"/>
  <c r="G71" i="16"/>
  <c r="G60" i="16"/>
  <c r="G27" i="16"/>
  <c r="G38" i="16"/>
  <c r="R170" i="10"/>
  <c r="R176" i="11"/>
  <c r="G132" i="17"/>
  <c r="G110" i="17"/>
  <c r="G110" i="13" s="1"/>
  <c r="G88" i="17"/>
  <c r="G88" i="13" s="1"/>
  <c r="G33" i="17"/>
  <c r="G33" i="13" s="1"/>
  <c r="G143" i="17"/>
  <c r="G143" i="13" s="1"/>
  <c r="G66" i="17"/>
  <c r="G66" i="13" s="1"/>
  <c r="G154" i="17"/>
  <c r="G154" i="13" s="1"/>
  <c r="G55" i="17"/>
  <c r="G55" i="13" s="1"/>
  <c r="G44" i="17"/>
  <c r="G44" i="13" s="1"/>
  <c r="G77" i="17"/>
  <c r="G77" i="13" s="1"/>
  <c r="G121" i="17"/>
  <c r="G121" i="13" s="1"/>
  <c r="G11" i="17"/>
  <c r="G11" i="13" s="1"/>
  <c r="F165" i="16"/>
  <c r="F165" i="17"/>
  <c r="F165" i="18"/>
  <c r="F163" i="16"/>
  <c r="F160" i="16"/>
  <c r="F161" i="16"/>
  <c r="F164" i="16"/>
  <c r="F162" i="16"/>
  <c r="F168" i="16"/>
  <c r="F159" i="16"/>
  <c r="F159" i="18"/>
  <c r="F164" i="18"/>
  <c r="F167" i="18"/>
  <c r="F162" i="18"/>
  <c r="F160" i="18"/>
  <c r="F161" i="18"/>
  <c r="F168" i="18"/>
  <c r="F163" i="18"/>
  <c r="F160" i="17"/>
  <c r="F164" i="17"/>
  <c r="Q178" i="10"/>
  <c r="F167" i="17"/>
  <c r="F161" i="17"/>
  <c r="F163" i="17"/>
  <c r="F162" i="17"/>
  <c r="F168" i="17"/>
  <c r="F159" i="17"/>
  <c r="G151" i="17" l="1"/>
  <c r="G151" i="13" s="1"/>
  <c r="G140" i="17"/>
  <c r="G140" i="13" s="1"/>
  <c r="G52" i="17"/>
  <c r="G52" i="13" s="1"/>
  <c r="G118" i="17"/>
  <c r="G118" i="13" s="1"/>
  <c r="G30" i="17"/>
  <c r="G30" i="13" s="1"/>
  <c r="G74" i="17"/>
  <c r="G74" i="13" s="1"/>
  <c r="G41" i="17"/>
  <c r="G41" i="13" s="1"/>
  <c r="G41" i="18"/>
  <c r="G41" i="6" s="1"/>
  <c r="G85" i="17"/>
  <c r="G85" i="13" s="1"/>
  <c r="G63" i="17"/>
  <c r="G63" i="13" s="1"/>
  <c r="G8" i="17"/>
  <c r="G8" i="13" s="1"/>
  <c r="G107" i="17"/>
  <c r="G107" i="13" s="1"/>
  <c r="G129" i="17"/>
  <c r="G168" i="13"/>
  <c r="G71" i="12"/>
  <c r="G73" i="16"/>
  <c r="G73" i="12" s="1"/>
  <c r="G74" i="16"/>
  <c r="G74" i="12" s="1"/>
  <c r="G129" i="16"/>
  <c r="G128" i="16"/>
  <c r="G5" i="12"/>
  <c r="G8" i="16"/>
  <c r="G8" i="12" s="1"/>
  <c r="G7" i="16"/>
  <c r="G7" i="12" s="1"/>
  <c r="G168" i="6"/>
  <c r="G148" i="13"/>
  <c r="G150" i="17"/>
  <c r="G150" i="13" s="1"/>
  <c r="G137" i="13"/>
  <c r="G139" i="17"/>
  <c r="G139" i="13" s="1"/>
  <c r="G168" i="12"/>
  <c r="G107" i="18"/>
  <c r="G107" i="6" s="1"/>
  <c r="G118" i="18"/>
  <c r="G118" i="6" s="1"/>
  <c r="G128" i="17"/>
  <c r="G84" i="17"/>
  <c r="G84" i="13" s="1"/>
  <c r="G38" i="12"/>
  <c r="G40" i="16"/>
  <c r="G40" i="12" s="1"/>
  <c r="G41" i="16"/>
  <c r="G41" i="12" s="1"/>
  <c r="G104" i="12"/>
  <c r="G107" i="16"/>
  <c r="G107" i="12" s="1"/>
  <c r="G106" i="16"/>
  <c r="G106" i="12" s="1"/>
  <c r="G49" i="12"/>
  <c r="G51" i="16"/>
  <c r="G51" i="12" s="1"/>
  <c r="G52" i="16"/>
  <c r="G164" i="12"/>
  <c r="G39" i="6"/>
  <c r="G40" i="18"/>
  <c r="G40" i="6" s="1"/>
  <c r="G128" i="18"/>
  <c r="G27" i="13"/>
  <c r="G29" i="17"/>
  <c r="G29" i="13" s="1"/>
  <c r="G49" i="13"/>
  <c r="G51" i="17"/>
  <c r="G51" i="13" s="1"/>
  <c r="G85" i="18"/>
  <c r="G85" i="6" s="1"/>
  <c r="G129" i="18"/>
  <c r="G63" i="18"/>
  <c r="G63" i="6" s="1"/>
  <c r="G106" i="17"/>
  <c r="G106" i="13" s="1"/>
  <c r="G27" i="12"/>
  <c r="G29" i="16"/>
  <c r="G29" i="12" s="1"/>
  <c r="G30" i="16"/>
  <c r="G30" i="12" s="1"/>
  <c r="G137" i="12"/>
  <c r="G139" i="16"/>
  <c r="G139" i="12" s="1"/>
  <c r="G140" i="16"/>
  <c r="G140" i="12" s="1"/>
  <c r="G82" i="12"/>
  <c r="G84" i="16"/>
  <c r="G84" i="12" s="1"/>
  <c r="G85" i="16"/>
  <c r="G85" i="12" s="1"/>
  <c r="G134" i="6"/>
  <c r="G156" i="6"/>
  <c r="G140" i="18"/>
  <c r="G140" i="6" s="1"/>
  <c r="G8" i="18"/>
  <c r="G8" i="6" s="1"/>
  <c r="G164" i="6"/>
  <c r="G73" i="17"/>
  <c r="G73" i="13" s="1"/>
  <c r="G60" i="12"/>
  <c r="G62" i="16"/>
  <c r="G62" i="12" s="1"/>
  <c r="G63" i="16"/>
  <c r="G63" i="12" s="1"/>
  <c r="G115" i="12"/>
  <c r="G117" i="16"/>
  <c r="G117" i="12" s="1"/>
  <c r="G118" i="16"/>
  <c r="G118" i="12" s="1"/>
  <c r="G148" i="12"/>
  <c r="G151" i="16"/>
  <c r="G151" i="12" s="1"/>
  <c r="G150" i="16"/>
  <c r="G150" i="12" s="1"/>
  <c r="G115" i="13"/>
  <c r="G117" i="17"/>
  <c r="G117" i="13" s="1"/>
  <c r="G5" i="13"/>
  <c r="G7" i="17"/>
  <c r="G7" i="13" s="1"/>
  <c r="G74" i="18"/>
  <c r="G74" i="6" s="1"/>
  <c r="G52" i="18"/>
  <c r="G151" i="18"/>
  <c r="G151" i="6" s="1"/>
  <c r="G40" i="17"/>
  <c r="G40" i="13" s="1"/>
  <c r="G62" i="17"/>
  <c r="G62" i="13" s="1"/>
  <c r="G30" i="18"/>
  <c r="G30" i="6" s="1"/>
  <c r="G27" i="6"/>
  <c r="G73" i="18"/>
  <c r="G73" i="6" s="1"/>
  <c r="G51" i="18"/>
  <c r="G51" i="6" s="1"/>
  <c r="G62" i="18"/>
  <c r="G62" i="6" s="1"/>
  <c r="G150" i="18"/>
  <c r="G150" i="6" s="1"/>
  <c r="G106" i="18"/>
  <c r="G106" i="6" s="1"/>
  <c r="G117" i="18"/>
  <c r="G117" i="6" s="1"/>
  <c r="G29" i="18"/>
  <c r="G29" i="6" s="1"/>
  <c r="G164" i="13"/>
  <c r="G139" i="18"/>
  <c r="G139" i="6" s="1"/>
  <c r="G7" i="18"/>
  <c r="G7" i="6" s="1"/>
  <c r="G84" i="18"/>
  <c r="G84" i="6" s="1"/>
  <c r="F152" i="17"/>
  <c r="F130" i="17"/>
  <c r="F141" i="17"/>
  <c r="F86" i="17"/>
  <c r="F119" i="17"/>
  <c r="F42" i="17"/>
  <c r="F9" i="17"/>
  <c r="F108" i="17"/>
  <c r="F31" i="17"/>
  <c r="F97" i="17"/>
  <c r="F64" i="17"/>
  <c r="F75" i="17"/>
  <c r="F20" i="17"/>
  <c r="F53" i="17"/>
  <c r="Q174" i="11"/>
  <c r="F153" i="17"/>
  <c r="F153" i="13" s="1"/>
  <c r="F10" i="17"/>
  <c r="F10" i="13" s="1"/>
  <c r="F76" i="17"/>
  <c r="F76" i="13" s="1"/>
  <c r="F98" i="17"/>
  <c r="F98" i="13" s="1"/>
  <c r="F120" i="17"/>
  <c r="F120" i="13" s="1"/>
  <c r="F21" i="17"/>
  <c r="F21" i="13" s="1"/>
  <c r="F142" i="17"/>
  <c r="F142" i="13" s="1"/>
  <c r="F109" i="17"/>
  <c r="F109" i="13" s="1"/>
  <c r="F131" i="17"/>
  <c r="F131" i="13" s="1"/>
  <c r="F43" i="17"/>
  <c r="F43" i="13" s="1"/>
  <c r="F65" i="17"/>
  <c r="F65" i="13" s="1"/>
  <c r="F32" i="17"/>
  <c r="F32" i="13" s="1"/>
  <c r="F54" i="17"/>
  <c r="F54" i="13" s="1"/>
  <c r="F87" i="17"/>
  <c r="F87" i="13" s="1"/>
  <c r="Q175" i="11"/>
  <c r="Q172" i="9"/>
  <c r="F120" i="18"/>
  <c r="F120" i="6" s="1"/>
  <c r="F131" i="18"/>
  <c r="F131" i="6" s="1"/>
  <c r="F32" i="18"/>
  <c r="F32" i="6" s="1"/>
  <c r="F109" i="18"/>
  <c r="F109" i="6" s="1"/>
  <c r="F10" i="18"/>
  <c r="F10" i="6" s="1"/>
  <c r="F21" i="18"/>
  <c r="F21" i="6" s="1"/>
  <c r="F65" i="18"/>
  <c r="F65" i="6" s="1"/>
  <c r="F142" i="18"/>
  <c r="F142" i="6" s="1"/>
  <c r="F98" i="18"/>
  <c r="F98" i="6" s="1"/>
  <c r="F153" i="18"/>
  <c r="F153" i="6" s="1"/>
  <c r="F54" i="18"/>
  <c r="F54" i="6" s="1"/>
  <c r="F43" i="18"/>
  <c r="F43" i="6" s="1"/>
  <c r="F76" i="18"/>
  <c r="F76" i="6" s="1"/>
  <c r="F87" i="18"/>
  <c r="F87" i="6" s="1"/>
  <c r="Q175" i="9"/>
  <c r="Q173" i="10"/>
  <c r="F20" i="16"/>
  <c r="F108" i="16"/>
  <c r="F119" i="16"/>
  <c r="F9" i="16"/>
  <c r="F64" i="16"/>
  <c r="F53" i="16"/>
  <c r="F42" i="16"/>
  <c r="F97" i="16"/>
  <c r="F86" i="16"/>
  <c r="F31" i="16"/>
  <c r="F152" i="16"/>
  <c r="F141" i="16"/>
  <c r="F130" i="16"/>
  <c r="F75" i="16"/>
  <c r="Q174" i="10"/>
  <c r="F5" i="17"/>
  <c r="F5" i="13" s="1"/>
  <c r="F115" i="17"/>
  <c r="F115" i="13" s="1"/>
  <c r="F82" i="17"/>
  <c r="F82" i="13" s="1"/>
  <c r="F137" i="17"/>
  <c r="F137" i="13" s="1"/>
  <c r="F60" i="17"/>
  <c r="F60" i="13" s="1"/>
  <c r="F38" i="17"/>
  <c r="F38" i="13" s="1"/>
  <c r="F104" i="17"/>
  <c r="F104" i="13" s="1"/>
  <c r="F71" i="17"/>
  <c r="F71" i="13" s="1"/>
  <c r="F126" i="17"/>
  <c r="F27" i="17"/>
  <c r="F27" i="13" s="1"/>
  <c r="F148" i="17"/>
  <c r="F148" i="13" s="1"/>
  <c r="F49" i="17"/>
  <c r="F49" i="13" s="1"/>
  <c r="Q170" i="11"/>
  <c r="Q172" i="11"/>
  <c r="F138" i="17"/>
  <c r="F138" i="13" s="1"/>
  <c r="F50" i="17"/>
  <c r="F50" i="13" s="1"/>
  <c r="F6" i="17"/>
  <c r="F6" i="13" s="1"/>
  <c r="F127" i="17"/>
  <c r="F116" i="17"/>
  <c r="F116" i="13" s="1"/>
  <c r="F72" i="17"/>
  <c r="F72" i="13" s="1"/>
  <c r="F28" i="17"/>
  <c r="F28" i="13" s="1"/>
  <c r="F61" i="17"/>
  <c r="F61" i="13" s="1"/>
  <c r="F83" i="17"/>
  <c r="F83" i="13" s="1"/>
  <c r="F105" i="17"/>
  <c r="F105" i="13" s="1"/>
  <c r="F39" i="17"/>
  <c r="F39" i="13" s="1"/>
  <c r="F149" i="17"/>
  <c r="F149" i="13" s="1"/>
  <c r="Q171" i="11"/>
  <c r="F116" i="18"/>
  <c r="F116" i="6" s="1"/>
  <c r="F83" i="18"/>
  <c r="F83" i="6" s="1"/>
  <c r="F72" i="18"/>
  <c r="F72" i="6" s="1"/>
  <c r="F149" i="18"/>
  <c r="F149" i="6" s="1"/>
  <c r="F127" i="18"/>
  <c r="F39" i="18"/>
  <c r="F39" i="6" s="1"/>
  <c r="F61" i="18"/>
  <c r="F61" i="6" s="1"/>
  <c r="F50" i="18"/>
  <c r="F50" i="6" s="1"/>
  <c r="F28" i="18"/>
  <c r="F28" i="6" s="1"/>
  <c r="F6" i="18"/>
  <c r="F6" i="6" s="1"/>
  <c r="F105" i="18"/>
  <c r="F105" i="6" s="1"/>
  <c r="F138" i="18"/>
  <c r="F138" i="6" s="1"/>
  <c r="Q171" i="9"/>
  <c r="F104" i="18"/>
  <c r="F104" i="6" s="1"/>
  <c r="F126" i="18"/>
  <c r="F27" i="18"/>
  <c r="F27" i="6" s="1"/>
  <c r="F38" i="18"/>
  <c r="F38" i="6" s="1"/>
  <c r="F5" i="18"/>
  <c r="F5" i="6" s="1"/>
  <c r="F137" i="18"/>
  <c r="F137" i="6" s="1"/>
  <c r="F82" i="18"/>
  <c r="F82" i="6" s="1"/>
  <c r="F148" i="18"/>
  <c r="F148" i="6" s="1"/>
  <c r="F115" i="18"/>
  <c r="F115" i="6" s="1"/>
  <c r="F60" i="18"/>
  <c r="F60" i="6" s="1"/>
  <c r="F49" i="18"/>
  <c r="F49" i="6" s="1"/>
  <c r="F71" i="18"/>
  <c r="F71" i="6" s="1"/>
  <c r="Q170" i="9"/>
  <c r="F10" i="16"/>
  <c r="F10" i="12" s="1"/>
  <c r="F43" i="16"/>
  <c r="F43" i="12" s="1"/>
  <c r="F87" i="16"/>
  <c r="F87" i="12" s="1"/>
  <c r="F54" i="16"/>
  <c r="F54" i="12" s="1"/>
  <c r="F109" i="16"/>
  <c r="F109" i="12" s="1"/>
  <c r="F65" i="16"/>
  <c r="F65" i="12" s="1"/>
  <c r="F131" i="16"/>
  <c r="F131" i="12" s="1"/>
  <c r="F142" i="16"/>
  <c r="F142" i="12" s="1"/>
  <c r="F76" i="16"/>
  <c r="F76" i="12" s="1"/>
  <c r="F153" i="16"/>
  <c r="F153" i="12" s="1"/>
  <c r="F32" i="16"/>
  <c r="F32" i="12" s="1"/>
  <c r="F120" i="16"/>
  <c r="F120" i="12" s="1"/>
  <c r="F98" i="16"/>
  <c r="F98" i="12" s="1"/>
  <c r="F21" i="16"/>
  <c r="F21" i="12" s="1"/>
  <c r="Q175" i="10"/>
  <c r="Q176" i="9"/>
  <c r="F44" i="18"/>
  <c r="F44" i="6" s="1"/>
  <c r="F33" i="18"/>
  <c r="F33" i="6" s="1"/>
  <c r="F77" i="18"/>
  <c r="F77" i="6" s="1"/>
  <c r="F88" i="18"/>
  <c r="F88" i="6" s="1"/>
  <c r="F11" i="18"/>
  <c r="F11" i="6" s="1"/>
  <c r="F143" i="18"/>
  <c r="F143" i="6" s="1"/>
  <c r="F110" i="18"/>
  <c r="F110" i="6" s="1"/>
  <c r="F154" i="18"/>
  <c r="F154" i="6" s="1"/>
  <c r="F121" i="18"/>
  <c r="F121" i="6" s="1"/>
  <c r="F55" i="18"/>
  <c r="F55" i="6" s="1"/>
  <c r="F66" i="18"/>
  <c r="F66" i="6" s="1"/>
  <c r="F102" i="17"/>
  <c r="F102" i="13" s="1"/>
  <c r="F146" i="17"/>
  <c r="F146" i="13" s="1"/>
  <c r="F135" i="17"/>
  <c r="F135" i="13" s="1"/>
  <c r="F124" i="17"/>
  <c r="F124" i="13" s="1"/>
  <c r="F36" i="17"/>
  <c r="F36" i="13" s="1"/>
  <c r="F25" i="17"/>
  <c r="F25" i="13" s="1"/>
  <c r="F58" i="17"/>
  <c r="F58" i="13" s="1"/>
  <c r="F91" i="17"/>
  <c r="F91" i="13" s="1"/>
  <c r="F69" i="17"/>
  <c r="F69" i="13" s="1"/>
  <c r="F113" i="17"/>
  <c r="F113" i="13" s="1"/>
  <c r="F14" i="17"/>
  <c r="F14" i="13" s="1"/>
  <c r="F47" i="17"/>
  <c r="F47" i="13" s="1"/>
  <c r="F157" i="17"/>
  <c r="F157" i="13" s="1"/>
  <c r="F80" i="17"/>
  <c r="F80" i="13" s="1"/>
  <c r="Q179" i="11"/>
  <c r="F123" i="17"/>
  <c r="F123" i="13" s="1"/>
  <c r="F156" i="17"/>
  <c r="F156" i="13" s="1"/>
  <c r="F79" i="17"/>
  <c r="F79" i="13" s="1"/>
  <c r="F90" i="17"/>
  <c r="F90" i="13" s="1"/>
  <c r="F35" i="17"/>
  <c r="F35" i="13" s="1"/>
  <c r="F101" i="17"/>
  <c r="F101" i="13" s="1"/>
  <c r="F68" i="17"/>
  <c r="F68" i="13" s="1"/>
  <c r="F13" i="17"/>
  <c r="F13" i="13" s="1"/>
  <c r="F57" i="17"/>
  <c r="F57" i="13" s="1"/>
  <c r="F134" i="17"/>
  <c r="F134" i="13" s="1"/>
  <c r="F145" i="17"/>
  <c r="F145" i="13" s="1"/>
  <c r="F112" i="17"/>
  <c r="F112" i="13" s="1"/>
  <c r="F46" i="17"/>
  <c r="F46" i="13" s="1"/>
  <c r="Q178" i="11"/>
  <c r="F9" i="18"/>
  <c r="F64" i="18"/>
  <c r="F152" i="18"/>
  <c r="F31" i="18"/>
  <c r="F42" i="18"/>
  <c r="F20" i="18"/>
  <c r="F108" i="18"/>
  <c r="F119" i="18"/>
  <c r="F75" i="18"/>
  <c r="F97" i="18"/>
  <c r="F53" i="18"/>
  <c r="F141" i="18"/>
  <c r="F130" i="18"/>
  <c r="F86" i="18"/>
  <c r="Q174" i="9"/>
  <c r="Q173" i="9"/>
  <c r="F137" i="16"/>
  <c r="F137" i="12" s="1"/>
  <c r="F38" i="16"/>
  <c r="F38" i="12" s="1"/>
  <c r="F27" i="16"/>
  <c r="F27" i="12" s="1"/>
  <c r="F115" i="16"/>
  <c r="F115" i="12" s="1"/>
  <c r="F82" i="16"/>
  <c r="F82" i="12" s="1"/>
  <c r="F104" i="16"/>
  <c r="F104" i="12" s="1"/>
  <c r="F49" i="16"/>
  <c r="F49" i="12" s="1"/>
  <c r="F71" i="16"/>
  <c r="F71" i="12" s="1"/>
  <c r="F5" i="16"/>
  <c r="F5" i="12" s="1"/>
  <c r="F148" i="16"/>
  <c r="F148" i="12" s="1"/>
  <c r="F126" i="16"/>
  <c r="F60" i="16"/>
  <c r="F60" i="12" s="1"/>
  <c r="Q170" i="10"/>
  <c r="Q172" i="10"/>
  <c r="Q176" i="11"/>
  <c r="F132" i="17"/>
  <c r="F33" i="17"/>
  <c r="F33" i="13" s="1"/>
  <c r="F143" i="17"/>
  <c r="F143" i="13" s="1"/>
  <c r="F110" i="17"/>
  <c r="F110" i="13" s="1"/>
  <c r="F11" i="17"/>
  <c r="F11" i="13" s="1"/>
  <c r="F121" i="17"/>
  <c r="F121" i="13" s="1"/>
  <c r="F66" i="17"/>
  <c r="F66" i="13" s="1"/>
  <c r="F154" i="17"/>
  <c r="F154" i="13" s="1"/>
  <c r="F77" i="17"/>
  <c r="F77" i="13" s="1"/>
  <c r="F88" i="17"/>
  <c r="F88" i="13" s="1"/>
  <c r="F55" i="17"/>
  <c r="F55" i="13" s="1"/>
  <c r="F44" i="17"/>
  <c r="F44" i="13" s="1"/>
  <c r="Q173" i="11"/>
  <c r="F91" i="18"/>
  <c r="F91" i="6" s="1"/>
  <c r="F135" i="18"/>
  <c r="F135" i="6" s="1"/>
  <c r="F47" i="18"/>
  <c r="F47" i="6" s="1"/>
  <c r="F14" i="18"/>
  <c r="F14" i="6" s="1"/>
  <c r="F80" i="18"/>
  <c r="F80" i="6" s="1"/>
  <c r="F157" i="18"/>
  <c r="F157" i="6" s="1"/>
  <c r="F69" i="18"/>
  <c r="F69" i="6" s="1"/>
  <c r="F124" i="18"/>
  <c r="F124" i="6" s="1"/>
  <c r="F146" i="18"/>
  <c r="F146" i="6" s="1"/>
  <c r="F25" i="18"/>
  <c r="F25" i="6" s="1"/>
  <c r="F102" i="18"/>
  <c r="F102" i="6" s="1"/>
  <c r="F58" i="18"/>
  <c r="F58" i="6" s="1"/>
  <c r="F36" i="18"/>
  <c r="F36" i="6" s="1"/>
  <c r="F113" i="18"/>
  <c r="F113" i="6" s="1"/>
  <c r="Q179" i="9"/>
  <c r="F156" i="18"/>
  <c r="F134" i="18"/>
  <c r="F101" i="18"/>
  <c r="F101" i="6" s="1"/>
  <c r="F68" i="18"/>
  <c r="F68" i="6" s="1"/>
  <c r="F90" i="18"/>
  <c r="F90" i="6" s="1"/>
  <c r="F57" i="18"/>
  <c r="F57" i="6" s="1"/>
  <c r="F112" i="18"/>
  <c r="F112" i="6" s="1"/>
  <c r="F35" i="18"/>
  <c r="F35" i="6" s="1"/>
  <c r="F79" i="18"/>
  <c r="F79" i="6" s="1"/>
  <c r="F123" i="18"/>
  <c r="F123" i="6" s="1"/>
  <c r="F145" i="18"/>
  <c r="F145" i="6" s="1"/>
  <c r="F13" i="18"/>
  <c r="F13" i="6" s="1"/>
  <c r="F46" i="18"/>
  <c r="F46" i="6" s="1"/>
  <c r="Q178" i="9"/>
  <c r="F80" i="16"/>
  <c r="F80" i="12" s="1"/>
  <c r="F146" i="16"/>
  <c r="F146" i="12" s="1"/>
  <c r="F14" i="16"/>
  <c r="F14" i="12" s="1"/>
  <c r="F25" i="16"/>
  <c r="F25" i="12" s="1"/>
  <c r="F113" i="16"/>
  <c r="F113" i="12" s="1"/>
  <c r="F124" i="16"/>
  <c r="F124" i="12" s="1"/>
  <c r="F47" i="16"/>
  <c r="F47" i="12" s="1"/>
  <c r="F69" i="16"/>
  <c r="F69" i="12" s="1"/>
  <c r="F58" i="16"/>
  <c r="F58" i="12" s="1"/>
  <c r="F157" i="16"/>
  <c r="F157" i="12" s="1"/>
  <c r="F102" i="16"/>
  <c r="F102" i="12" s="1"/>
  <c r="F36" i="16"/>
  <c r="F36" i="12" s="1"/>
  <c r="F135" i="16"/>
  <c r="F135" i="12" s="1"/>
  <c r="F91" i="16"/>
  <c r="F91" i="12" s="1"/>
  <c r="Q179" i="10"/>
  <c r="F61" i="16"/>
  <c r="F61" i="12" s="1"/>
  <c r="F28" i="16"/>
  <c r="F28" i="12" s="1"/>
  <c r="F83" i="16"/>
  <c r="F83" i="12" s="1"/>
  <c r="F149" i="16"/>
  <c r="F149" i="12" s="1"/>
  <c r="F6" i="16"/>
  <c r="F6" i="12" s="1"/>
  <c r="F105" i="16"/>
  <c r="F105" i="12" s="1"/>
  <c r="F72" i="16"/>
  <c r="F72" i="12" s="1"/>
  <c r="F138" i="16"/>
  <c r="F138" i="12" s="1"/>
  <c r="F50" i="16"/>
  <c r="F50" i="12" s="1"/>
  <c r="F127" i="16"/>
  <c r="F116" i="16"/>
  <c r="F116" i="12" s="1"/>
  <c r="F39" i="16"/>
  <c r="F39" i="12" s="1"/>
  <c r="Q171" i="10"/>
  <c r="F132" i="16"/>
  <c r="Q176" i="10"/>
  <c r="F143" i="16"/>
  <c r="F143" i="12" s="1"/>
  <c r="F121" i="16"/>
  <c r="F121" i="12" s="1"/>
  <c r="F88" i="16"/>
  <c r="F88" i="12" s="1"/>
  <c r="F44" i="16"/>
  <c r="F44" i="12" s="1"/>
  <c r="F154" i="16"/>
  <c r="F154" i="12" s="1"/>
  <c r="F77" i="16"/>
  <c r="F77" i="12" s="1"/>
  <c r="F55" i="16"/>
  <c r="F55" i="12" s="1"/>
  <c r="F110" i="16"/>
  <c r="F110" i="12" s="1"/>
  <c r="F33" i="16"/>
  <c r="F33" i="12" s="1"/>
  <c r="F11" i="16"/>
  <c r="F11" i="12" s="1"/>
  <c r="F66" i="16"/>
  <c r="F66" i="12" s="1"/>
  <c r="D162" i="17"/>
  <c r="D168" i="17"/>
  <c r="D163" i="17"/>
  <c r="D167" i="17"/>
  <c r="D161" i="17"/>
  <c r="D159" i="17"/>
  <c r="D164" i="17"/>
  <c r="D160" i="17"/>
  <c r="O178" i="10"/>
  <c r="E165" i="17"/>
  <c r="E165" i="18"/>
  <c r="E165" i="16"/>
  <c r="E168" i="16"/>
  <c r="E159" i="16"/>
  <c r="E161" i="16"/>
  <c r="E164" i="16"/>
  <c r="E162" i="16"/>
  <c r="E160" i="16"/>
  <c r="E163" i="16"/>
  <c r="E162" i="18"/>
  <c r="E161" i="18"/>
  <c r="E164" i="18"/>
  <c r="E168" i="18"/>
  <c r="E167" i="18"/>
  <c r="E160" i="18"/>
  <c r="E163" i="18"/>
  <c r="E159" i="18"/>
  <c r="E163" i="17"/>
  <c r="E168" i="17"/>
  <c r="E159" i="17"/>
  <c r="E160" i="17"/>
  <c r="E167" i="17"/>
  <c r="E161" i="17"/>
  <c r="E162" i="17"/>
  <c r="E164" i="17"/>
  <c r="P178" i="10"/>
  <c r="D165" i="17"/>
  <c r="D165" i="16"/>
  <c r="D165" i="18"/>
  <c r="D159" i="16"/>
  <c r="D164" i="16"/>
  <c r="O175" i="10" s="1"/>
  <c r="D163" i="16"/>
  <c r="O174" i="10" s="1"/>
  <c r="D160" i="16"/>
  <c r="D168" i="16"/>
  <c r="O179" i="10" s="1"/>
  <c r="D161" i="16"/>
  <c r="O172" i="10" s="1"/>
  <c r="D162" i="16"/>
  <c r="O173" i="10" s="1"/>
  <c r="D167" i="18"/>
  <c r="O178" i="9" s="1"/>
  <c r="D163" i="18"/>
  <c r="O174" i="9" s="1"/>
  <c r="D161" i="18"/>
  <c r="O172" i="9" s="1"/>
  <c r="D164" i="18"/>
  <c r="O175" i="9" s="1"/>
  <c r="D168" i="18"/>
  <c r="O179" i="9" s="1"/>
  <c r="D162" i="18"/>
  <c r="O173" i="9" s="1"/>
  <c r="D160" i="18"/>
  <c r="O171" i="9" s="1"/>
  <c r="D159" i="18"/>
  <c r="O170" i="9" s="1"/>
  <c r="F128" i="18" l="1"/>
  <c r="F128" i="6" s="1"/>
  <c r="G31" i="13"/>
  <c r="G152" i="13"/>
  <c r="G119" i="13"/>
  <c r="G53" i="13"/>
  <c r="G141" i="13"/>
  <c r="G64" i="6"/>
  <c r="G59" i="6" s="1"/>
  <c r="G75" i="13"/>
  <c r="F151" i="17"/>
  <c r="F151" i="13" s="1"/>
  <c r="G86" i="13"/>
  <c r="G42" i="13"/>
  <c r="G9" i="12"/>
  <c r="F8" i="17"/>
  <c r="F8" i="13" s="1"/>
  <c r="F129" i="17"/>
  <c r="F140" i="18"/>
  <c r="F140" i="6" s="1"/>
  <c r="G64" i="13"/>
  <c r="F63" i="17"/>
  <c r="F63" i="13" s="1"/>
  <c r="F30" i="17"/>
  <c r="F30" i="13" s="1"/>
  <c r="F85" i="17"/>
  <c r="F85" i="13" s="1"/>
  <c r="G9" i="6"/>
  <c r="G4" i="6" s="1"/>
  <c r="G42" i="6"/>
  <c r="G37" i="6" s="1"/>
  <c r="G127" i="13"/>
  <c r="G86" i="6"/>
  <c r="G81" i="6" s="1"/>
  <c r="G119" i="6"/>
  <c r="G114" i="6" s="1"/>
  <c r="G75" i="12"/>
  <c r="F41" i="18"/>
  <c r="F41" i="6" s="1"/>
  <c r="G129" i="13"/>
  <c r="G42" i="12"/>
  <c r="F118" i="17"/>
  <c r="F118" i="13" s="1"/>
  <c r="F129" i="18"/>
  <c r="G141" i="6"/>
  <c r="G136" i="6" s="1"/>
  <c r="G86" i="12"/>
  <c r="G132" i="12"/>
  <c r="F41" i="17"/>
  <c r="F41" i="13" s="1"/>
  <c r="G31" i="6"/>
  <c r="G26" i="6" s="1"/>
  <c r="F30" i="18"/>
  <c r="F30" i="6" s="1"/>
  <c r="G126" i="6"/>
  <c r="G108" i="13"/>
  <c r="F140" i="17"/>
  <c r="F140" i="13" s="1"/>
  <c r="G75" i="6"/>
  <c r="G70" i="6" s="1"/>
  <c r="G129" i="6"/>
  <c r="G108" i="12"/>
  <c r="F107" i="18"/>
  <c r="F107" i="6" s="1"/>
  <c r="F118" i="18"/>
  <c r="F118" i="6" s="1"/>
  <c r="F128" i="17"/>
  <c r="G119" i="12"/>
  <c r="F74" i="17"/>
  <c r="F74" i="13" s="1"/>
  <c r="F8" i="18"/>
  <c r="F8" i="6" s="1"/>
  <c r="F151" i="18"/>
  <c r="F151" i="6" s="1"/>
  <c r="F74" i="18"/>
  <c r="F74" i="6" s="1"/>
  <c r="G152" i="6"/>
  <c r="G147" i="6" s="1"/>
  <c r="F52" i="17"/>
  <c r="F52" i="13" s="1"/>
  <c r="F107" i="17"/>
  <c r="F107" i="13" s="1"/>
  <c r="F63" i="18"/>
  <c r="F63" i="6" s="1"/>
  <c r="F52" i="18"/>
  <c r="F85" i="18"/>
  <c r="F85" i="6" s="1"/>
  <c r="G128" i="6"/>
  <c r="G133" i="6"/>
  <c r="G132" i="6"/>
  <c r="G152" i="12"/>
  <c r="G127" i="6"/>
  <c r="G128" i="13"/>
  <c r="G133" i="13"/>
  <c r="G127" i="12"/>
  <c r="G128" i="12"/>
  <c r="G133" i="12"/>
  <c r="G52" i="6"/>
  <c r="G53" i="6" s="1"/>
  <c r="G64" i="12"/>
  <c r="G9" i="13"/>
  <c r="G141" i="12"/>
  <c r="G126" i="13"/>
  <c r="G129" i="12"/>
  <c r="G52" i="12"/>
  <c r="G108" i="6"/>
  <c r="G103" i="6" s="1"/>
  <c r="G31" i="12"/>
  <c r="G126" i="12"/>
  <c r="G132" i="13"/>
  <c r="F134" i="6"/>
  <c r="F156" i="6"/>
  <c r="F168" i="6"/>
  <c r="F150" i="16"/>
  <c r="F150" i="12" s="1"/>
  <c r="F7" i="16"/>
  <c r="F7" i="12" s="1"/>
  <c r="F84" i="16"/>
  <c r="F84" i="12" s="1"/>
  <c r="F84" i="17"/>
  <c r="F84" i="13" s="1"/>
  <c r="F73" i="17"/>
  <c r="F73" i="13" s="1"/>
  <c r="F139" i="17"/>
  <c r="F139" i="13" s="1"/>
  <c r="F85" i="16"/>
  <c r="F85" i="12" s="1"/>
  <c r="F151" i="16"/>
  <c r="F151" i="12" s="1"/>
  <c r="F118" i="16"/>
  <c r="F118" i="12" s="1"/>
  <c r="F29" i="18"/>
  <c r="F29" i="6" s="1"/>
  <c r="F84" i="18"/>
  <c r="F84" i="6" s="1"/>
  <c r="F40" i="16"/>
  <c r="F40" i="12" s="1"/>
  <c r="F51" i="16"/>
  <c r="F51" i="12" s="1"/>
  <c r="F128" i="16"/>
  <c r="F164" i="12"/>
  <c r="F117" i="17"/>
  <c r="F117" i="13" s="1"/>
  <c r="F150" i="17"/>
  <c r="F150" i="13" s="1"/>
  <c r="F7" i="17"/>
  <c r="F7" i="13" s="1"/>
  <c r="F63" i="16"/>
  <c r="F63" i="12" s="1"/>
  <c r="F140" i="16"/>
  <c r="F140" i="12" s="1"/>
  <c r="F41" i="16"/>
  <c r="F41" i="12" s="1"/>
  <c r="F139" i="18"/>
  <c r="F139" i="6" s="1"/>
  <c r="F73" i="18"/>
  <c r="F73" i="6" s="1"/>
  <c r="F117" i="18"/>
  <c r="F117" i="6" s="1"/>
  <c r="F106" i="16"/>
  <c r="F106" i="12" s="1"/>
  <c r="F73" i="16"/>
  <c r="F73" i="12" s="1"/>
  <c r="F117" i="16"/>
  <c r="F117" i="12" s="1"/>
  <c r="F168" i="13"/>
  <c r="F51" i="17"/>
  <c r="F51" i="13" s="1"/>
  <c r="F29" i="17"/>
  <c r="F29" i="13" s="1"/>
  <c r="F62" i="17"/>
  <c r="F62" i="13" s="1"/>
  <c r="F30" i="16"/>
  <c r="F30" i="12" s="1"/>
  <c r="F107" i="16"/>
  <c r="F107" i="12" s="1"/>
  <c r="F74" i="16"/>
  <c r="F74" i="12" s="1"/>
  <c r="F164" i="6"/>
  <c r="F51" i="18"/>
  <c r="F51" i="6" s="1"/>
  <c r="F150" i="18"/>
  <c r="F150" i="6" s="1"/>
  <c r="F62" i="18"/>
  <c r="F62" i="6" s="1"/>
  <c r="F168" i="12"/>
  <c r="F139" i="16"/>
  <c r="F139" i="12" s="1"/>
  <c r="F29" i="16"/>
  <c r="F29" i="12" s="1"/>
  <c r="F62" i="16"/>
  <c r="F62" i="12" s="1"/>
  <c r="F40" i="17"/>
  <c r="F40" i="13" s="1"/>
  <c r="F106" i="17"/>
  <c r="F106" i="13" s="1"/>
  <c r="F8" i="16"/>
  <c r="F8" i="12" s="1"/>
  <c r="F129" i="16"/>
  <c r="F52" i="16"/>
  <c r="F7" i="18"/>
  <c r="F7" i="6" s="1"/>
  <c r="F40" i="18"/>
  <c r="F40" i="6" s="1"/>
  <c r="F106" i="18"/>
  <c r="F106" i="6" s="1"/>
  <c r="F164" i="13"/>
  <c r="E131" i="17"/>
  <c r="E131" i="13" s="1"/>
  <c r="E153" i="17"/>
  <c r="E153" i="13" s="1"/>
  <c r="E32" i="17"/>
  <c r="E32" i="13" s="1"/>
  <c r="E142" i="17"/>
  <c r="E142" i="13" s="1"/>
  <c r="E21" i="17"/>
  <c r="E21" i="13" s="1"/>
  <c r="E120" i="17"/>
  <c r="E120" i="13" s="1"/>
  <c r="E109" i="17"/>
  <c r="E109" i="13" s="1"/>
  <c r="E43" i="17"/>
  <c r="E43" i="13" s="1"/>
  <c r="E54" i="17"/>
  <c r="E54" i="13" s="1"/>
  <c r="E10" i="17"/>
  <c r="E10" i="13" s="1"/>
  <c r="E76" i="17"/>
  <c r="E76" i="13" s="1"/>
  <c r="E65" i="17"/>
  <c r="E65" i="13" s="1"/>
  <c r="E98" i="17"/>
  <c r="E98" i="13" s="1"/>
  <c r="E87" i="17"/>
  <c r="E87" i="13" s="1"/>
  <c r="P175" i="11"/>
  <c r="E72" i="17"/>
  <c r="E72" i="13" s="1"/>
  <c r="E105" i="17"/>
  <c r="E105" i="13" s="1"/>
  <c r="E50" i="17"/>
  <c r="E50" i="13" s="1"/>
  <c r="E28" i="17"/>
  <c r="E28" i="13" s="1"/>
  <c r="E149" i="17"/>
  <c r="E149" i="13" s="1"/>
  <c r="E39" i="17"/>
  <c r="E39" i="13" s="1"/>
  <c r="E83" i="17"/>
  <c r="E83" i="13" s="1"/>
  <c r="E6" i="17"/>
  <c r="E6" i="13" s="1"/>
  <c r="E127" i="17"/>
  <c r="E116" i="17"/>
  <c r="E116" i="13" s="1"/>
  <c r="E61" i="17"/>
  <c r="E61" i="13" s="1"/>
  <c r="E138" i="17"/>
  <c r="E138" i="13" s="1"/>
  <c r="P171" i="11"/>
  <c r="E137" i="18"/>
  <c r="E38" i="18"/>
  <c r="E38" i="6" s="1"/>
  <c r="E148" i="18"/>
  <c r="E148" i="6" s="1"/>
  <c r="E104" i="18"/>
  <c r="E104" i="6" s="1"/>
  <c r="E126" i="18"/>
  <c r="E115" i="18"/>
  <c r="E115" i="6" s="1"/>
  <c r="E27" i="18"/>
  <c r="E27" i="6" s="1"/>
  <c r="E71" i="18"/>
  <c r="E71" i="6" s="1"/>
  <c r="E49" i="18"/>
  <c r="E49" i="6" s="1"/>
  <c r="E82" i="18"/>
  <c r="E82" i="6" s="1"/>
  <c r="E5" i="18"/>
  <c r="E5" i="6" s="1"/>
  <c r="E60" i="18"/>
  <c r="E60" i="6" s="1"/>
  <c r="P170" i="9"/>
  <c r="E124" i="18"/>
  <c r="E124" i="6" s="1"/>
  <c r="E80" i="18"/>
  <c r="E80" i="6" s="1"/>
  <c r="E91" i="18"/>
  <c r="E91" i="6" s="1"/>
  <c r="E113" i="18"/>
  <c r="E113" i="6" s="1"/>
  <c r="E146" i="18"/>
  <c r="E146" i="6" s="1"/>
  <c r="E25" i="18"/>
  <c r="E25" i="6" s="1"/>
  <c r="E102" i="18"/>
  <c r="E102" i="6" s="1"/>
  <c r="E36" i="18"/>
  <c r="E36" i="6" s="1"/>
  <c r="E47" i="18"/>
  <c r="E47" i="6" s="1"/>
  <c r="E135" i="18"/>
  <c r="E135" i="6" s="1"/>
  <c r="E69" i="18"/>
  <c r="E69" i="6" s="1"/>
  <c r="E157" i="18"/>
  <c r="E157" i="6" s="1"/>
  <c r="E14" i="18"/>
  <c r="E14" i="6" s="1"/>
  <c r="E58" i="18"/>
  <c r="E58" i="6" s="1"/>
  <c r="P179" i="9"/>
  <c r="E108" i="16"/>
  <c r="E9" i="16"/>
  <c r="E141" i="16"/>
  <c r="E42" i="16"/>
  <c r="E31" i="16"/>
  <c r="E53" i="16"/>
  <c r="E130" i="16"/>
  <c r="E152" i="16"/>
  <c r="E75" i="16"/>
  <c r="E97" i="16"/>
  <c r="E64" i="16"/>
  <c r="E20" i="16"/>
  <c r="E86" i="16"/>
  <c r="E119" i="16"/>
  <c r="P174" i="10"/>
  <c r="P172" i="10"/>
  <c r="P176" i="9"/>
  <c r="E88" i="18"/>
  <c r="E88" i="6" s="1"/>
  <c r="E44" i="18"/>
  <c r="E44" i="6" s="1"/>
  <c r="E77" i="18"/>
  <c r="E77" i="6" s="1"/>
  <c r="E66" i="18"/>
  <c r="E66" i="6" s="1"/>
  <c r="E154" i="18"/>
  <c r="E154" i="6" s="1"/>
  <c r="E33" i="18"/>
  <c r="E33" i="6" s="1"/>
  <c r="E110" i="18"/>
  <c r="E110" i="6" s="1"/>
  <c r="E55" i="18"/>
  <c r="E55" i="6" s="1"/>
  <c r="E121" i="18"/>
  <c r="E121" i="6" s="1"/>
  <c r="E11" i="18"/>
  <c r="E11" i="6" s="1"/>
  <c r="E143" i="18"/>
  <c r="E143" i="6" s="1"/>
  <c r="O171" i="11"/>
  <c r="D39" i="17"/>
  <c r="D39" i="13" s="1"/>
  <c r="D28" i="17"/>
  <c r="D28" i="13" s="1"/>
  <c r="D6" i="17"/>
  <c r="D6" i="13" s="1"/>
  <c r="D149" i="17"/>
  <c r="D149" i="13" s="1"/>
  <c r="D50" i="17"/>
  <c r="D50" i="13" s="1"/>
  <c r="D61" i="17"/>
  <c r="D61" i="13" s="1"/>
  <c r="D127" i="17"/>
  <c r="D72" i="17"/>
  <c r="D72" i="13" s="1"/>
  <c r="D116" i="17"/>
  <c r="D116" i="13" s="1"/>
  <c r="D105" i="17"/>
  <c r="D105" i="13" s="1"/>
  <c r="D138" i="17"/>
  <c r="D138" i="13" s="1"/>
  <c r="D83" i="17"/>
  <c r="D83" i="13" s="1"/>
  <c r="O178" i="11"/>
  <c r="D101" i="17"/>
  <c r="D101" i="13" s="1"/>
  <c r="D46" i="17"/>
  <c r="D46" i="13" s="1"/>
  <c r="D13" i="17"/>
  <c r="D13" i="13" s="1"/>
  <c r="D68" i="17"/>
  <c r="D68" i="13" s="1"/>
  <c r="D90" i="17"/>
  <c r="D90" i="13" s="1"/>
  <c r="D134" i="17"/>
  <c r="D134" i="13" s="1"/>
  <c r="D35" i="17"/>
  <c r="D35" i="13" s="1"/>
  <c r="D57" i="17"/>
  <c r="D57" i="13" s="1"/>
  <c r="D112" i="17"/>
  <c r="D112" i="13" s="1"/>
  <c r="D79" i="17"/>
  <c r="D79" i="13" s="1"/>
  <c r="D156" i="17"/>
  <c r="D156" i="13" s="1"/>
  <c r="D145" i="17"/>
  <c r="D145" i="13" s="1"/>
  <c r="D123" i="17"/>
  <c r="D123" i="13" s="1"/>
  <c r="P173" i="11"/>
  <c r="E137" i="17"/>
  <c r="E137" i="13" s="1"/>
  <c r="E126" i="17"/>
  <c r="E71" i="17"/>
  <c r="E71" i="13" s="1"/>
  <c r="E148" i="17"/>
  <c r="E148" i="13" s="1"/>
  <c r="E104" i="17"/>
  <c r="E104" i="13" s="1"/>
  <c r="E49" i="17"/>
  <c r="E49" i="13" s="1"/>
  <c r="E27" i="17"/>
  <c r="E27" i="13" s="1"/>
  <c r="E5" i="17"/>
  <c r="E5" i="13" s="1"/>
  <c r="E38" i="17"/>
  <c r="E38" i="13" s="1"/>
  <c r="E115" i="17"/>
  <c r="E115" i="13" s="1"/>
  <c r="E60" i="17"/>
  <c r="E60" i="13" s="1"/>
  <c r="E82" i="17"/>
  <c r="E82" i="13" s="1"/>
  <c r="P170" i="11"/>
  <c r="E86" i="18"/>
  <c r="E64" i="18"/>
  <c r="E141" i="18"/>
  <c r="E20" i="18"/>
  <c r="E9" i="18"/>
  <c r="E75" i="18"/>
  <c r="E42" i="18"/>
  <c r="E119" i="18"/>
  <c r="E31" i="18"/>
  <c r="E53" i="18"/>
  <c r="E130" i="18"/>
  <c r="E97" i="18"/>
  <c r="E152" i="18"/>
  <c r="E108" i="18"/>
  <c r="P174" i="9"/>
  <c r="E153" i="18"/>
  <c r="E153" i="6" s="1"/>
  <c r="E109" i="18"/>
  <c r="E109" i="6" s="1"/>
  <c r="E131" i="18"/>
  <c r="E131" i="6" s="1"/>
  <c r="E98" i="18"/>
  <c r="E98" i="6" s="1"/>
  <c r="E43" i="18"/>
  <c r="E43" i="6" s="1"/>
  <c r="E32" i="18"/>
  <c r="E32" i="6" s="1"/>
  <c r="E87" i="18"/>
  <c r="E87" i="6" s="1"/>
  <c r="E54" i="18"/>
  <c r="E54" i="6" s="1"/>
  <c r="E10" i="18"/>
  <c r="E10" i="6" s="1"/>
  <c r="E76" i="18"/>
  <c r="E76" i="6" s="1"/>
  <c r="E120" i="18"/>
  <c r="E120" i="6" s="1"/>
  <c r="E142" i="18"/>
  <c r="E142" i="6" s="1"/>
  <c r="E65" i="18"/>
  <c r="E65" i="6" s="1"/>
  <c r="E21" i="18"/>
  <c r="E21" i="6" s="1"/>
  <c r="P175" i="9"/>
  <c r="E6" i="16"/>
  <c r="E6" i="12" s="1"/>
  <c r="E116" i="16"/>
  <c r="E116" i="12" s="1"/>
  <c r="E105" i="16"/>
  <c r="E105" i="12" s="1"/>
  <c r="E72" i="16"/>
  <c r="E72" i="12" s="1"/>
  <c r="E83" i="16"/>
  <c r="E83" i="12" s="1"/>
  <c r="E127" i="16"/>
  <c r="E50" i="16"/>
  <c r="E50" i="12" s="1"/>
  <c r="E28" i="16"/>
  <c r="E28" i="12" s="1"/>
  <c r="E138" i="16"/>
  <c r="E138" i="12" s="1"/>
  <c r="E61" i="16"/>
  <c r="E61" i="12" s="1"/>
  <c r="E39" i="16"/>
  <c r="E39" i="12" s="1"/>
  <c r="E149" i="16"/>
  <c r="E149" i="12" s="1"/>
  <c r="P171" i="10"/>
  <c r="E115" i="16"/>
  <c r="E115" i="12" s="1"/>
  <c r="E82" i="16"/>
  <c r="E82" i="12" s="1"/>
  <c r="E27" i="16"/>
  <c r="E27" i="12" s="1"/>
  <c r="E38" i="16"/>
  <c r="E38" i="12" s="1"/>
  <c r="E60" i="16"/>
  <c r="E60" i="12" s="1"/>
  <c r="E148" i="16"/>
  <c r="E148" i="12" s="1"/>
  <c r="E137" i="16"/>
  <c r="E137" i="12" s="1"/>
  <c r="E71" i="16"/>
  <c r="E71" i="12" s="1"/>
  <c r="E49" i="16"/>
  <c r="E49" i="12" s="1"/>
  <c r="E126" i="16"/>
  <c r="E104" i="16"/>
  <c r="E104" i="12" s="1"/>
  <c r="E5" i="16"/>
  <c r="E5" i="12" s="1"/>
  <c r="P170" i="10"/>
  <c r="P176" i="11"/>
  <c r="E132" i="17"/>
  <c r="E143" i="17"/>
  <c r="E143" i="13" s="1"/>
  <c r="E154" i="17"/>
  <c r="E154" i="13" s="1"/>
  <c r="E110" i="17"/>
  <c r="E110" i="13" s="1"/>
  <c r="E88" i="17"/>
  <c r="E88" i="13" s="1"/>
  <c r="E121" i="17"/>
  <c r="E121" i="13" s="1"/>
  <c r="E66" i="17"/>
  <c r="E66" i="13" s="1"/>
  <c r="E77" i="17"/>
  <c r="E77" i="13" s="1"/>
  <c r="E11" i="17"/>
  <c r="E11" i="13" s="1"/>
  <c r="E55" i="17"/>
  <c r="E55" i="13" s="1"/>
  <c r="E33" i="17"/>
  <c r="E33" i="13" s="1"/>
  <c r="E44" i="17"/>
  <c r="E44" i="13" s="1"/>
  <c r="O175" i="11"/>
  <c r="D32" i="17"/>
  <c r="D32" i="13" s="1"/>
  <c r="D43" i="17"/>
  <c r="D43" i="13" s="1"/>
  <c r="D98" i="17"/>
  <c r="D98" i="13" s="1"/>
  <c r="D10" i="17"/>
  <c r="D10" i="13" s="1"/>
  <c r="D109" i="17"/>
  <c r="D109" i="13" s="1"/>
  <c r="D54" i="17"/>
  <c r="D54" i="13" s="1"/>
  <c r="D153" i="17"/>
  <c r="D153" i="13" s="1"/>
  <c r="D120" i="17"/>
  <c r="D120" i="13" s="1"/>
  <c r="D21" i="17"/>
  <c r="D21" i="13" s="1"/>
  <c r="D65" i="17"/>
  <c r="D65" i="13" s="1"/>
  <c r="D131" i="17"/>
  <c r="D131" i="13" s="1"/>
  <c r="D87" i="17"/>
  <c r="D87" i="13" s="1"/>
  <c r="D76" i="17"/>
  <c r="D76" i="13" s="1"/>
  <c r="D142" i="17"/>
  <c r="D142" i="13" s="1"/>
  <c r="O174" i="11"/>
  <c r="D130" i="17"/>
  <c r="D9" i="17"/>
  <c r="D86" i="17"/>
  <c r="D53" i="17"/>
  <c r="D20" i="17"/>
  <c r="D42" i="17"/>
  <c r="D152" i="17"/>
  <c r="D75" i="17"/>
  <c r="D119" i="17"/>
  <c r="D64" i="17"/>
  <c r="D31" i="17"/>
  <c r="D141" i="17"/>
  <c r="D108" i="17"/>
  <c r="D97" i="17"/>
  <c r="D11" i="16"/>
  <c r="D11" i="12" s="1"/>
  <c r="D77" i="16"/>
  <c r="D77" i="12" s="1"/>
  <c r="D33" i="16"/>
  <c r="D33" i="12" s="1"/>
  <c r="D154" i="16"/>
  <c r="D154" i="12" s="1"/>
  <c r="D110" i="16"/>
  <c r="D110" i="12" s="1"/>
  <c r="D143" i="16"/>
  <c r="D143" i="12" s="1"/>
  <c r="D66" i="16"/>
  <c r="D66" i="12" s="1"/>
  <c r="D44" i="16"/>
  <c r="D44" i="12" s="1"/>
  <c r="D121" i="16"/>
  <c r="D121" i="12" s="1"/>
  <c r="D55" i="16"/>
  <c r="D55" i="12" s="1"/>
  <c r="D88" i="16"/>
  <c r="D88" i="12" s="1"/>
  <c r="P172" i="11"/>
  <c r="E102" i="17"/>
  <c r="E102" i="13" s="1"/>
  <c r="E157" i="17"/>
  <c r="E157" i="13" s="1"/>
  <c r="E47" i="17"/>
  <c r="E47" i="13" s="1"/>
  <c r="E14" i="17"/>
  <c r="E14" i="13" s="1"/>
  <c r="E25" i="17"/>
  <c r="E25" i="13" s="1"/>
  <c r="E146" i="17"/>
  <c r="E146" i="13" s="1"/>
  <c r="E91" i="17"/>
  <c r="E91" i="13" s="1"/>
  <c r="E69" i="17"/>
  <c r="E69" i="13" s="1"/>
  <c r="E58" i="17"/>
  <c r="E58" i="13" s="1"/>
  <c r="E135" i="17"/>
  <c r="E135" i="13" s="1"/>
  <c r="E80" i="17"/>
  <c r="E80" i="13" s="1"/>
  <c r="E124" i="17"/>
  <c r="E124" i="13" s="1"/>
  <c r="E113" i="17"/>
  <c r="E113" i="13" s="1"/>
  <c r="E36" i="17"/>
  <c r="E36" i="13" s="1"/>
  <c r="P179" i="11"/>
  <c r="E127" i="18"/>
  <c r="E105" i="18"/>
  <c r="E105" i="6" s="1"/>
  <c r="E39" i="18"/>
  <c r="E39" i="6" s="1"/>
  <c r="E83" i="18"/>
  <c r="E83" i="6" s="1"/>
  <c r="E149" i="18"/>
  <c r="E149" i="6" s="1"/>
  <c r="E28" i="18"/>
  <c r="E28" i="6" s="1"/>
  <c r="E72" i="18"/>
  <c r="E72" i="6" s="1"/>
  <c r="E138" i="18"/>
  <c r="E138" i="6" s="1"/>
  <c r="E61" i="18"/>
  <c r="E61" i="6" s="1"/>
  <c r="E116" i="18"/>
  <c r="E116" i="6" s="1"/>
  <c r="E6" i="18"/>
  <c r="E6" i="6" s="1"/>
  <c r="E50" i="18"/>
  <c r="E50" i="6" s="1"/>
  <c r="P171" i="9"/>
  <c r="P172" i="9"/>
  <c r="P173" i="10"/>
  <c r="E135" i="16"/>
  <c r="E135" i="12" s="1"/>
  <c r="E124" i="16"/>
  <c r="E124" i="12" s="1"/>
  <c r="E113" i="16"/>
  <c r="E113" i="12" s="1"/>
  <c r="E58" i="16"/>
  <c r="E58" i="12" s="1"/>
  <c r="E157" i="16"/>
  <c r="E157" i="12" s="1"/>
  <c r="E36" i="16"/>
  <c r="E36" i="12" s="1"/>
  <c r="E47" i="16"/>
  <c r="E47" i="12" s="1"/>
  <c r="E25" i="16"/>
  <c r="E25" i="12" s="1"/>
  <c r="E91" i="16"/>
  <c r="E91" i="12" s="1"/>
  <c r="E69" i="16"/>
  <c r="E69" i="12" s="1"/>
  <c r="E80" i="16"/>
  <c r="E80" i="12" s="1"/>
  <c r="E146" i="16"/>
  <c r="E146" i="12" s="1"/>
  <c r="E102" i="16"/>
  <c r="E102" i="12" s="1"/>
  <c r="E14" i="16"/>
  <c r="E14" i="12" s="1"/>
  <c r="P179" i="10"/>
  <c r="O170" i="11"/>
  <c r="D60" i="17"/>
  <c r="D60" i="13" s="1"/>
  <c r="D115" i="17"/>
  <c r="D115" i="13" s="1"/>
  <c r="D38" i="17"/>
  <c r="D38" i="13" s="1"/>
  <c r="D137" i="17"/>
  <c r="D137" i="13" s="1"/>
  <c r="D71" i="17"/>
  <c r="D71" i="13" s="1"/>
  <c r="D27" i="17"/>
  <c r="D27" i="13" s="1"/>
  <c r="D49" i="17"/>
  <c r="D49" i="13" s="1"/>
  <c r="D82" i="17"/>
  <c r="D82" i="13" s="1"/>
  <c r="D5" i="17"/>
  <c r="D5" i="13" s="1"/>
  <c r="D126" i="17"/>
  <c r="D148" i="17"/>
  <c r="D148" i="13" s="1"/>
  <c r="D104" i="17"/>
  <c r="D104" i="13" s="1"/>
  <c r="O179" i="11"/>
  <c r="D146" i="17"/>
  <c r="D146" i="13" s="1"/>
  <c r="D14" i="17"/>
  <c r="D14" i="13" s="1"/>
  <c r="D69" i="17"/>
  <c r="D69" i="13" s="1"/>
  <c r="D135" i="17"/>
  <c r="D135" i="13" s="1"/>
  <c r="D47" i="17"/>
  <c r="D47" i="13" s="1"/>
  <c r="D80" i="17"/>
  <c r="D80" i="13" s="1"/>
  <c r="D157" i="17"/>
  <c r="D157" i="13" s="1"/>
  <c r="D91" i="17"/>
  <c r="D91" i="13" s="1"/>
  <c r="D124" i="17"/>
  <c r="D124" i="13" s="1"/>
  <c r="D102" i="17"/>
  <c r="D102" i="13" s="1"/>
  <c r="D113" i="17"/>
  <c r="D113" i="13" s="1"/>
  <c r="D58" i="17"/>
  <c r="D58" i="13" s="1"/>
  <c r="D36" i="17"/>
  <c r="D36" i="13" s="1"/>
  <c r="D25" i="17"/>
  <c r="D25" i="13" s="1"/>
  <c r="D88" i="17"/>
  <c r="D88" i="13" s="1"/>
  <c r="D143" i="17"/>
  <c r="D143" i="13" s="1"/>
  <c r="D66" i="17"/>
  <c r="D66" i="13" s="1"/>
  <c r="D77" i="17"/>
  <c r="D77" i="13" s="1"/>
  <c r="D110" i="17"/>
  <c r="D110" i="13" s="1"/>
  <c r="D11" i="17"/>
  <c r="D11" i="13" s="1"/>
  <c r="D121" i="17"/>
  <c r="D121" i="13" s="1"/>
  <c r="D33" i="17"/>
  <c r="D33" i="13" s="1"/>
  <c r="D44" i="17"/>
  <c r="D44" i="13" s="1"/>
  <c r="D154" i="17"/>
  <c r="D154" i="13" s="1"/>
  <c r="D55" i="17"/>
  <c r="D55" i="13" s="1"/>
  <c r="E57" i="17"/>
  <c r="E57" i="13" s="1"/>
  <c r="E134" i="17"/>
  <c r="E134" i="13" s="1"/>
  <c r="E35" i="17"/>
  <c r="E35" i="13" s="1"/>
  <c r="E13" i="17"/>
  <c r="E13" i="13" s="1"/>
  <c r="E123" i="17"/>
  <c r="E123" i="13" s="1"/>
  <c r="E112" i="17"/>
  <c r="E112" i="13" s="1"/>
  <c r="E79" i="17"/>
  <c r="E79" i="13" s="1"/>
  <c r="E68" i="17"/>
  <c r="E68" i="13" s="1"/>
  <c r="E156" i="17"/>
  <c r="E156" i="13" s="1"/>
  <c r="E46" i="17"/>
  <c r="E46" i="13" s="1"/>
  <c r="E145" i="17"/>
  <c r="E145" i="13" s="1"/>
  <c r="E101" i="17"/>
  <c r="E101" i="13" s="1"/>
  <c r="E90" i="17"/>
  <c r="E90" i="13" s="1"/>
  <c r="P178" i="11"/>
  <c r="E152" i="17"/>
  <c r="E9" i="17"/>
  <c r="E130" i="17"/>
  <c r="E42" i="17"/>
  <c r="E20" i="17"/>
  <c r="E119" i="17"/>
  <c r="E64" i="17"/>
  <c r="E141" i="17"/>
  <c r="E108" i="17"/>
  <c r="E75" i="17"/>
  <c r="E53" i="17"/>
  <c r="E31" i="17"/>
  <c r="E97" i="17"/>
  <c r="E86" i="17"/>
  <c r="P174" i="11"/>
  <c r="E134" i="18"/>
  <c r="E145" i="18"/>
  <c r="E145" i="6" s="1"/>
  <c r="E46" i="18"/>
  <c r="E46" i="6" s="1"/>
  <c r="E13" i="18"/>
  <c r="E13" i="6" s="1"/>
  <c r="E79" i="18"/>
  <c r="E79" i="6" s="1"/>
  <c r="E101" i="18"/>
  <c r="E101" i="6" s="1"/>
  <c r="E123" i="18"/>
  <c r="E123" i="6" s="1"/>
  <c r="E57" i="18"/>
  <c r="E57" i="6" s="1"/>
  <c r="E90" i="18"/>
  <c r="E90" i="6" s="1"/>
  <c r="E35" i="18"/>
  <c r="E35" i="6" s="1"/>
  <c r="E156" i="18"/>
  <c r="E68" i="18"/>
  <c r="E68" i="6" s="1"/>
  <c r="E112" i="18"/>
  <c r="E112" i="6" s="1"/>
  <c r="P178" i="9"/>
  <c r="P173" i="9"/>
  <c r="E10" i="16"/>
  <c r="E10" i="12" s="1"/>
  <c r="E98" i="16"/>
  <c r="E98" i="12" s="1"/>
  <c r="E76" i="16"/>
  <c r="E76" i="12" s="1"/>
  <c r="E153" i="16"/>
  <c r="E153" i="12" s="1"/>
  <c r="E32" i="16"/>
  <c r="E32" i="12" s="1"/>
  <c r="E87" i="16"/>
  <c r="E87" i="12" s="1"/>
  <c r="E43" i="16"/>
  <c r="E43" i="12" s="1"/>
  <c r="E65" i="16"/>
  <c r="E65" i="12" s="1"/>
  <c r="E131" i="16"/>
  <c r="E131" i="12" s="1"/>
  <c r="E109" i="16"/>
  <c r="E109" i="12" s="1"/>
  <c r="E54" i="16"/>
  <c r="E54" i="12" s="1"/>
  <c r="E120" i="16"/>
  <c r="E120" i="12" s="1"/>
  <c r="E21" i="16"/>
  <c r="E21" i="12" s="1"/>
  <c r="E142" i="16"/>
  <c r="E142" i="12" s="1"/>
  <c r="P175" i="10"/>
  <c r="E132" i="16"/>
  <c r="P176" i="10"/>
  <c r="E154" i="16"/>
  <c r="E154" i="12" s="1"/>
  <c r="E55" i="16"/>
  <c r="E55" i="12" s="1"/>
  <c r="E77" i="16"/>
  <c r="E77" i="12" s="1"/>
  <c r="E143" i="16"/>
  <c r="E143" i="12" s="1"/>
  <c r="E110" i="16"/>
  <c r="E110" i="12" s="1"/>
  <c r="E66" i="16"/>
  <c r="E66" i="12" s="1"/>
  <c r="E33" i="16"/>
  <c r="E33" i="12" s="1"/>
  <c r="E121" i="16"/>
  <c r="E121" i="12" s="1"/>
  <c r="E11" i="16"/>
  <c r="E11" i="12" s="1"/>
  <c r="E44" i="16"/>
  <c r="E44" i="12" s="1"/>
  <c r="E88" i="16"/>
  <c r="E88" i="12" s="1"/>
  <c r="O172" i="11"/>
  <c r="O173" i="11"/>
  <c r="D137" i="18"/>
  <c r="D137" i="6" s="1"/>
  <c r="D148" i="18"/>
  <c r="D148" i="6" s="1"/>
  <c r="D5" i="18"/>
  <c r="D5" i="6" s="1"/>
  <c r="D82" i="18"/>
  <c r="D82" i="6" s="1"/>
  <c r="D115" i="18"/>
  <c r="D38" i="18"/>
  <c r="D38" i="6" s="1"/>
  <c r="D104" i="18"/>
  <c r="D104" i="6" s="1"/>
  <c r="D49" i="18"/>
  <c r="D49" i="6" s="1"/>
  <c r="D27" i="18"/>
  <c r="D27" i="6" s="1"/>
  <c r="D126" i="18"/>
  <c r="D60" i="18"/>
  <c r="D60" i="6" s="1"/>
  <c r="D71" i="18"/>
  <c r="D71" i="6" s="1"/>
  <c r="D83" i="18"/>
  <c r="D83" i="6" s="1"/>
  <c r="D149" i="18"/>
  <c r="D149" i="6" s="1"/>
  <c r="D105" i="18"/>
  <c r="D105" i="6" s="1"/>
  <c r="D116" i="18"/>
  <c r="D116" i="6" s="1"/>
  <c r="D39" i="18"/>
  <c r="D39" i="6" s="1"/>
  <c r="D28" i="18"/>
  <c r="D28" i="6" s="1"/>
  <c r="D50" i="18"/>
  <c r="D50" i="6" s="1"/>
  <c r="D72" i="18"/>
  <c r="D72" i="6" s="1"/>
  <c r="D127" i="18"/>
  <c r="D61" i="18"/>
  <c r="D61" i="6" s="1"/>
  <c r="D138" i="18"/>
  <c r="D138" i="6" s="1"/>
  <c r="D6" i="18"/>
  <c r="D6" i="6" s="1"/>
  <c r="D135" i="18"/>
  <c r="D135" i="6" s="1"/>
  <c r="D146" i="18"/>
  <c r="D146" i="6" s="1"/>
  <c r="D36" i="18"/>
  <c r="D36" i="6" s="1"/>
  <c r="D14" i="18"/>
  <c r="D14" i="6" s="1"/>
  <c r="D69" i="18"/>
  <c r="D69" i="6" s="1"/>
  <c r="D58" i="18"/>
  <c r="D58" i="6" s="1"/>
  <c r="D113" i="18"/>
  <c r="D113" i="6" s="1"/>
  <c r="D80" i="18"/>
  <c r="D80" i="6" s="1"/>
  <c r="D157" i="18"/>
  <c r="D157" i="6" s="1"/>
  <c r="D47" i="18"/>
  <c r="D47" i="6" s="1"/>
  <c r="D91" i="18"/>
  <c r="D91" i="6" s="1"/>
  <c r="D25" i="18"/>
  <c r="D25" i="6" s="1"/>
  <c r="D102" i="18"/>
  <c r="D102" i="6" s="1"/>
  <c r="D124" i="18"/>
  <c r="D124" i="6" s="1"/>
  <c r="D109" i="18"/>
  <c r="D109" i="6" s="1"/>
  <c r="D10" i="18"/>
  <c r="D10" i="6" s="1"/>
  <c r="D153" i="18"/>
  <c r="D153" i="6" s="1"/>
  <c r="D32" i="18"/>
  <c r="D32" i="6" s="1"/>
  <c r="D54" i="18"/>
  <c r="D54" i="6" s="1"/>
  <c r="D43" i="18"/>
  <c r="D43" i="6" s="1"/>
  <c r="D131" i="18"/>
  <c r="D131" i="6" s="1"/>
  <c r="D142" i="18"/>
  <c r="D142" i="6" s="1"/>
  <c r="D21" i="18"/>
  <c r="D21" i="6" s="1"/>
  <c r="D120" i="18"/>
  <c r="D120" i="6" s="1"/>
  <c r="D87" i="18"/>
  <c r="D87" i="6" s="1"/>
  <c r="D98" i="18"/>
  <c r="D98" i="6" s="1"/>
  <c r="D65" i="18"/>
  <c r="D65" i="6" s="1"/>
  <c r="D76" i="18"/>
  <c r="D76" i="6" s="1"/>
  <c r="D97" i="18"/>
  <c r="D152" i="18"/>
  <c r="D64" i="18"/>
  <c r="D20" i="18"/>
  <c r="D53" i="18"/>
  <c r="D141" i="18"/>
  <c r="D108" i="18"/>
  <c r="D42" i="18"/>
  <c r="D9" i="18"/>
  <c r="D75" i="18"/>
  <c r="D130" i="18"/>
  <c r="D119" i="18"/>
  <c r="D31" i="18"/>
  <c r="D86" i="18"/>
  <c r="D90" i="18"/>
  <c r="D90" i="6" s="1"/>
  <c r="D46" i="18"/>
  <c r="D46" i="6" s="1"/>
  <c r="D112" i="18"/>
  <c r="D112" i="6" s="1"/>
  <c r="D68" i="18"/>
  <c r="D68" i="6" s="1"/>
  <c r="D134" i="18"/>
  <c r="D57" i="18"/>
  <c r="D57" i="6" s="1"/>
  <c r="D101" i="18"/>
  <c r="D101" i="6" s="1"/>
  <c r="D13" i="18"/>
  <c r="D13" i="6" s="1"/>
  <c r="D156" i="18"/>
  <c r="D123" i="18"/>
  <c r="D123" i="6" s="1"/>
  <c r="D145" i="18"/>
  <c r="D145" i="6" s="1"/>
  <c r="D35" i="18"/>
  <c r="D35" i="6" s="1"/>
  <c r="D79" i="18"/>
  <c r="D79" i="6" s="1"/>
  <c r="D124" i="16"/>
  <c r="D124" i="12" s="1"/>
  <c r="D47" i="16"/>
  <c r="D47" i="12" s="1"/>
  <c r="D69" i="16"/>
  <c r="D69" i="12" s="1"/>
  <c r="D80" i="16"/>
  <c r="D80" i="12" s="1"/>
  <c r="D135" i="16"/>
  <c r="D135" i="12" s="1"/>
  <c r="D113" i="16"/>
  <c r="D113" i="12" s="1"/>
  <c r="D14" i="16"/>
  <c r="D14" i="12" s="1"/>
  <c r="D157" i="16"/>
  <c r="D157" i="12" s="1"/>
  <c r="D58" i="16"/>
  <c r="D58" i="12" s="1"/>
  <c r="D146" i="16"/>
  <c r="D146" i="12" s="1"/>
  <c r="D91" i="16"/>
  <c r="D91" i="12" s="1"/>
  <c r="D36" i="16"/>
  <c r="D36" i="12" s="1"/>
  <c r="D25" i="16"/>
  <c r="D25" i="12" s="1"/>
  <c r="D102" i="16"/>
  <c r="D102" i="12" s="1"/>
  <c r="O171" i="10"/>
  <c r="D149" i="16"/>
  <c r="D149" i="12" s="1"/>
  <c r="D61" i="16"/>
  <c r="D61" i="12" s="1"/>
  <c r="D28" i="16"/>
  <c r="D28" i="12" s="1"/>
  <c r="D50" i="16"/>
  <c r="D50" i="12" s="1"/>
  <c r="D6" i="16"/>
  <c r="D6" i="12" s="1"/>
  <c r="D116" i="16"/>
  <c r="D116" i="12" s="1"/>
  <c r="D83" i="16"/>
  <c r="D83" i="12" s="1"/>
  <c r="D72" i="16"/>
  <c r="D72" i="12" s="1"/>
  <c r="D105" i="16"/>
  <c r="D105" i="12" s="1"/>
  <c r="D138" i="16"/>
  <c r="D138" i="12" s="1"/>
  <c r="D127" i="16"/>
  <c r="D39" i="16"/>
  <c r="D39" i="12" s="1"/>
  <c r="D9" i="16"/>
  <c r="D97" i="16"/>
  <c r="D130" i="16"/>
  <c r="D119" i="16"/>
  <c r="D152" i="16"/>
  <c r="D53" i="16"/>
  <c r="D31" i="16"/>
  <c r="D20" i="16"/>
  <c r="D108" i="16"/>
  <c r="D64" i="16"/>
  <c r="D75" i="16"/>
  <c r="D86" i="16"/>
  <c r="D42" i="16"/>
  <c r="D141" i="16"/>
  <c r="D120" i="16"/>
  <c r="D120" i="12" s="1"/>
  <c r="D21" i="16"/>
  <c r="D21" i="12" s="1"/>
  <c r="D87" i="16"/>
  <c r="D87" i="12" s="1"/>
  <c r="D54" i="16"/>
  <c r="D54" i="12" s="1"/>
  <c r="D32" i="16"/>
  <c r="D32" i="12" s="1"/>
  <c r="D109" i="16"/>
  <c r="D109" i="12" s="1"/>
  <c r="D131" i="16"/>
  <c r="D131" i="12" s="1"/>
  <c r="D142" i="16"/>
  <c r="D142" i="12" s="1"/>
  <c r="D76" i="16"/>
  <c r="D76" i="12" s="1"/>
  <c r="D10" i="16"/>
  <c r="D10" i="12" s="1"/>
  <c r="D65" i="16"/>
  <c r="D65" i="12" s="1"/>
  <c r="D153" i="16"/>
  <c r="D153" i="12" s="1"/>
  <c r="D98" i="16"/>
  <c r="D98" i="12" s="1"/>
  <c r="D43" i="16"/>
  <c r="D43" i="12" s="1"/>
  <c r="O170" i="10"/>
  <c r="D137" i="16"/>
  <c r="D137" i="12" s="1"/>
  <c r="D49" i="16"/>
  <c r="D49" i="12" s="1"/>
  <c r="D27" i="16"/>
  <c r="D27" i="12" s="1"/>
  <c r="D104" i="16"/>
  <c r="D104" i="12" s="1"/>
  <c r="D126" i="16"/>
  <c r="D148" i="16"/>
  <c r="D148" i="12" s="1"/>
  <c r="D38" i="16"/>
  <c r="D38" i="12" s="1"/>
  <c r="D115" i="16"/>
  <c r="D115" i="12" s="1"/>
  <c r="D82" i="16"/>
  <c r="D82" i="12" s="1"/>
  <c r="D60" i="16"/>
  <c r="D60" i="12" s="1"/>
  <c r="D5" i="16"/>
  <c r="D5" i="12" s="1"/>
  <c r="D71" i="16"/>
  <c r="D71" i="12" s="1"/>
  <c r="O176" i="9"/>
  <c r="D33" i="18"/>
  <c r="D33" i="6" s="1"/>
  <c r="D55" i="18"/>
  <c r="D55" i="6" s="1"/>
  <c r="D121" i="18"/>
  <c r="D121" i="6" s="1"/>
  <c r="D110" i="18"/>
  <c r="D110" i="6" s="1"/>
  <c r="D44" i="18"/>
  <c r="D44" i="6" s="1"/>
  <c r="D66" i="18"/>
  <c r="D66" i="6" s="1"/>
  <c r="D11" i="18"/>
  <c r="D11" i="6" s="1"/>
  <c r="D143" i="18"/>
  <c r="D143" i="6" s="1"/>
  <c r="D154" i="18"/>
  <c r="D154" i="6" s="1"/>
  <c r="D88" i="18"/>
  <c r="D88" i="6" s="1"/>
  <c r="D77" i="18"/>
  <c r="D77" i="6" s="1"/>
  <c r="D132" i="16"/>
  <c r="O176" i="10"/>
  <c r="O176" i="11"/>
  <c r="D132" i="17"/>
  <c r="C165" i="17"/>
  <c r="C165" i="16"/>
  <c r="C165" i="18"/>
  <c r="C160" i="16"/>
  <c r="C168" i="16"/>
  <c r="C163" i="16"/>
  <c r="C164" i="16"/>
  <c r="C162" i="16"/>
  <c r="C161" i="16"/>
  <c r="C159" i="16"/>
  <c r="C162" i="18"/>
  <c r="C167" i="18"/>
  <c r="C163" i="18"/>
  <c r="C161" i="18"/>
  <c r="C160" i="18"/>
  <c r="C168" i="18"/>
  <c r="C164" i="18"/>
  <c r="C159" i="18"/>
  <c r="C159" i="17"/>
  <c r="C168" i="17"/>
  <c r="C163" i="17"/>
  <c r="C164" i="17"/>
  <c r="C167" i="17"/>
  <c r="C161" i="17"/>
  <c r="N178" i="10"/>
  <c r="C162" i="17"/>
  <c r="C160" i="17"/>
  <c r="F132" i="6" l="1"/>
  <c r="F52" i="6"/>
  <c r="F53" i="6" s="1"/>
  <c r="F48" i="6" s="1"/>
  <c r="F42" i="6"/>
  <c r="F37" i="6" s="1"/>
  <c r="K156" i="16"/>
  <c r="K156" i="12" s="1"/>
  <c r="K134" i="16"/>
  <c r="K134" i="12" s="1"/>
  <c r="K112" i="16"/>
  <c r="K112" i="12" s="1"/>
  <c r="K68" i="16"/>
  <c r="K68" i="12" s="1"/>
  <c r="K46" i="16"/>
  <c r="K46" i="12" s="1"/>
  <c r="K123" i="16"/>
  <c r="K123" i="12" s="1"/>
  <c r="K79" i="16"/>
  <c r="K79" i="12" s="1"/>
  <c r="K145" i="16"/>
  <c r="K145" i="12" s="1"/>
  <c r="K13" i="16"/>
  <c r="K13" i="12" s="1"/>
  <c r="K101" i="16"/>
  <c r="K101" i="12" s="1"/>
  <c r="K90" i="16"/>
  <c r="K90" i="12" s="1"/>
  <c r="K35" i="16"/>
  <c r="K35" i="12" s="1"/>
  <c r="K57" i="16"/>
  <c r="K57" i="12" s="1"/>
  <c r="F141" i="6"/>
  <c r="F136" i="6" s="1"/>
  <c r="F108" i="13"/>
  <c r="E128" i="17"/>
  <c r="E128" i="13" s="1"/>
  <c r="F126" i="6"/>
  <c r="F152" i="6"/>
  <c r="F147" i="6" s="1"/>
  <c r="F64" i="6"/>
  <c r="F59" i="6" s="1"/>
  <c r="F126" i="13"/>
  <c r="F152" i="13"/>
  <c r="F64" i="13"/>
  <c r="F75" i="6"/>
  <c r="F70" i="6" s="1"/>
  <c r="G130" i="6"/>
  <c r="D128" i="17"/>
  <c r="F119" i="6"/>
  <c r="F114" i="6" s="1"/>
  <c r="D129" i="17"/>
  <c r="E85" i="16"/>
  <c r="E85" i="12" s="1"/>
  <c r="F86" i="13"/>
  <c r="E151" i="18"/>
  <c r="E151" i="6" s="1"/>
  <c r="E129" i="16"/>
  <c r="F108" i="6"/>
  <c r="F103" i="6" s="1"/>
  <c r="F31" i="6"/>
  <c r="F26" i="6" s="1"/>
  <c r="F31" i="13"/>
  <c r="E63" i="18"/>
  <c r="E63" i="6" s="1"/>
  <c r="F86" i="6"/>
  <c r="F81" i="6" s="1"/>
  <c r="F119" i="13"/>
  <c r="D151" i="17"/>
  <c r="D151" i="13" s="1"/>
  <c r="D139" i="17"/>
  <c r="D139" i="13" s="1"/>
  <c r="D52" i="17"/>
  <c r="D52" i="13" s="1"/>
  <c r="E85" i="18"/>
  <c r="E85" i="6" s="1"/>
  <c r="E73" i="17"/>
  <c r="E73" i="13" s="1"/>
  <c r="F9" i="12"/>
  <c r="F9" i="6"/>
  <c r="F4" i="6" s="1"/>
  <c r="F42" i="13"/>
  <c r="F53" i="13"/>
  <c r="F133" i="6"/>
  <c r="D150" i="17"/>
  <c r="D150" i="13" s="1"/>
  <c r="E118" i="18"/>
  <c r="E118" i="6" s="1"/>
  <c r="F127" i="6"/>
  <c r="F129" i="6"/>
  <c r="F130" i="6" s="1"/>
  <c r="F141" i="13"/>
  <c r="D40" i="17"/>
  <c r="D40" i="13" s="1"/>
  <c r="G130" i="13"/>
  <c r="D8" i="17"/>
  <c r="D8" i="13" s="1"/>
  <c r="E41" i="18"/>
  <c r="E41" i="6" s="1"/>
  <c r="E62" i="17"/>
  <c r="E62" i="13" s="1"/>
  <c r="D129" i="18"/>
  <c r="D41" i="17"/>
  <c r="D41" i="13" s="1"/>
  <c r="E150" i="17"/>
  <c r="E150" i="13" s="1"/>
  <c r="F152" i="12"/>
  <c r="E62" i="18"/>
  <c r="E62" i="6" s="1"/>
  <c r="E129" i="18"/>
  <c r="E74" i="18"/>
  <c r="E74" i="6" s="1"/>
  <c r="E52" i="16"/>
  <c r="F133" i="13"/>
  <c r="D63" i="17"/>
  <c r="D63" i="13" s="1"/>
  <c r="D40" i="18"/>
  <c r="D40" i="6" s="1"/>
  <c r="D118" i="18"/>
  <c r="D118" i="6" s="1"/>
  <c r="D30" i="17"/>
  <c r="D30" i="13" s="1"/>
  <c r="D140" i="17"/>
  <c r="D140" i="13" s="1"/>
  <c r="D51" i="17"/>
  <c r="D51" i="13" s="1"/>
  <c r="D29" i="17"/>
  <c r="D29" i="13" s="1"/>
  <c r="E107" i="18"/>
  <c r="E107" i="6" s="1"/>
  <c r="E107" i="16"/>
  <c r="E107" i="12" s="1"/>
  <c r="F132" i="13"/>
  <c r="F129" i="13"/>
  <c r="F75" i="13"/>
  <c r="F128" i="13"/>
  <c r="D7" i="18"/>
  <c r="D7" i="6" s="1"/>
  <c r="D62" i="17"/>
  <c r="D62" i="13" s="1"/>
  <c r="E30" i="18"/>
  <c r="E30" i="6" s="1"/>
  <c r="E151" i="16"/>
  <c r="E151" i="12" s="1"/>
  <c r="E41" i="16"/>
  <c r="E41" i="12" s="1"/>
  <c r="E84" i="17"/>
  <c r="E84" i="13" s="1"/>
  <c r="F129" i="12"/>
  <c r="F127" i="13"/>
  <c r="E128" i="18"/>
  <c r="D139" i="18"/>
  <c r="D139" i="6" s="1"/>
  <c r="D74" i="17"/>
  <c r="D74" i="13" s="1"/>
  <c r="D73" i="17"/>
  <c r="D73" i="13" s="1"/>
  <c r="D106" i="17"/>
  <c r="D106" i="13" s="1"/>
  <c r="E8" i="18"/>
  <c r="E8" i="6" s="1"/>
  <c r="E63" i="16"/>
  <c r="E63" i="12" s="1"/>
  <c r="E73" i="18"/>
  <c r="E73" i="6" s="1"/>
  <c r="E40" i="17"/>
  <c r="E40" i="13" s="1"/>
  <c r="E30" i="16"/>
  <c r="E30" i="12" s="1"/>
  <c r="E74" i="16"/>
  <c r="E74" i="12" s="1"/>
  <c r="E40" i="18"/>
  <c r="E40" i="6" s="1"/>
  <c r="E106" i="17"/>
  <c r="E106" i="13" s="1"/>
  <c r="E7" i="17"/>
  <c r="E7" i="13" s="1"/>
  <c r="F42" i="12"/>
  <c r="D29" i="18"/>
  <c r="D29" i="6" s="1"/>
  <c r="D85" i="17"/>
  <c r="D85" i="13" s="1"/>
  <c r="D117" i="17"/>
  <c r="D117" i="13" s="1"/>
  <c r="E118" i="16"/>
  <c r="E118" i="12" s="1"/>
  <c r="E7" i="18"/>
  <c r="E7" i="6" s="1"/>
  <c r="E139" i="17"/>
  <c r="E139" i="13" s="1"/>
  <c r="E106" i="18"/>
  <c r="E106" i="6" s="1"/>
  <c r="F75" i="12"/>
  <c r="E29" i="18"/>
  <c r="E29" i="6" s="1"/>
  <c r="E117" i="18"/>
  <c r="E117" i="6" s="1"/>
  <c r="D106" i="18"/>
  <c r="D106" i="6" s="1"/>
  <c r="D62" i="18"/>
  <c r="D62" i="6" s="1"/>
  <c r="D151" i="18"/>
  <c r="D151" i="6" s="1"/>
  <c r="D107" i="17"/>
  <c r="D107" i="13" s="1"/>
  <c r="D84" i="17"/>
  <c r="D84" i="13" s="1"/>
  <c r="E52" i="18"/>
  <c r="E84" i="18"/>
  <c r="E84" i="6" s="1"/>
  <c r="E51" i="18"/>
  <c r="E51" i="6" s="1"/>
  <c r="E117" i="17"/>
  <c r="E117" i="13" s="1"/>
  <c r="D129" i="16"/>
  <c r="D51" i="18"/>
  <c r="D51" i="6" s="1"/>
  <c r="D73" i="18"/>
  <c r="D73" i="6" s="1"/>
  <c r="D30" i="18"/>
  <c r="D30" i="6" s="1"/>
  <c r="D118" i="17"/>
  <c r="D118" i="13" s="1"/>
  <c r="D7" i="17"/>
  <c r="D7" i="13" s="1"/>
  <c r="E8" i="16"/>
  <c r="E8" i="12" s="1"/>
  <c r="E140" i="16"/>
  <c r="E140" i="12" s="1"/>
  <c r="E150" i="18"/>
  <c r="E150" i="6" s="1"/>
  <c r="E51" i="17"/>
  <c r="E51" i="13" s="1"/>
  <c r="E29" i="17"/>
  <c r="E29" i="13" s="1"/>
  <c r="D150" i="18"/>
  <c r="D150" i="6" s="1"/>
  <c r="D84" i="18"/>
  <c r="D84" i="6" s="1"/>
  <c r="D74" i="18"/>
  <c r="D74" i="6" s="1"/>
  <c r="G48" i="6"/>
  <c r="F132" i="12"/>
  <c r="G53" i="12"/>
  <c r="G130" i="12"/>
  <c r="E52" i="17"/>
  <c r="E52" i="13" s="1"/>
  <c r="F52" i="12"/>
  <c r="F108" i="12"/>
  <c r="F126" i="12"/>
  <c r="F128" i="12"/>
  <c r="F133" i="12"/>
  <c r="F127" i="12"/>
  <c r="F64" i="12"/>
  <c r="F9" i="13"/>
  <c r="D85" i="18"/>
  <c r="D85" i="6" s="1"/>
  <c r="D140" i="18"/>
  <c r="D140" i="6" s="1"/>
  <c r="E74" i="17"/>
  <c r="E74" i="13" s="1"/>
  <c r="F119" i="12"/>
  <c r="F86" i="12"/>
  <c r="D8" i="18"/>
  <c r="D8" i="6" s="1"/>
  <c r="D41" i="18"/>
  <c r="D41" i="6" s="1"/>
  <c r="D107" i="18"/>
  <c r="D107" i="6" s="1"/>
  <c r="E139" i="18"/>
  <c r="E139" i="6" s="1"/>
  <c r="E118" i="17"/>
  <c r="E118" i="13" s="1"/>
  <c r="F31" i="12"/>
  <c r="F141" i="12"/>
  <c r="D168" i="12"/>
  <c r="D128" i="16"/>
  <c r="D128" i="12" s="1"/>
  <c r="D62" i="16"/>
  <c r="D62" i="12" s="1"/>
  <c r="D40" i="16"/>
  <c r="D40" i="12" s="1"/>
  <c r="D107" i="16"/>
  <c r="D107" i="12" s="1"/>
  <c r="D41" i="16"/>
  <c r="D41" i="12" s="1"/>
  <c r="E164" i="12"/>
  <c r="D168" i="13"/>
  <c r="E129" i="17"/>
  <c r="E63" i="17"/>
  <c r="E63" i="13" s="1"/>
  <c r="E140" i="17"/>
  <c r="E140" i="13" s="1"/>
  <c r="E40" i="16"/>
  <c r="E40" i="12" s="1"/>
  <c r="E51" i="16"/>
  <c r="E51" i="12" s="1"/>
  <c r="E150" i="16"/>
  <c r="E150" i="12" s="1"/>
  <c r="E168" i="6"/>
  <c r="D7" i="16"/>
  <c r="D7" i="12" s="1"/>
  <c r="D106" i="16"/>
  <c r="D106" i="12" s="1"/>
  <c r="D139" i="16"/>
  <c r="D139" i="12" s="1"/>
  <c r="D85" i="16"/>
  <c r="D85" i="12" s="1"/>
  <c r="D118" i="16"/>
  <c r="D118" i="12" s="1"/>
  <c r="D151" i="16"/>
  <c r="D151" i="12" s="1"/>
  <c r="E41" i="17"/>
  <c r="E41" i="13" s="1"/>
  <c r="E85" i="17"/>
  <c r="E85" i="13" s="1"/>
  <c r="E139" i="16"/>
  <c r="E139" i="12" s="1"/>
  <c r="E29" i="16"/>
  <c r="E29" i="12" s="1"/>
  <c r="E73" i="16"/>
  <c r="E73" i="12" s="1"/>
  <c r="D29" i="16"/>
  <c r="D29" i="12" s="1"/>
  <c r="D84" i="16"/>
  <c r="D84" i="12" s="1"/>
  <c r="D117" i="16"/>
  <c r="D117" i="12" s="1"/>
  <c r="D63" i="16"/>
  <c r="D63" i="12" s="1"/>
  <c r="D30" i="16"/>
  <c r="D30" i="12" s="1"/>
  <c r="D52" i="16"/>
  <c r="D164" i="6"/>
  <c r="D168" i="6"/>
  <c r="D52" i="18"/>
  <c r="D52" i="6" s="1"/>
  <c r="D63" i="18"/>
  <c r="D63" i="6" s="1"/>
  <c r="E151" i="17"/>
  <c r="E151" i="13" s="1"/>
  <c r="E128" i="16"/>
  <c r="E62" i="16"/>
  <c r="E62" i="12" s="1"/>
  <c r="E117" i="16"/>
  <c r="E117" i="12" s="1"/>
  <c r="E164" i="13"/>
  <c r="D150" i="16"/>
  <c r="D150" i="12" s="1"/>
  <c r="D73" i="16"/>
  <c r="D73" i="12" s="1"/>
  <c r="D51" i="16"/>
  <c r="D51" i="12" s="1"/>
  <c r="D8" i="16"/>
  <c r="D8" i="12" s="1"/>
  <c r="D140" i="16"/>
  <c r="D140" i="12" s="1"/>
  <c r="D74" i="16"/>
  <c r="D74" i="12" s="1"/>
  <c r="E156" i="6"/>
  <c r="E134" i="6"/>
  <c r="E168" i="12"/>
  <c r="E168" i="13"/>
  <c r="D164" i="13"/>
  <c r="E164" i="6"/>
  <c r="E107" i="17"/>
  <c r="E107" i="13" s="1"/>
  <c r="E30" i="17"/>
  <c r="E30" i="13" s="1"/>
  <c r="E8" i="17"/>
  <c r="E8" i="13" s="1"/>
  <c r="E7" i="16"/>
  <c r="E7" i="12" s="1"/>
  <c r="E106" i="16"/>
  <c r="E106" i="12" s="1"/>
  <c r="E84" i="16"/>
  <c r="E84" i="12" s="1"/>
  <c r="E140" i="18"/>
  <c r="E140" i="6" s="1"/>
  <c r="E137" i="6"/>
  <c r="D164" i="12"/>
  <c r="D156" i="6"/>
  <c r="D134" i="6"/>
  <c r="D128" i="18"/>
  <c r="D117" i="18"/>
  <c r="D117" i="6" s="1"/>
  <c r="D115" i="6"/>
  <c r="N172" i="11"/>
  <c r="C135" i="17"/>
  <c r="C135" i="13" s="1"/>
  <c r="C80" i="17"/>
  <c r="C80" i="13" s="1"/>
  <c r="C36" i="17"/>
  <c r="C36" i="13" s="1"/>
  <c r="C102" i="17"/>
  <c r="C102" i="13" s="1"/>
  <c r="C47" i="17"/>
  <c r="C47" i="13" s="1"/>
  <c r="C69" i="17"/>
  <c r="C69" i="13" s="1"/>
  <c r="C146" i="17"/>
  <c r="C146" i="13" s="1"/>
  <c r="C157" i="17"/>
  <c r="C157" i="13" s="1"/>
  <c r="C14" i="17"/>
  <c r="C14" i="13" s="1"/>
  <c r="C58" i="17"/>
  <c r="C58" i="13" s="1"/>
  <c r="C124" i="17"/>
  <c r="C124" i="13" s="1"/>
  <c r="C91" i="17"/>
  <c r="C91" i="13" s="1"/>
  <c r="C25" i="17"/>
  <c r="C25" i="13" s="1"/>
  <c r="C113" i="17"/>
  <c r="C113" i="13" s="1"/>
  <c r="N179" i="11"/>
  <c r="C113" i="18"/>
  <c r="C113" i="6" s="1"/>
  <c r="C80" i="18"/>
  <c r="C80" i="6" s="1"/>
  <c r="C69" i="18"/>
  <c r="C69" i="6" s="1"/>
  <c r="C135" i="18"/>
  <c r="C135" i="6" s="1"/>
  <c r="C157" i="18"/>
  <c r="C157" i="6" s="1"/>
  <c r="C14" i="18"/>
  <c r="C14" i="6" s="1"/>
  <c r="C102" i="18"/>
  <c r="C102" i="6" s="1"/>
  <c r="C25" i="18"/>
  <c r="C25" i="6" s="1"/>
  <c r="C91" i="18"/>
  <c r="C91" i="6" s="1"/>
  <c r="C58" i="18"/>
  <c r="C58" i="6" s="1"/>
  <c r="C36" i="18"/>
  <c r="C36" i="6" s="1"/>
  <c r="C146" i="18"/>
  <c r="C146" i="6" s="1"/>
  <c r="C124" i="18"/>
  <c r="C124" i="6" s="1"/>
  <c r="C47" i="18"/>
  <c r="C47" i="6" s="1"/>
  <c r="N179" i="9"/>
  <c r="C145" i="18"/>
  <c r="C145" i="6" s="1"/>
  <c r="C46" i="18"/>
  <c r="C46" i="6" s="1"/>
  <c r="C101" i="18"/>
  <c r="C101" i="6" s="1"/>
  <c r="C112" i="18"/>
  <c r="C112" i="6" s="1"/>
  <c r="C90" i="18"/>
  <c r="C90" i="6" s="1"/>
  <c r="C13" i="18"/>
  <c r="C13" i="6" s="1"/>
  <c r="C79" i="18"/>
  <c r="C79" i="6" s="1"/>
  <c r="C134" i="18"/>
  <c r="C156" i="18"/>
  <c r="C35" i="18"/>
  <c r="C35" i="6" s="1"/>
  <c r="C57" i="18"/>
  <c r="C57" i="6" s="1"/>
  <c r="C123" i="18"/>
  <c r="C123" i="6" s="1"/>
  <c r="C68" i="18"/>
  <c r="C68" i="6" s="1"/>
  <c r="N178" i="9"/>
  <c r="N173" i="10"/>
  <c r="C116" i="16"/>
  <c r="C116" i="12" s="1"/>
  <c r="C127" i="16"/>
  <c r="C28" i="16"/>
  <c r="C28" i="12" s="1"/>
  <c r="C138" i="16"/>
  <c r="C138" i="12" s="1"/>
  <c r="C6" i="16"/>
  <c r="C6" i="12" s="1"/>
  <c r="C105" i="16"/>
  <c r="C105" i="12" s="1"/>
  <c r="C72" i="16"/>
  <c r="C72" i="12" s="1"/>
  <c r="C50" i="16"/>
  <c r="C50" i="12" s="1"/>
  <c r="C61" i="16"/>
  <c r="C61" i="12" s="1"/>
  <c r="C149" i="16"/>
  <c r="C149" i="12" s="1"/>
  <c r="C39" i="16"/>
  <c r="C39" i="12" s="1"/>
  <c r="C83" i="16"/>
  <c r="C83" i="12" s="1"/>
  <c r="N171" i="10"/>
  <c r="C105" i="17"/>
  <c r="C105" i="13" s="1"/>
  <c r="C149" i="17"/>
  <c r="C149" i="13" s="1"/>
  <c r="C6" i="17"/>
  <c r="C6" i="13" s="1"/>
  <c r="C28" i="17"/>
  <c r="C28" i="13" s="1"/>
  <c r="C127" i="17"/>
  <c r="C50" i="17"/>
  <c r="C50" i="13" s="1"/>
  <c r="C39" i="17"/>
  <c r="C39" i="13" s="1"/>
  <c r="C72" i="17"/>
  <c r="C72" i="13" s="1"/>
  <c r="C138" i="17"/>
  <c r="C138" i="13" s="1"/>
  <c r="C61" i="17"/>
  <c r="C61" i="13" s="1"/>
  <c r="C116" i="17"/>
  <c r="C116" i="13" s="1"/>
  <c r="C83" i="17"/>
  <c r="C83" i="13" s="1"/>
  <c r="N171" i="11"/>
  <c r="C145" i="17"/>
  <c r="C145" i="13" s="1"/>
  <c r="C112" i="17"/>
  <c r="C112" i="13" s="1"/>
  <c r="C123" i="17"/>
  <c r="C123" i="13" s="1"/>
  <c r="C35" i="17"/>
  <c r="C35" i="13" s="1"/>
  <c r="C134" i="17"/>
  <c r="C134" i="13" s="1"/>
  <c r="C46" i="17"/>
  <c r="C46" i="13" s="1"/>
  <c r="C13" i="17"/>
  <c r="C13" i="13" s="1"/>
  <c r="C101" i="17"/>
  <c r="C101" i="13" s="1"/>
  <c r="C156" i="17"/>
  <c r="C156" i="13" s="1"/>
  <c r="C90" i="17"/>
  <c r="C90" i="13" s="1"/>
  <c r="C57" i="17"/>
  <c r="C57" i="13" s="1"/>
  <c r="C79" i="17"/>
  <c r="C79" i="13" s="1"/>
  <c r="C68" i="17"/>
  <c r="C68" i="13" s="1"/>
  <c r="N178" i="11"/>
  <c r="C148" i="17"/>
  <c r="C148" i="13" s="1"/>
  <c r="C126" i="17"/>
  <c r="C38" i="17"/>
  <c r="C38" i="13" s="1"/>
  <c r="C115" i="17"/>
  <c r="C115" i="13" s="1"/>
  <c r="C82" i="17"/>
  <c r="C82" i="13" s="1"/>
  <c r="C60" i="17"/>
  <c r="C60" i="13" s="1"/>
  <c r="C137" i="17"/>
  <c r="C137" i="13" s="1"/>
  <c r="C27" i="17"/>
  <c r="C27" i="13" s="1"/>
  <c r="C104" i="17"/>
  <c r="C104" i="13" s="1"/>
  <c r="C5" i="17"/>
  <c r="C5" i="13" s="1"/>
  <c r="C49" i="17"/>
  <c r="C49" i="13" s="1"/>
  <c r="C71" i="17"/>
  <c r="C71" i="13" s="1"/>
  <c r="N170" i="11"/>
  <c r="C72" i="18"/>
  <c r="C72" i="6" s="1"/>
  <c r="C6" i="18"/>
  <c r="C6" i="6" s="1"/>
  <c r="C127" i="18"/>
  <c r="C28" i="18"/>
  <c r="C28" i="6" s="1"/>
  <c r="C149" i="18"/>
  <c r="C149" i="6" s="1"/>
  <c r="C83" i="18"/>
  <c r="C83" i="6" s="1"/>
  <c r="C138" i="18"/>
  <c r="C138" i="6" s="1"/>
  <c r="C116" i="18"/>
  <c r="C116" i="6" s="1"/>
  <c r="C61" i="18"/>
  <c r="C61" i="6" s="1"/>
  <c r="C50" i="18"/>
  <c r="C50" i="6" s="1"/>
  <c r="C105" i="18"/>
  <c r="C105" i="6" s="1"/>
  <c r="C39" i="18"/>
  <c r="C39" i="6" s="1"/>
  <c r="N171" i="9"/>
  <c r="N173" i="9"/>
  <c r="C76" i="16"/>
  <c r="C76" i="12" s="1"/>
  <c r="C98" i="16"/>
  <c r="C98" i="12" s="1"/>
  <c r="C21" i="16"/>
  <c r="C21" i="12" s="1"/>
  <c r="C153" i="16"/>
  <c r="C153" i="12" s="1"/>
  <c r="C131" i="16"/>
  <c r="C131" i="12" s="1"/>
  <c r="C120" i="16"/>
  <c r="C120" i="12" s="1"/>
  <c r="C109" i="16"/>
  <c r="C109" i="12" s="1"/>
  <c r="C10" i="16"/>
  <c r="C10" i="12" s="1"/>
  <c r="C32" i="16"/>
  <c r="C32" i="12" s="1"/>
  <c r="C54" i="16"/>
  <c r="C54" i="12" s="1"/>
  <c r="C43" i="16"/>
  <c r="C43" i="12" s="1"/>
  <c r="C142" i="16"/>
  <c r="C142" i="12" s="1"/>
  <c r="C65" i="16"/>
  <c r="C65" i="12" s="1"/>
  <c r="C87" i="16"/>
  <c r="C87" i="12" s="1"/>
  <c r="N175" i="10"/>
  <c r="N176" i="9"/>
  <c r="C88" i="18"/>
  <c r="C88" i="6" s="1"/>
  <c r="C154" i="18"/>
  <c r="C154" i="6" s="1"/>
  <c r="C11" i="18"/>
  <c r="C11" i="6" s="1"/>
  <c r="C110" i="18"/>
  <c r="C110" i="6" s="1"/>
  <c r="C33" i="18"/>
  <c r="C33" i="6" s="1"/>
  <c r="C121" i="18"/>
  <c r="C121" i="6" s="1"/>
  <c r="C143" i="18"/>
  <c r="C143" i="6" s="1"/>
  <c r="C66" i="18"/>
  <c r="C66" i="6" s="1"/>
  <c r="C44" i="18"/>
  <c r="C44" i="6" s="1"/>
  <c r="C77" i="18"/>
  <c r="C77" i="6" s="1"/>
  <c r="C55" i="18"/>
  <c r="C55" i="6" s="1"/>
  <c r="N173" i="11"/>
  <c r="C32" i="17"/>
  <c r="C32" i="13" s="1"/>
  <c r="C153" i="17"/>
  <c r="C153" i="13" s="1"/>
  <c r="C54" i="17"/>
  <c r="C54" i="13" s="1"/>
  <c r="C120" i="17"/>
  <c r="C120" i="13" s="1"/>
  <c r="C10" i="17"/>
  <c r="C10" i="13" s="1"/>
  <c r="C98" i="17"/>
  <c r="C98" i="13" s="1"/>
  <c r="C131" i="17"/>
  <c r="C131" i="13" s="1"/>
  <c r="C43" i="17"/>
  <c r="C43" i="13" s="1"/>
  <c r="C65" i="17"/>
  <c r="C65" i="13" s="1"/>
  <c r="C87" i="17"/>
  <c r="C87" i="13" s="1"/>
  <c r="C142" i="17"/>
  <c r="C142" i="13" s="1"/>
  <c r="C76" i="17"/>
  <c r="C76" i="13" s="1"/>
  <c r="C109" i="17"/>
  <c r="C109" i="13" s="1"/>
  <c r="C21" i="17"/>
  <c r="C21" i="13" s="1"/>
  <c r="N175" i="11"/>
  <c r="C82" i="18"/>
  <c r="C148" i="18"/>
  <c r="C148" i="6" s="1"/>
  <c r="C5" i="18"/>
  <c r="C5" i="6" s="1"/>
  <c r="C38" i="18"/>
  <c r="C38" i="6" s="1"/>
  <c r="C71" i="18"/>
  <c r="C71" i="6" s="1"/>
  <c r="C104" i="18"/>
  <c r="C104" i="6" s="1"/>
  <c r="C27" i="18"/>
  <c r="C27" i="6" s="1"/>
  <c r="C60" i="18"/>
  <c r="C60" i="6" s="1"/>
  <c r="C137" i="18"/>
  <c r="C137" i="6" s="1"/>
  <c r="C115" i="18"/>
  <c r="C115" i="6" s="1"/>
  <c r="C49" i="18"/>
  <c r="C49" i="6" s="1"/>
  <c r="C126" i="18"/>
  <c r="N170" i="9"/>
  <c r="N172" i="9"/>
  <c r="C38" i="16"/>
  <c r="C38" i="12" s="1"/>
  <c r="C126" i="16"/>
  <c r="C148" i="16"/>
  <c r="C148" i="12" s="1"/>
  <c r="C104" i="16"/>
  <c r="C104" i="12" s="1"/>
  <c r="C82" i="16"/>
  <c r="C82" i="12" s="1"/>
  <c r="C27" i="16"/>
  <c r="C27" i="12" s="1"/>
  <c r="C5" i="16"/>
  <c r="C5" i="12" s="1"/>
  <c r="C137" i="16"/>
  <c r="C137" i="12" s="1"/>
  <c r="C71" i="16"/>
  <c r="C71" i="12" s="1"/>
  <c r="C49" i="16"/>
  <c r="C49" i="12" s="1"/>
  <c r="C115" i="16"/>
  <c r="C115" i="12" s="1"/>
  <c r="C60" i="16"/>
  <c r="C60" i="12" s="1"/>
  <c r="N170" i="10"/>
  <c r="C152" i="16"/>
  <c r="C119" i="16"/>
  <c r="C9" i="16"/>
  <c r="C20" i="16"/>
  <c r="C86" i="16"/>
  <c r="C75" i="16"/>
  <c r="C97" i="16"/>
  <c r="C42" i="16"/>
  <c r="C64" i="16"/>
  <c r="C31" i="16"/>
  <c r="C130" i="16"/>
  <c r="C108" i="16"/>
  <c r="C141" i="16"/>
  <c r="C53" i="16"/>
  <c r="N174" i="10"/>
  <c r="C132" i="16"/>
  <c r="N176" i="10"/>
  <c r="C154" i="16"/>
  <c r="C154" i="12" s="1"/>
  <c r="C121" i="16"/>
  <c r="C121" i="12" s="1"/>
  <c r="C55" i="16"/>
  <c r="C55" i="12" s="1"/>
  <c r="C88" i="16"/>
  <c r="C88" i="12" s="1"/>
  <c r="C110" i="16"/>
  <c r="C110" i="12" s="1"/>
  <c r="C33" i="16"/>
  <c r="C33" i="12" s="1"/>
  <c r="C44" i="16"/>
  <c r="C44" i="12" s="1"/>
  <c r="C11" i="16"/>
  <c r="C11" i="12" s="1"/>
  <c r="C66" i="16"/>
  <c r="C66" i="12" s="1"/>
  <c r="C77" i="16"/>
  <c r="C77" i="12" s="1"/>
  <c r="C143" i="16"/>
  <c r="C143" i="12" s="1"/>
  <c r="C152" i="17"/>
  <c r="C108" i="17"/>
  <c r="C42" i="17"/>
  <c r="C31" i="17"/>
  <c r="C86" i="17"/>
  <c r="C119" i="17"/>
  <c r="C75" i="17"/>
  <c r="C9" i="17"/>
  <c r="C130" i="17"/>
  <c r="C64" i="17"/>
  <c r="C53" i="17"/>
  <c r="C20" i="17"/>
  <c r="C141" i="17"/>
  <c r="C97" i="17"/>
  <c r="N174" i="11"/>
  <c r="C54" i="18"/>
  <c r="C54" i="6" s="1"/>
  <c r="C153" i="18"/>
  <c r="C153" i="6" s="1"/>
  <c r="C98" i="18"/>
  <c r="C98" i="6" s="1"/>
  <c r="C10" i="18"/>
  <c r="C10" i="6" s="1"/>
  <c r="C76" i="18"/>
  <c r="C76" i="6" s="1"/>
  <c r="C43" i="18"/>
  <c r="C43" i="6" s="1"/>
  <c r="C142" i="18"/>
  <c r="C142" i="6" s="1"/>
  <c r="C131" i="18"/>
  <c r="C131" i="6" s="1"/>
  <c r="C21" i="18"/>
  <c r="C21" i="6" s="1"/>
  <c r="C87" i="18"/>
  <c r="C87" i="6" s="1"/>
  <c r="C120" i="18"/>
  <c r="C120" i="6" s="1"/>
  <c r="C109" i="18"/>
  <c r="C109" i="6" s="1"/>
  <c r="C32" i="18"/>
  <c r="C32" i="6" s="1"/>
  <c r="C65" i="18"/>
  <c r="C65" i="6" s="1"/>
  <c r="N175" i="9"/>
  <c r="C9" i="18"/>
  <c r="C64" i="18"/>
  <c r="C86" i="18"/>
  <c r="C31" i="18"/>
  <c r="C20" i="18"/>
  <c r="C152" i="18"/>
  <c r="C119" i="18"/>
  <c r="C130" i="18"/>
  <c r="C53" i="18"/>
  <c r="C97" i="18"/>
  <c r="C141" i="18"/>
  <c r="C75" i="18"/>
  <c r="C108" i="18"/>
  <c r="C42" i="18"/>
  <c r="N174" i="9"/>
  <c r="N172" i="10"/>
  <c r="C58" i="16"/>
  <c r="C58" i="12" s="1"/>
  <c r="C14" i="16"/>
  <c r="C14" i="12" s="1"/>
  <c r="C135" i="16"/>
  <c r="C135" i="12" s="1"/>
  <c r="C80" i="16"/>
  <c r="C80" i="12" s="1"/>
  <c r="C113" i="16"/>
  <c r="C113" i="12" s="1"/>
  <c r="C124" i="16"/>
  <c r="C124" i="12" s="1"/>
  <c r="C157" i="16"/>
  <c r="C157" i="12" s="1"/>
  <c r="C146" i="16"/>
  <c r="C146" i="12" s="1"/>
  <c r="C47" i="16"/>
  <c r="C47" i="12" s="1"/>
  <c r="C25" i="16"/>
  <c r="C25" i="12" s="1"/>
  <c r="C102" i="16"/>
  <c r="C102" i="12" s="1"/>
  <c r="C91" i="16"/>
  <c r="C91" i="12" s="1"/>
  <c r="C36" i="16"/>
  <c r="C36" i="12" s="1"/>
  <c r="C69" i="16"/>
  <c r="C69" i="12" s="1"/>
  <c r="N179" i="10"/>
  <c r="N176" i="11"/>
  <c r="C132" i="17"/>
  <c r="C121" i="17"/>
  <c r="C121" i="13" s="1"/>
  <c r="C33" i="17"/>
  <c r="C33" i="13" s="1"/>
  <c r="C55" i="17"/>
  <c r="C55" i="13" s="1"/>
  <c r="C11" i="17"/>
  <c r="C11" i="13" s="1"/>
  <c r="C110" i="17"/>
  <c r="C110" i="13" s="1"/>
  <c r="C143" i="17"/>
  <c r="C143" i="13" s="1"/>
  <c r="C88" i="17"/>
  <c r="C88" i="13" s="1"/>
  <c r="C77" i="17"/>
  <c r="C77" i="13" s="1"/>
  <c r="C44" i="17"/>
  <c r="C44" i="13" s="1"/>
  <c r="C154" i="17"/>
  <c r="C154" i="13" s="1"/>
  <c r="C66" i="17"/>
  <c r="C66" i="13" s="1"/>
  <c r="E129" i="13" l="1"/>
  <c r="K11" i="18"/>
  <c r="K11" i="6" s="1"/>
  <c r="K33" i="18"/>
  <c r="K33" i="6" s="1"/>
  <c r="K77" i="18"/>
  <c r="K77" i="6" s="1"/>
  <c r="K121" i="18"/>
  <c r="K121" i="6" s="1"/>
  <c r="K132" i="16"/>
  <c r="K143" i="18"/>
  <c r="K143" i="6" s="1"/>
  <c r="K55" i="18"/>
  <c r="K55" i="6" s="1"/>
  <c r="K66" i="18"/>
  <c r="K66" i="6" s="1"/>
  <c r="K154" i="18"/>
  <c r="K154" i="6" s="1"/>
  <c r="K110" i="18"/>
  <c r="K110" i="6" s="1"/>
  <c r="K44" i="18"/>
  <c r="K44" i="6" s="1"/>
  <c r="K88" i="18"/>
  <c r="K88" i="6" s="1"/>
  <c r="K143" i="16"/>
  <c r="K143" i="12" s="1"/>
  <c r="K121" i="16"/>
  <c r="K121" i="12" s="1"/>
  <c r="K77" i="16"/>
  <c r="K77" i="12" s="1"/>
  <c r="K55" i="16"/>
  <c r="K55" i="12" s="1"/>
  <c r="K110" i="16"/>
  <c r="K110" i="12" s="1"/>
  <c r="K66" i="16"/>
  <c r="K66" i="12" s="1"/>
  <c r="K11" i="16"/>
  <c r="K11" i="12" s="1"/>
  <c r="K88" i="16"/>
  <c r="K88" i="12" s="1"/>
  <c r="K154" i="16"/>
  <c r="K154" i="12" s="1"/>
  <c r="K44" i="16"/>
  <c r="K44" i="12" s="1"/>
  <c r="K33" i="16"/>
  <c r="K33" i="12" s="1"/>
  <c r="K154" i="17"/>
  <c r="K154" i="13" s="1"/>
  <c r="K143" i="17"/>
  <c r="K143" i="13" s="1"/>
  <c r="K121" i="17"/>
  <c r="K121" i="13" s="1"/>
  <c r="K88" i="17"/>
  <c r="K88" i="13" s="1"/>
  <c r="K44" i="17"/>
  <c r="K44" i="13" s="1"/>
  <c r="K110" i="17"/>
  <c r="K110" i="13" s="1"/>
  <c r="K55" i="17"/>
  <c r="K55" i="13" s="1"/>
  <c r="K77" i="17"/>
  <c r="K77" i="13" s="1"/>
  <c r="K11" i="17"/>
  <c r="K11" i="13" s="1"/>
  <c r="K66" i="17"/>
  <c r="K66" i="13" s="1"/>
  <c r="K33" i="17"/>
  <c r="K33" i="13" s="1"/>
  <c r="E129" i="12"/>
  <c r="E64" i="6"/>
  <c r="E59" i="6" s="1"/>
  <c r="D127" i="6"/>
  <c r="E52" i="12"/>
  <c r="E75" i="13"/>
  <c r="D42" i="6"/>
  <c r="D37" i="6" s="1"/>
  <c r="G125" i="6"/>
  <c r="D53" i="6"/>
  <c r="D48" i="6" s="1"/>
  <c r="D133" i="13"/>
  <c r="D127" i="13"/>
  <c r="D126" i="13"/>
  <c r="D128" i="13"/>
  <c r="D129" i="13"/>
  <c r="D132" i="13"/>
  <c r="E64" i="13"/>
  <c r="E86" i="6"/>
  <c r="E81" i="6" s="1"/>
  <c r="F125" i="6"/>
  <c r="D31" i="6"/>
  <c r="D26" i="6" s="1"/>
  <c r="E119" i="13"/>
  <c r="D108" i="6"/>
  <c r="D103" i="6" s="1"/>
  <c r="E152" i="6"/>
  <c r="E147" i="6" s="1"/>
  <c r="E31" i="13"/>
  <c r="D119" i="6"/>
  <c r="D114" i="6" s="1"/>
  <c r="E75" i="6"/>
  <c r="E70" i="6" s="1"/>
  <c r="E126" i="6"/>
  <c r="D152" i="13"/>
  <c r="D53" i="13"/>
  <c r="D64" i="6"/>
  <c r="D59" i="6" s="1"/>
  <c r="D9" i="13"/>
  <c r="D141" i="13"/>
  <c r="E152" i="13"/>
  <c r="E133" i="6"/>
  <c r="E31" i="6"/>
  <c r="E26" i="6" s="1"/>
  <c r="D42" i="13"/>
  <c r="E119" i="6"/>
  <c r="E114" i="6" s="1"/>
  <c r="C117" i="16"/>
  <c r="C117" i="12" s="1"/>
  <c r="D119" i="13"/>
  <c r="E42" i="6"/>
  <c r="E37" i="6" s="1"/>
  <c r="E129" i="6"/>
  <c r="C106" i="16"/>
  <c r="C106" i="12" s="1"/>
  <c r="E132" i="6"/>
  <c r="E53" i="13"/>
  <c r="E128" i="6"/>
  <c r="E127" i="6"/>
  <c r="E42" i="13"/>
  <c r="D86" i="6"/>
  <c r="D81" i="6" s="1"/>
  <c r="D75" i="6"/>
  <c r="D70" i="6" s="1"/>
  <c r="D64" i="13"/>
  <c r="C129" i="16"/>
  <c r="D75" i="13"/>
  <c r="E141" i="12"/>
  <c r="E127" i="13"/>
  <c r="C40" i="16"/>
  <c r="C40" i="12" s="1"/>
  <c r="C7" i="16"/>
  <c r="C7" i="12" s="1"/>
  <c r="C129" i="18"/>
  <c r="E133" i="13"/>
  <c r="E42" i="12"/>
  <c r="E132" i="13"/>
  <c r="D108" i="13"/>
  <c r="D132" i="12"/>
  <c r="E9" i="6"/>
  <c r="E4" i="6" s="1"/>
  <c r="F130" i="13"/>
  <c r="C118" i="17"/>
  <c r="C118" i="13" s="1"/>
  <c r="D133" i="12"/>
  <c r="E108" i="13"/>
  <c r="D129" i="12"/>
  <c r="D9" i="6"/>
  <c r="D4" i="6" s="1"/>
  <c r="C29" i="16"/>
  <c r="C29" i="12" s="1"/>
  <c r="D126" i="12"/>
  <c r="D141" i="6"/>
  <c r="D136" i="6" s="1"/>
  <c r="E108" i="6"/>
  <c r="E103" i="6" s="1"/>
  <c r="D31" i="13"/>
  <c r="E52" i="6"/>
  <c r="E141" i="13"/>
  <c r="D86" i="13"/>
  <c r="C150" i="16"/>
  <c r="C150" i="12" s="1"/>
  <c r="C129" i="17"/>
  <c r="E64" i="12"/>
  <c r="C139" i="16"/>
  <c r="C139" i="12" s="1"/>
  <c r="C84" i="16"/>
  <c r="C84" i="12" s="1"/>
  <c r="C52" i="17"/>
  <c r="C52" i="13" s="1"/>
  <c r="E152" i="12"/>
  <c r="E86" i="13"/>
  <c r="C140" i="17"/>
  <c r="C140" i="13" s="1"/>
  <c r="C62" i="16"/>
  <c r="C62" i="12" s="1"/>
  <c r="C74" i="17"/>
  <c r="C74" i="13" s="1"/>
  <c r="C30" i="17"/>
  <c r="C30" i="13" s="1"/>
  <c r="D64" i="12"/>
  <c r="D152" i="6"/>
  <c r="D147" i="6" s="1"/>
  <c r="C51" i="18"/>
  <c r="C51" i="6" s="1"/>
  <c r="C85" i="17"/>
  <c r="C85" i="13" s="1"/>
  <c r="C107" i="17"/>
  <c r="C107" i="13" s="1"/>
  <c r="C151" i="17"/>
  <c r="C151" i="13" s="1"/>
  <c r="E127" i="12"/>
  <c r="C51" i="16"/>
  <c r="C51" i="12" s="1"/>
  <c r="C7" i="18"/>
  <c r="C7" i="6" s="1"/>
  <c r="C84" i="18"/>
  <c r="C84" i="6" s="1"/>
  <c r="D52" i="12"/>
  <c r="C128" i="16"/>
  <c r="C128" i="12" s="1"/>
  <c r="C73" i="16"/>
  <c r="C73" i="12" s="1"/>
  <c r="C139" i="18"/>
  <c r="C139" i="6" s="1"/>
  <c r="C41" i="17"/>
  <c r="C41" i="13" s="1"/>
  <c r="C63" i="17"/>
  <c r="C63" i="13" s="1"/>
  <c r="E31" i="12"/>
  <c r="C106" i="18"/>
  <c r="C106" i="6" s="1"/>
  <c r="C73" i="18"/>
  <c r="C73" i="6" s="1"/>
  <c r="C8" i="17"/>
  <c r="C8" i="13" s="1"/>
  <c r="C29" i="18"/>
  <c r="C29" i="6" s="1"/>
  <c r="E75" i="12"/>
  <c r="D9" i="12"/>
  <c r="D126" i="6"/>
  <c r="F130" i="12"/>
  <c r="F53" i="12"/>
  <c r="C62" i="18"/>
  <c r="C62" i="6" s="1"/>
  <c r="C40" i="18"/>
  <c r="C40" i="6" s="1"/>
  <c r="C150" i="18"/>
  <c r="C150" i="6" s="1"/>
  <c r="D152" i="12"/>
  <c r="E86" i="12"/>
  <c r="D119" i="12"/>
  <c r="E9" i="12"/>
  <c r="E119" i="12"/>
  <c r="E141" i="6"/>
  <c r="E136" i="6" s="1"/>
  <c r="D127" i="12"/>
  <c r="D108" i="12"/>
  <c r="C117" i="18"/>
  <c r="C117" i="6" s="1"/>
  <c r="E128" i="12"/>
  <c r="E133" i="12"/>
  <c r="D31" i="12"/>
  <c r="E108" i="12"/>
  <c r="E132" i="12"/>
  <c r="D129" i="6"/>
  <c r="D42" i="12"/>
  <c r="E9" i="13"/>
  <c r="D141" i="12"/>
  <c r="D75" i="12"/>
  <c r="D86" i="12"/>
  <c r="E126" i="13"/>
  <c r="E126" i="12"/>
  <c r="D128" i="6"/>
  <c r="D133" i="6"/>
  <c r="D132" i="6"/>
  <c r="C164" i="6"/>
  <c r="C164" i="12"/>
  <c r="C74" i="18"/>
  <c r="C74" i="6" s="1"/>
  <c r="C30" i="18"/>
  <c r="C30" i="6" s="1"/>
  <c r="C118" i="16"/>
  <c r="C118" i="12" s="1"/>
  <c r="C140" i="16"/>
  <c r="C140" i="12" s="1"/>
  <c r="C156" i="6"/>
  <c r="C134" i="6"/>
  <c r="C29" i="17"/>
  <c r="C29" i="13" s="1"/>
  <c r="C84" i="17"/>
  <c r="C84" i="13" s="1"/>
  <c r="C139" i="17"/>
  <c r="C139" i="13" s="1"/>
  <c r="C168" i="12"/>
  <c r="C85" i="18"/>
  <c r="C85" i="6" s="1"/>
  <c r="C82" i="6"/>
  <c r="C151" i="18"/>
  <c r="C151" i="6" s="1"/>
  <c r="C41" i="18"/>
  <c r="C41" i="6" s="1"/>
  <c r="C140" i="18"/>
  <c r="C140" i="6" s="1"/>
  <c r="C151" i="16"/>
  <c r="C151" i="12" s="1"/>
  <c r="C107" i="16"/>
  <c r="C107" i="12" s="1"/>
  <c r="C30" i="16"/>
  <c r="C30" i="12" s="1"/>
  <c r="C40" i="17"/>
  <c r="C40" i="13" s="1"/>
  <c r="C73" i="17"/>
  <c r="C73" i="13" s="1"/>
  <c r="C150" i="17"/>
  <c r="C150" i="13" s="1"/>
  <c r="C128" i="18"/>
  <c r="C118" i="18"/>
  <c r="C118" i="6" s="1"/>
  <c r="C8" i="18"/>
  <c r="C8" i="6" s="1"/>
  <c r="C85" i="16"/>
  <c r="C85" i="12" s="1"/>
  <c r="C52" i="16"/>
  <c r="C8" i="16"/>
  <c r="C8" i="12" s="1"/>
  <c r="C168" i="6"/>
  <c r="C168" i="13"/>
  <c r="C117" i="17"/>
  <c r="C117" i="13" s="1"/>
  <c r="C106" i="17"/>
  <c r="C106" i="13" s="1"/>
  <c r="C128" i="17"/>
  <c r="C164" i="13"/>
  <c r="C52" i="18"/>
  <c r="C63" i="18"/>
  <c r="C63" i="6" s="1"/>
  <c r="C107" i="18"/>
  <c r="C107" i="6" s="1"/>
  <c r="C74" i="16"/>
  <c r="C74" i="12" s="1"/>
  <c r="C41" i="16"/>
  <c r="C41" i="12" s="1"/>
  <c r="C63" i="16"/>
  <c r="C63" i="12" s="1"/>
  <c r="C62" i="17"/>
  <c r="C62" i="13" s="1"/>
  <c r="C7" i="17"/>
  <c r="C7" i="13" s="1"/>
  <c r="C51" i="17"/>
  <c r="C51" i="13" s="1"/>
  <c r="E53" i="12" l="1"/>
  <c r="D130" i="12"/>
  <c r="E130" i="13"/>
  <c r="K167" i="18"/>
  <c r="K57" i="18" s="1"/>
  <c r="K57" i="6" s="1"/>
  <c r="K159" i="18"/>
  <c r="K49" i="18" s="1"/>
  <c r="K163" i="18"/>
  <c r="K108" i="18" s="1"/>
  <c r="K161" i="18"/>
  <c r="K162" i="18"/>
  <c r="K160" i="18"/>
  <c r="K50" i="18" s="1"/>
  <c r="K50" i="6" s="1"/>
  <c r="K164" i="18"/>
  <c r="K43" i="18" s="1"/>
  <c r="K43" i="6" s="1"/>
  <c r="K168" i="18"/>
  <c r="K102" i="18" s="1"/>
  <c r="K102" i="6" s="1"/>
  <c r="K25" i="16"/>
  <c r="K25" i="12" s="1"/>
  <c r="K61" i="16"/>
  <c r="K61" i="12" s="1"/>
  <c r="K75" i="16"/>
  <c r="K6" i="16"/>
  <c r="K6" i="12" s="1"/>
  <c r="K124" i="16"/>
  <c r="K124" i="12" s="1"/>
  <c r="K50" i="16"/>
  <c r="K50" i="12" s="1"/>
  <c r="K47" i="16"/>
  <c r="K47" i="12" s="1"/>
  <c r="K138" i="16"/>
  <c r="K138" i="12" s="1"/>
  <c r="K9" i="16"/>
  <c r="K135" i="16"/>
  <c r="K135" i="12" s="1"/>
  <c r="K28" i="16"/>
  <c r="K28" i="12" s="1"/>
  <c r="K116" i="16"/>
  <c r="K116" i="12" s="1"/>
  <c r="K82" i="16"/>
  <c r="K82" i="12" s="1"/>
  <c r="K105" i="16"/>
  <c r="K105" i="12" s="1"/>
  <c r="K108" i="16"/>
  <c r="K65" i="16"/>
  <c r="K65" i="12" s="1"/>
  <c r="K36" i="16"/>
  <c r="K36" i="12" s="1"/>
  <c r="K97" i="17"/>
  <c r="K120" i="17"/>
  <c r="K120" i="13" s="1"/>
  <c r="K82" i="17"/>
  <c r="K112" i="17"/>
  <c r="K112" i="13" s="1"/>
  <c r="K135" i="17"/>
  <c r="K135" i="13" s="1"/>
  <c r="K116" i="17"/>
  <c r="K116" i="13" s="1"/>
  <c r="C64" i="6"/>
  <c r="C59" i="6" s="1"/>
  <c r="C141" i="6"/>
  <c r="C136" i="6" s="1"/>
  <c r="D130" i="13"/>
  <c r="C129" i="6"/>
  <c r="C108" i="6"/>
  <c r="C103" i="6" s="1"/>
  <c r="C64" i="13"/>
  <c r="C86" i="13"/>
  <c r="C129" i="12"/>
  <c r="C152" i="13"/>
  <c r="C132" i="13"/>
  <c r="D130" i="6"/>
  <c r="C108" i="13"/>
  <c r="C9" i="12"/>
  <c r="C152" i="6"/>
  <c r="C147" i="6" s="1"/>
  <c r="E130" i="6"/>
  <c r="E125" i="6" s="1"/>
  <c r="D53" i="12"/>
  <c r="C53" i="13"/>
  <c r="C119" i="13"/>
  <c r="C75" i="13"/>
  <c r="C86" i="6"/>
  <c r="C81" i="6" s="1"/>
  <c r="C75" i="6"/>
  <c r="C70" i="6" s="1"/>
  <c r="C31" i="13"/>
  <c r="C133" i="12"/>
  <c r="C126" i="12"/>
  <c r="C132" i="12"/>
  <c r="C42" i="13"/>
  <c r="C127" i="12"/>
  <c r="C31" i="6"/>
  <c r="C26" i="6" s="1"/>
  <c r="C141" i="12"/>
  <c r="C141" i="13"/>
  <c r="C129" i="13"/>
  <c r="C9" i="6"/>
  <c r="C4" i="6" s="1"/>
  <c r="E53" i="6"/>
  <c r="C42" i="6"/>
  <c r="C37" i="6" s="1"/>
  <c r="C119" i="6"/>
  <c r="C114" i="6" s="1"/>
  <c r="E130" i="12"/>
  <c r="C108" i="12"/>
  <c r="C127" i="6"/>
  <c r="C9" i="13"/>
  <c r="C42" i="12"/>
  <c r="C86" i="12"/>
  <c r="C31" i="12"/>
  <c r="C128" i="13"/>
  <c r="C133" i="13"/>
  <c r="C127" i="13"/>
  <c r="C64" i="12"/>
  <c r="C52" i="6"/>
  <c r="C53" i="6" s="1"/>
  <c r="C48" i="6" s="1"/>
  <c r="C126" i="13"/>
  <c r="C126" i="6"/>
  <c r="C119" i="12"/>
  <c r="C52" i="12"/>
  <c r="C128" i="6"/>
  <c r="C132" i="6"/>
  <c r="C152" i="12"/>
  <c r="C75" i="12"/>
  <c r="C133" i="6"/>
  <c r="K20" i="18" l="1"/>
  <c r="K54" i="18"/>
  <c r="K54" i="6" s="1"/>
  <c r="K42" i="18"/>
  <c r="K148" i="18"/>
  <c r="K148" i="6" s="1"/>
  <c r="K145" i="18"/>
  <c r="K145" i="6" s="1"/>
  <c r="K98" i="18"/>
  <c r="K98" i="6" s="1"/>
  <c r="K141" i="18"/>
  <c r="K124" i="18"/>
  <c r="K124" i="6" s="1"/>
  <c r="K46" i="18"/>
  <c r="K46" i="6" s="1"/>
  <c r="K36" i="18"/>
  <c r="K36" i="6" s="1"/>
  <c r="K82" i="18"/>
  <c r="K82" i="6" s="1"/>
  <c r="K131" i="18"/>
  <c r="K131" i="6" s="1"/>
  <c r="K9" i="18"/>
  <c r="K32" i="18"/>
  <c r="K32" i="6" s="1"/>
  <c r="K134" i="18"/>
  <c r="K79" i="18"/>
  <c r="K79" i="6" s="1"/>
  <c r="K10" i="18"/>
  <c r="K10" i="6" s="1"/>
  <c r="K152" i="18"/>
  <c r="K157" i="18"/>
  <c r="K157" i="6" s="1"/>
  <c r="K64" i="18"/>
  <c r="K137" i="18"/>
  <c r="K137" i="6" s="1"/>
  <c r="K123" i="18"/>
  <c r="K123" i="6" s="1"/>
  <c r="K71" i="18"/>
  <c r="K71" i="6" s="1"/>
  <c r="K21" i="18"/>
  <c r="K21" i="6" s="1"/>
  <c r="K112" i="18"/>
  <c r="K112" i="6" s="1"/>
  <c r="K130" i="18"/>
  <c r="K97" i="18"/>
  <c r="K49" i="6"/>
  <c r="K52" i="18"/>
  <c r="K51" i="18"/>
  <c r="K51" i="6" s="1"/>
  <c r="K6" i="18"/>
  <c r="K6" i="6" s="1"/>
  <c r="K83" i="18"/>
  <c r="K127" i="18"/>
  <c r="K58" i="18"/>
  <c r="K58" i="6" s="1"/>
  <c r="K135" i="18"/>
  <c r="K135" i="6" s="1"/>
  <c r="K61" i="18"/>
  <c r="K61" i="6" s="1"/>
  <c r="K126" i="18"/>
  <c r="K87" i="18"/>
  <c r="K87" i="6" s="1"/>
  <c r="K38" i="18"/>
  <c r="K14" i="18"/>
  <c r="K14" i="6" s="1"/>
  <c r="K31" i="18"/>
  <c r="K13" i="18"/>
  <c r="K13" i="6" s="1"/>
  <c r="K5" i="18"/>
  <c r="K5" i="6" s="1"/>
  <c r="K75" i="18"/>
  <c r="K65" i="18"/>
  <c r="K65" i="6" s="1"/>
  <c r="K91" i="18"/>
  <c r="K91" i="6" s="1"/>
  <c r="K90" i="18"/>
  <c r="K90" i="6" s="1"/>
  <c r="K116" i="18"/>
  <c r="K116" i="6" s="1"/>
  <c r="K80" i="18"/>
  <c r="K80" i="6" s="1"/>
  <c r="K119" i="18"/>
  <c r="K35" i="18"/>
  <c r="K35" i="6" s="1"/>
  <c r="K142" i="18"/>
  <c r="K142" i="6" s="1"/>
  <c r="K53" i="18"/>
  <c r="K138" i="18"/>
  <c r="K27" i="18"/>
  <c r="K156" i="18"/>
  <c r="K39" i="18"/>
  <c r="K39" i="6" s="1"/>
  <c r="K105" i="18"/>
  <c r="K105" i="6" s="1"/>
  <c r="K149" i="18"/>
  <c r="K149" i="6" s="1"/>
  <c r="K113" i="18"/>
  <c r="K113" i="6" s="1"/>
  <c r="K60" i="18"/>
  <c r="K72" i="18"/>
  <c r="K28" i="18"/>
  <c r="K28" i="6" s="1"/>
  <c r="K109" i="18"/>
  <c r="K109" i="6" s="1"/>
  <c r="K115" i="18"/>
  <c r="K115" i="6" s="1"/>
  <c r="K47" i="18"/>
  <c r="K47" i="6" s="1"/>
  <c r="K86" i="18"/>
  <c r="K101" i="18"/>
  <c r="K101" i="6" s="1"/>
  <c r="K104" i="18"/>
  <c r="K104" i="6" s="1"/>
  <c r="K120" i="18"/>
  <c r="K120" i="6" s="1"/>
  <c r="K25" i="18"/>
  <c r="K25" i="6" s="1"/>
  <c r="K76" i="18"/>
  <c r="K76" i="6" s="1"/>
  <c r="K69" i="18"/>
  <c r="K69" i="6" s="1"/>
  <c r="K153" i="18"/>
  <c r="K153" i="6" s="1"/>
  <c r="K146" i="18"/>
  <c r="K146" i="6" s="1"/>
  <c r="K68" i="18"/>
  <c r="K68" i="6" s="1"/>
  <c r="K104" i="17"/>
  <c r="K104" i="13" s="1"/>
  <c r="K27" i="17"/>
  <c r="K27" i="13" s="1"/>
  <c r="K5" i="17"/>
  <c r="K5" i="13" s="1"/>
  <c r="K152" i="17"/>
  <c r="K53" i="17"/>
  <c r="K86" i="17"/>
  <c r="K68" i="17"/>
  <c r="K68" i="13" s="1"/>
  <c r="K25" i="17"/>
  <c r="K25" i="13" s="1"/>
  <c r="K80" i="17"/>
  <c r="K80" i="13" s="1"/>
  <c r="K156" i="17"/>
  <c r="K156" i="13" s="1"/>
  <c r="K90" i="17"/>
  <c r="K90" i="13" s="1"/>
  <c r="K46" i="17"/>
  <c r="K46" i="13" s="1"/>
  <c r="K31" i="17"/>
  <c r="K82" i="13"/>
  <c r="K127" i="17"/>
  <c r="K98" i="17"/>
  <c r="K98" i="13" s="1"/>
  <c r="K43" i="17"/>
  <c r="K43" i="13" s="1"/>
  <c r="K6" i="17"/>
  <c r="K142" i="17"/>
  <c r="K142" i="13" s="1"/>
  <c r="K109" i="17"/>
  <c r="K109" i="13" s="1"/>
  <c r="K134" i="17"/>
  <c r="K134" i="13" s="1"/>
  <c r="K28" i="17"/>
  <c r="K137" i="17"/>
  <c r="K137" i="13" s="1"/>
  <c r="K76" i="17"/>
  <c r="K76" i="13" s="1"/>
  <c r="K47" i="17"/>
  <c r="K47" i="13" s="1"/>
  <c r="K39" i="17"/>
  <c r="K39" i="13" s="1"/>
  <c r="K145" i="17"/>
  <c r="K145" i="13" s="1"/>
  <c r="K71" i="17"/>
  <c r="K75" i="17"/>
  <c r="K87" i="17"/>
  <c r="K87" i="13" s="1"/>
  <c r="K36" i="17"/>
  <c r="K36" i="13" s="1"/>
  <c r="K72" i="17"/>
  <c r="K72" i="13" s="1"/>
  <c r="K54" i="17"/>
  <c r="K54" i="13" s="1"/>
  <c r="K13" i="17"/>
  <c r="K13" i="13" s="1"/>
  <c r="K83" i="17"/>
  <c r="K83" i="13" s="1"/>
  <c r="K115" i="17"/>
  <c r="K117" i="17" s="1"/>
  <c r="K117" i="13" s="1"/>
  <c r="K141" i="17"/>
  <c r="K124" i="17"/>
  <c r="K124" i="13" s="1"/>
  <c r="K123" i="17"/>
  <c r="K123" i="13" s="1"/>
  <c r="K65" i="17"/>
  <c r="K65" i="13" s="1"/>
  <c r="K61" i="17"/>
  <c r="K61" i="13" s="1"/>
  <c r="K101" i="17"/>
  <c r="K101" i="13" s="1"/>
  <c r="K50" i="17"/>
  <c r="K50" i="13" s="1"/>
  <c r="K20" i="17"/>
  <c r="K21" i="17"/>
  <c r="K21" i="13" s="1"/>
  <c r="K91" i="17"/>
  <c r="K91" i="13" s="1"/>
  <c r="K126" i="17"/>
  <c r="K79" i="17"/>
  <c r="K79" i="13" s="1"/>
  <c r="K105" i="17"/>
  <c r="K49" i="17"/>
  <c r="K49" i="13" s="1"/>
  <c r="K42" i="17"/>
  <c r="K131" i="17"/>
  <c r="K131" i="13" s="1"/>
  <c r="K14" i="17"/>
  <c r="K14" i="13" s="1"/>
  <c r="K60" i="17"/>
  <c r="K69" i="17"/>
  <c r="K69" i="13" s="1"/>
  <c r="K149" i="17"/>
  <c r="K149" i="13" s="1"/>
  <c r="K148" i="17"/>
  <c r="K130" i="17"/>
  <c r="K10" i="17"/>
  <c r="K10" i="13" s="1"/>
  <c r="K102" i="17"/>
  <c r="K102" i="13" s="1"/>
  <c r="K113" i="17"/>
  <c r="K113" i="13" s="1"/>
  <c r="K32" i="17"/>
  <c r="K32" i="13" s="1"/>
  <c r="K57" i="17"/>
  <c r="K57" i="13" s="1"/>
  <c r="K119" i="17"/>
  <c r="K153" i="17"/>
  <c r="K153" i="13" s="1"/>
  <c r="K146" i="17"/>
  <c r="K146" i="13" s="1"/>
  <c r="K9" i="17"/>
  <c r="K35" i="17"/>
  <c r="K35" i="13" s="1"/>
  <c r="K138" i="17"/>
  <c r="K138" i="13" s="1"/>
  <c r="K64" i="17"/>
  <c r="K58" i="17"/>
  <c r="K58" i="13" s="1"/>
  <c r="K108" i="17"/>
  <c r="K38" i="17"/>
  <c r="K157" i="17"/>
  <c r="K157" i="13" s="1"/>
  <c r="K104" i="16"/>
  <c r="K104" i="12" s="1"/>
  <c r="K54" i="16"/>
  <c r="K54" i="12" s="1"/>
  <c r="K109" i="16"/>
  <c r="K109" i="12" s="1"/>
  <c r="K102" i="16"/>
  <c r="K102" i="12" s="1"/>
  <c r="K148" i="16"/>
  <c r="K148" i="12" s="1"/>
  <c r="K69" i="16"/>
  <c r="K69" i="12" s="1"/>
  <c r="K49" i="16"/>
  <c r="K14" i="16"/>
  <c r="K14" i="12" s="1"/>
  <c r="K142" i="16"/>
  <c r="K142" i="12" s="1"/>
  <c r="K157" i="16"/>
  <c r="K157" i="12" s="1"/>
  <c r="K97" i="16"/>
  <c r="K126" i="16"/>
  <c r="K113" i="16"/>
  <c r="K113" i="12" s="1"/>
  <c r="K137" i="16"/>
  <c r="K32" i="16"/>
  <c r="K32" i="12" s="1"/>
  <c r="K31" i="16"/>
  <c r="K72" i="16"/>
  <c r="K72" i="12" s="1"/>
  <c r="K87" i="16"/>
  <c r="K87" i="12" s="1"/>
  <c r="K80" i="16"/>
  <c r="K80" i="12" s="1"/>
  <c r="K86" i="16"/>
  <c r="K10" i="16"/>
  <c r="K10" i="12" s="1"/>
  <c r="K53" i="16"/>
  <c r="K71" i="16"/>
  <c r="K71" i="12" s="1"/>
  <c r="K141" i="16"/>
  <c r="K21" i="16"/>
  <c r="K21" i="12" s="1"/>
  <c r="K58" i="16"/>
  <c r="K58" i="12" s="1"/>
  <c r="K42" i="16"/>
  <c r="K27" i="16"/>
  <c r="K127" i="16"/>
  <c r="K130" i="16"/>
  <c r="K131" i="16"/>
  <c r="K131" i="12" s="1"/>
  <c r="K64" i="16"/>
  <c r="K76" i="16"/>
  <c r="K76" i="12" s="1"/>
  <c r="K153" i="16"/>
  <c r="K153" i="12" s="1"/>
  <c r="K38" i="16"/>
  <c r="K38" i="12" s="1"/>
  <c r="K5" i="16"/>
  <c r="K7" i="16" s="1"/>
  <c r="K7" i="12" s="1"/>
  <c r="K149" i="16"/>
  <c r="K149" i="12" s="1"/>
  <c r="K120" i="16"/>
  <c r="K120" i="12" s="1"/>
  <c r="K91" i="16"/>
  <c r="K91" i="12" s="1"/>
  <c r="K152" i="16"/>
  <c r="K60" i="16"/>
  <c r="K43" i="16"/>
  <c r="K43" i="12" s="1"/>
  <c r="K20" i="16"/>
  <c r="K98" i="16"/>
  <c r="K98" i="12" s="1"/>
  <c r="K39" i="16"/>
  <c r="K39" i="12" s="1"/>
  <c r="K146" i="16"/>
  <c r="K146" i="12" s="1"/>
  <c r="K119" i="16"/>
  <c r="K115" i="16"/>
  <c r="K115" i="12" s="1"/>
  <c r="K83" i="16"/>
  <c r="C130" i="6"/>
  <c r="D125" i="6"/>
  <c r="C130" i="12"/>
  <c r="E48" i="6"/>
  <c r="C130" i="13"/>
  <c r="C53" i="12"/>
  <c r="K63" i="18" l="1"/>
  <c r="K63" i="6" s="1"/>
  <c r="K52" i="6"/>
  <c r="K53" i="6" s="1"/>
  <c r="K48" i="6" s="1"/>
  <c r="K40" i="18"/>
  <c r="K40" i="6" s="1"/>
  <c r="K129" i="18"/>
  <c r="K107" i="17"/>
  <c r="K107" i="13" s="1"/>
  <c r="K73" i="18"/>
  <c r="K73" i="6" s="1"/>
  <c r="K84" i="18"/>
  <c r="K84" i="6" s="1"/>
  <c r="K150" i="18"/>
  <c r="K150" i="6" s="1"/>
  <c r="K164" i="6"/>
  <c r="K128" i="18"/>
  <c r="K60" i="6"/>
  <c r="K62" i="18"/>
  <c r="K62" i="6" s="1"/>
  <c r="K27" i="6"/>
  <c r="K29" i="18"/>
  <c r="K29" i="6" s="1"/>
  <c r="K30" i="18"/>
  <c r="K30" i="6" s="1"/>
  <c r="K107" i="18"/>
  <c r="K107" i="6" s="1"/>
  <c r="K138" i="6"/>
  <c r="K140" i="18"/>
  <c r="K140" i="6" s="1"/>
  <c r="K168" i="6"/>
  <c r="K117" i="18"/>
  <c r="K117" i="6" s="1"/>
  <c r="K139" i="18"/>
  <c r="K139" i="6" s="1"/>
  <c r="K151" i="18"/>
  <c r="K151" i="6" s="1"/>
  <c r="K38" i="6"/>
  <c r="K41" i="18"/>
  <c r="K41" i="6" s="1"/>
  <c r="K7" i="18"/>
  <c r="K7" i="6" s="1"/>
  <c r="K106" i="18"/>
  <c r="K106" i="6" s="1"/>
  <c r="K72" i="6"/>
  <c r="K74" i="18"/>
  <c r="K74" i="6" s="1"/>
  <c r="K134" i="6"/>
  <c r="K156" i="6"/>
  <c r="K8" i="18"/>
  <c r="K8" i="6" s="1"/>
  <c r="K83" i="6"/>
  <c r="K85" i="18"/>
  <c r="K85" i="6" s="1"/>
  <c r="K118" i="18"/>
  <c r="K118" i="6" s="1"/>
  <c r="K29" i="17"/>
  <c r="K29" i="13" s="1"/>
  <c r="K129" i="17"/>
  <c r="K74" i="17"/>
  <c r="K74" i="13" s="1"/>
  <c r="K128" i="17"/>
  <c r="K128" i="13" s="1"/>
  <c r="K139" i="17"/>
  <c r="K139" i="13" s="1"/>
  <c r="K84" i="17"/>
  <c r="K84" i="13" s="1"/>
  <c r="K60" i="13"/>
  <c r="K63" i="17"/>
  <c r="K63" i="13" s="1"/>
  <c r="K52" i="17"/>
  <c r="K52" i="13" s="1"/>
  <c r="K6" i="13"/>
  <c r="K7" i="17"/>
  <c r="K7" i="13" s="1"/>
  <c r="K148" i="13"/>
  <c r="K151" i="17"/>
  <c r="K151" i="13" s="1"/>
  <c r="K150" i="17"/>
  <c r="K150" i="13" s="1"/>
  <c r="K168" i="13"/>
  <c r="K105" i="13"/>
  <c r="K106" i="17"/>
  <c r="K106" i="13" s="1"/>
  <c r="K51" i="17"/>
  <c r="K51" i="13" s="1"/>
  <c r="K28" i="13"/>
  <c r="K30" i="17"/>
  <c r="K30" i="13" s="1"/>
  <c r="K85" i="17"/>
  <c r="K85" i="13" s="1"/>
  <c r="K115" i="13"/>
  <c r="K118" i="17"/>
  <c r="K118" i="13" s="1"/>
  <c r="K119" i="13" s="1"/>
  <c r="K71" i="13"/>
  <c r="K73" i="17"/>
  <c r="K73" i="13" s="1"/>
  <c r="K8" i="17"/>
  <c r="K8" i="13" s="1"/>
  <c r="K38" i="13"/>
  <c r="K41" i="17"/>
  <c r="K41" i="13" s="1"/>
  <c r="K40" i="17"/>
  <c r="K40" i="13" s="1"/>
  <c r="K164" i="13"/>
  <c r="K140" i="17"/>
  <c r="K140" i="13" s="1"/>
  <c r="K62" i="17"/>
  <c r="K62" i="13" s="1"/>
  <c r="K164" i="12"/>
  <c r="K140" i="16"/>
  <c r="K140" i="12" s="1"/>
  <c r="K137" i="12"/>
  <c r="K8" i="16"/>
  <c r="K8" i="12" s="1"/>
  <c r="K5" i="12"/>
  <c r="K85" i="16"/>
  <c r="K85" i="12" s="1"/>
  <c r="K83" i="12"/>
  <c r="K168" i="12"/>
  <c r="K63" i="16"/>
  <c r="K63" i="12" s="1"/>
  <c r="K60" i="12"/>
  <c r="K30" i="16"/>
  <c r="K30" i="12" s="1"/>
  <c r="K27" i="12"/>
  <c r="K52" i="16"/>
  <c r="K49" i="12"/>
  <c r="K74" i="16"/>
  <c r="K74" i="12" s="1"/>
  <c r="K29" i="16"/>
  <c r="K29" i="12" s="1"/>
  <c r="K139" i="16"/>
  <c r="K139" i="12" s="1"/>
  <c r="K84" i="16"/>
  <c r="K84" i="12" s="1"/>
  <c r="K41" i="16"/>
  <c r="K41" i="12" s="1"/>
  <c r="K40" i="16"/>
  <c r="K40" i="12" s="1"/>
  <c r="K62" i="16"/>
  <c r="K62" i="12" s="1"/>
  <c r="K51" i="16"/>
  <c r="K51" i="12" s="1"/>
  <c r="K73" i="16"/>
  <c r="K73" i="12" s="1"/>
  <c r="K117" i="16"/>
  <c r="K117" i="12" s="1"/>
  <c r="K118" i="16"/>
  <c r="K118" i="12" s="1"/>
  <c r="K128" i="16"/>
  <c r="K107" i="16"/>
  <c r="K107" i="12" s="1"/>
  <c r="K106" i="16"/>
  <c r="K106" i="12" s="1"/>
  <c r="K151" i="16"/>
  <c r="K151" i="12" s="1"/>
  <c r="K150" i="16"/>
  <c r="K150" i="12" s="1"/>
  <c r="K129" i="16"/>
  <c r="C125" i="6"/>
  <c r="K9" i="12" l="1"/>
  <c r="K64" i="6"/>
  <c r="K59" i="6" s="1"/>
  <c r="K53" i="13"/>
  <c r="K75" i="12"/>
  <c r="K42" i="6"/>
  <c r="K37" i="6" s="1"/>
  <c r="K141" i="13"/>
  <c r="K127" i="6"/>
  <c r="K86" i="6"/>
  <c r="K81" i="6" s="1"/>
  <c r="K108" i="6"/>
  <c r="K103" i="6" s="1"/>
  <c r="K108" i="13"/>
  <c r="K152" i="6"/>
  <c r="K147" i="6" s="1"/>
  <c r="K31" i="6"/>
  <c r="K26" i="6" s="1"/>
  <c r="K133" i="6"/>
  <c r="K129" i="6"/>
  <c r="K128" i="6"/>
  <c r="K132" i="6"/>
  <c r="K126" i="6"/>
  <c r="K9" i="6"/>
  <c r="K4" i="6" s="1"/>
  <c r="K141" i="6"/>
  <c r="K136" i="6" s="1"/>
  <c r="K119" i="6"/>
  <c r="K114" i="6" s="1"/>
  <c r="K75" i="6"/>
  <c r="K70" i="6" s="1"/>
  <c r="K31" i="13"/>
  <c r="K152" i="13"/>
  <c r="K132" i="13"/>
  <c r="K75" i="13"/>
  <c r="K133" i="13"/>
  <c r="K64" i="13"/>
  <c r="K129" i="13"/>
  <c r="K130" i="13" s="1"/>
  <c r="K126" i="13"/>
  <c r="K127" i="13"/>
  <c r="K42" i="13"/>
  <c r="K86" i="13"/>
  <c r="K9" i="13"/>
  <c r="K86" i="12"/>
  <c r="K64" i="12"/>
  <c r="K141" i="12"/>
  <c r="K42" i="12"/>
  <c r="K126" i="12"/>
  <c r="K119" i="12"/>
  <c r="K31" i="12"/>
  <c r="K152" i="12"/>
  <c r="K108" i="12"/>
  <c r="K128" i="12"/>
  <c r="K133" i="12"/>
  <c r="K132" i="12"/>
  <c r="K129" i="12"/>
  <c r="K52" i="12"/>
  <c r="K127" i="12"/>
  <c r="K53" i="12" l="1"/>
  <c r="K130" i="6"/>
  <c r="K125" i="6" s="1"/>
  <c r="K130" i="12"/>
  <c r="D39" i="15" l="1"/>
  <c r="D99" i="16" s="1"/>
  <c r="D40" i="15" s="1"/>
  <c r="F39" i="15"/>
  <c r="F99" i="16" s="1"/>
  <c r="F40" i="15" s="1"/>
  <c r="C51" i="15"/>
  <c r="C100" i="16" s="1"/>
  <c r="C52" i="15" s="1"/>
  <c r="E51" i="15"/>
  <c r="E100" i="16" s="1"/>
  <c r="E52" i="15" s="1"/>
  <c r="C49" i="15"/>
  <c r="C100" i="18" s="1"/>
  <c r="C50" i="15" s="1"/>
  <c r="D51" i="15"/>
  <c r="D100" i="16" s="1"/>
  <c r="D52" i="15" s="1"/>
  <c r="F49" i="15"/>
  <c r="F100" i="18" s="1"/>
  <c r="F50" i="15" s="1"/>
  <c r="G51" i="15"/>
  <c r="G100" i="16" s="1"/>
  <c r="G52" i="15" s="1"/>
  <c r="C39" i="15"/>
  <c r="C99" i="16" s="1"/>
  <c r="C40" i="15" s="1"/>
  <c r="E39" i="15"/>
  <c r="E99" i="16" s="1"/>
  <c r="E40" i="15" s="1"/>
  <c r="G37" i="15"/>
  <c r="G99" i="18" s="1"/>
  <c r="G38" i="15" s="1"/>
  <c r="C37" i="15"/>
  <c r="C99" i="18" s="1"/>
  <c r="C38" i="15" s="1"/>
  <c r="D37" i="15"/>
  <c r="D99" i="18" s="1"/>
  <c r="D38" i="15" s="1"/>
  <c r="D49" i="15"/>
  <c r="D100" i="18" s="1"/>
  <c r="D50" i="15" s="1"/>
  <c r="E49" i="15"/>
  <c r="E100" i="18" s="1"/>
  <c r="E50" i="15" s="1"/>
  <c r="F51" i="15"/>
  <c r="F100" i="16" s="1"/>
  <c r="F52" i="15" s="1"/>
  <c r="E37" i="15"/>
  <c r="E99" i="18" s="1"/>
  <c r="E38" i="15" s="1"/>
  <c r="G49" i="15"/>
  <c r="G100" i="18" s="1"/>
  <c r="G50" i="15" s="1"/>
  <c r="F37" i="15"/>
  <c r="F99" i="18" s="1"/>
  <c r="F38" i="15" s="1"/>
  <c r="G39" i="15"/>
  <c r="G99" i="16" s="1"/>
  <c r="G40" i="15" s="1"/>
  <c r="B39" i="15" l="1"/>
  <c r="B99" i="16" s="1"/>
  <c r="I51" i="15"/>
  <c r="I100" i="16" s="1"/>
  <c r="I52" i="15" s="1"/>
  <c r="J41" i="15"/>
  <c r="I53" i="15"/>
  <c r="I100" i="17" s="1"/>
  <c r="I54" i="15" s="1"/>
  <c r="H41" i="15"/>
  <c r="D41" i="15"/>
  <c r="B51" i="15"/>
  <c r="B100" i="16" s="1"/>
  <c r="K49" i="15"/>
  <c r="K100" i="18" s="1"/>
  <c r="K50" i="15" s="1"/>
  <c r="K41" i="15"/>
  <c r="I39" i="15"/>
  <c r="I99" i="16" s="1"/>
  <c r="I40" i="15" s="1"/>
  <c r="J53" i="15"/>
  <c r="J100" i="17" s="1"/>
  <c r="J54" i="15" s="1"/>
  <c r="K37" i="15"/>
  <c r="K99" i="18" s="1"/>
  <c r="K38" i="15" s="1"/>
  <c r="E41" i="15"/>
  <c r="G53" i="15"/>
  <c r="G100" i="17" s="1"/>
  <c r="G54" i="15" s="1"/>
  <c r="J49" i="15"/>
  <c r="J100" i="18" s="1"/>
  <c r="J50" i="15" s="1"/>
  <c r="K39" i="15"/>
  <c r="K99" i="16" s="1"/>
  <c r="K40" i="15" s="1"/>
  <c r="J37" i="15"/>
  <c r="J99" i="18" s="1"/>
  <c r="J38" i="15" s="1"/>
  <c r="B37" i="15"/>
  <c r="B99" i="18" s="1"/>
  <c r="C53" i="15"/>
  <c r="C100" i="17" s="1"/>
  <c r="C54" i="15" s="1"/>
  <c r="F53" i="15"/>
  <c r="F100" i="17" s="1"/>
  <c r="F54" i="15" s="1"/>
  <c r="H51" i="15"/>
  <c r="H100" i="16" s="1"/>
  <c r="H52" i="15" s="1"/>
  <c r="H37" i="15"/>
  <c r="H99" i="18" s="1"/>
  <c r="H38" i="15" s="1"/>
  <c r="J51" i="15"/>
  <c r="J100" i="16" s="1"/>
  <c r="J52" i="15" s="1"/>
  <c r="I49" i="15"/>
  <c r="I100" i="18" s="1"/>
  <c r="I50" i="15" s="1"/>
  <c r="J39" i="15"/>
  <c r="J99" i="16" s="1"/>
  <c r="J40" i="15" s="1"/>
  <c r="K53" i="15"/>
  <c r="K100" i="17" s="1"/>
  <c r="K54" i="15" s="1"/>
  <c r="H53" i="15"/>
  <c r="H100" i="17" s="1"/>
  <c r="H54" i="15" s="1"/>
  <c r="D53" i="15"/>
  <c r="D100" i="17" s="1"/>
  <c r="D54" i="15" s="1"/>
  <c r="F41" i="15"/>
  <c r="G41" i="15"/>
  <c r="C41" i="15"/>
  <c r="H49" i="15"/>
  <c r="H100" i="18" s="1"/>
  <c r="H50" i="15" s="1"/>
  <c r="H39" i="15"/>
  <c r="H99" i="16" s="1"/>
  <c r="H40" i="15" s="1"/>
  <c r="K51" i="15"/>
  <c r="K100" i="16" s="1"/>
  <c r="K52" i="15" s="1"/>
  <c r="I41" i="15"/>
  <c r="I37" i="15"/>
  <c r="I99" i="18" s="1"/>
  <c r="I38" i="15" s="1"/>
  <c r="E53" i="15"/>
  <c r="E100" i="17" s="1"/>
  <c r="E54" i="15" s="1"/>
  <c r="B100" i="12" l="1"/>
  <c r="B52" i="15"/>
  <c r="B99" i="12"/>
  <c r="B40" i="15"/>
  <c r="B99" i="6"/>
  <c r="B38" i="15"/>
  <c r="G99" i="17"/>
  <c r="G42" i="15" s="1"/>
  <c r="F99" i="17"/>
  <c r="F42" i="15" s="1"/>
  <c r="D99" i="17"/>
  <c r="D42" i="15" s="1"/>
  <c r="J99" i="17"/>
  <c r="J42" i="15" s="1"/>
  <c r="E99" i="17"/>
  <c r="E42" i="15" s="1"/>
  <c r="K99" i="17"/>
  <c r="K42" i="15" s="1"/>
  <c r="H99" i="17"/>
  <c r="H42" i="15" s="1"/>
  <c r="I99" i="17"/>
  <c r="I42" i="15" s="1"/>
  <c r="C99" i="17"/>
  <c r="C42" i="15" s="1"/>
  <c r="H171" i="16"/>
  <c r="I171" i="18"/>
  <c r="J174" i="18"/>
  <c r="B49" i="15"/>
  <c r="B100" i="18" s="1"/>
  <c r="G171" i="17"/>
  <c r="H174" i="16"/>
  <c r="H174" i="18"/>
  <c r="K174" i="18"/>
  <c r="I174" i="18"/>
  <c r="E171" i="17"/>
  <c r="B174" i="18"/>
  <c r="F174" i="18"/>
  <c r="D174" i="18"/>
  <c r="G174" i="18"/>
  <c r="C174" i="18"/>
  <c r="E174" i="18"/>
  <c r="B53" i="15"/>
  <c r="B100" i="17" s="1"/>
  <c r="B41" i="15"/>
  <c r="B99" i="17" s="1"/>
  <c r="B100" i="13" l="1"/>
  <c r="B54" i="15"/>
  <c r="B100" i="6"/>
  <c r="B50" i="15"/>
  <c r="B99" i="13"/>
  <c r="B42" i="15"/>
  <c r="J171" i="17"/>
  <c r="H171" i="17"/>
  <c r="D171" i="18"/>
  <c r="D96" i="18" s="1"/>
  <c r="I93" i="18"/>
  <c r="I96" i="18"/>
  <c r="I95" i="18"/>
  <c r="I94" i="18"/>
  <c r="H96" i="16"/>
  <c r="H93" i="16"/>
  <c r="H94" i="16"/>
  <c r="H95" i="16"/>
  <c r="I174" i="17"/>
  <c r="I174" i="16"/>
  <c r="G174" i="16"/>
  <c r="B174" i="17"/>
  <c r="B171" i="18"/>
  <c r="E174" i="16"/>
  <c r="K171" i="17"/>
  <c r="D171" i="17"/>
  <c r="I171" i="16"/>
  <c r="E171" i="18"/>
  <c r="F174" i="17"/>
  <c r="E171" i="16"/>
  <c r="K171" i="18"/>
  <c r="G171" i="18"/>
  <c r="H174" i="17"/>
  <c r="H95" i="17" s="1"/>
  <c r="H171" i="18"/>
  <c r="I171" i="17"/>
  <c r="G171" i="16"/>
  <c r="D174" i="16"/>
  <c r="K174" i="16"/>
  <c r="B171" i="17"/>
  <c r="F171" i="18"/>
  <c r="C171" i="18"/>
  <c r="C171" i="17"/>
  <c r="K171" i="16"/>
  <c r="J171" i="18"/>
  <c r="K174" i="17"/>
  <c r="C171" i="16"/>
  <c r="B174" i="16"/>
  <c r="C174" i="17"/>
  <c r="F171" i="17"/>
  <c r="D171" i="16"/>
  <c r="B171" i="16"/>
  <c r="J171" i="16"/>
  <c r="F171" i="16"/>
  <c r="J174" i="16"/>
  <c r="F174" i="16"/>
  <c r="G174" i="17"/>
  <c r="G93" i="17" s="1"/>
  <c r="D174" i="17"/>
  <c r="C174" i="16"/>
  <c r="E174" i="17"/>
  <c r="E94" i="17" s="1"/>
  <c r="J174" i="17"/>
  <c r="J95" i="17" s="1"/>
  <c r="D94" i="18" l="1"/>
  <c r="D93" i="18"/>
  <c r="D95" i="18"/>
  <c r="H94" i="17"/>
  <c r="K93" i="16"/>
  <c r="K96" i="16"/>
  <c r="K94" i="16"/>
  <c r="K95" i="16"/>
  <c r="I94" i="16"/>
  <c r="I96" i="16"/>
  <c r="I95" i="16"/>
  <c r="I93" i="16"/>
  <c r="F96" i="16"/>
  <c r="F95" i="16"/>
  <c r="F94" i="16"/>
  <c r="F93" i="16"/>
  <c r="F93" i="17"/>
  <c r="F94" i="17"/>
  <c r="F96" i="17"/>
  <c r="F95" i="17"/>
  <c r="C95" i="18"/>
  <c r="C94" i="18"/>
  <c r="C93" i="18"/>
  <c r="C96" i="18"/>
  <c r="K95" i="17"/>
  <c r="K93" i="17"/>
  <c r="K96" i="17"/>
  <c r="K94" i="17"/>
  <c r="E93" i="17"/>
  <c r="H93" i="17"/>
  <c r="J96" i="17"/>
  <c r="G95" i="17"/>
  <c r="J94" i="16"/>
  <c r="J96" i="16"/>
  <c r="J93" i="16"/>
  <c r="J95" i="16"/>
  <c r="J93" i="18"/>
  <c r="J95" i="18"/>
  <c r="J96" i="18"/>
  <c r="J94" i="18"/>
  <c r="F95" i="18"/>
  <c r="F94" i="18"/>
  <c r="F96" i="18"/>
  <c r="F93" i="18"/>
  <c r="G94" i="16"/>
  <c r="G96" i="16"/>
  <c r="G95" i="16"/>
  <c r="G93" i="16"/>
  <c r="G93" i="18"/>
  <c r="G95" i="18"/>
  <c r="G96" i="18"/>
  <c r="G94" i="18"/>
  <c r="E93" i="18"/>
  <c r="E95" i="18"/>
  <c r="E94" i="18"/>
  <c r="E96" i="18"/>
  <c r="E95" i="17"/>
  <c r="H96" i="17"/>
  <c r="J94" i="17"/>
  <c r="G96" i="17"/>
  <c r="I94" i="17"/>
  <c r="I96" i="17"/>
  <c r="I93" i="17"/>
  <c r="I95" i="17"/>
  <c r="B93" i="18"/>
  <c r="B93" i="6" s="1"/>
  <c r="B94" i="18"/>
  <c r="B94" i="6" s="1"/>
  <c r="B96" i="18"/>
  <c r="B96" i="6" s="1"/>
  <c r="B95" i="18"/>
  <c r="B95" i="6" s="1"/>
  <c r="E96" i="17"/>
  <c r="J93" i="17"/>
  <c r="G94" i="17"/>
  <c r="B96" i="16"/>
  <c r="B96" i="12" s="1"/>
  <c r="B95" i="16"/>
  <c r="B95" i="12" s="1"/>
  <c r="B93" i="16"/>
  <c r="B93" i="12" s="1"/>
  <c r="B94" i="16"/>
  <c r="B94" i="12" s="1"/>
  <c r="B93" i="17"/>
  <c r="B93" i="13" s="1"/>
  <c r="B95" i="17"/>
  <c r="B95" i="13" s="1"/>
  <c r="B96" i="17"/>
  <c r="B96" i="13" s="1"/>
  <c r="B94" i="17"/>
  <c r="B94" i="13" s="1"/>
  <c r="K96" i="18"/>
  <c r="K94" i="18"/>
  <c r="K95" i="18"/>
  <c r="K93" i="18"/>
  <c r="D95" i="16"/>
  <c r="D93" i="16"/>
  <c r="D94" i="16"/>
  <c r="D96" i="16"/>
  <c r="C94" i="16"/>
  <c r="C96" i="16"/>
  <c r="C93" i="16"/>
  <c r="C95" i="16"/>
  <c r="C94" i="17"/>
  <c r="C96" i="17"/>
  <c r="C95" i="17"/>
  <c r="C93" i="17"/>
  <c r="H95" i="18"/>
  <c r="H93" i="18"/>
  <c r="H96" i="18"/>
  <c r="H94" i="18"/>
  <c r="E95" i="16"/>
  <c r="E93" i="16"/>
  <c r="E94" i="16"/>
  <c r="E96" i="16"/>
  <c r="D93" i="17"/>
  <c r="D96" i="17"/>
  <c r="D94" i="17"/>
  <c r="D95" i="17"/>
  <c r="B92" i="6" l="1"/>
  <c r="B32" i="15" l="1"/>
  <c r="B30" i="15"/>
  <c r="B34" i="15"/>
  <c r="C34" i="15" l="1"/>
  <c r="B24" i="17"/>
  <c r="C30" i="15"/>
  <c r="B24" i="18"/>
  <c r="C32" i="15"/>
  <c r="B24" i="16"/>
  <c r="B31" i="15" l="1"/>
  <c r="B24" i="6"/>
  <c r="B167" i="6" s="1"/>
  <c r="D30" i="15"/>
  <c r="C24" i="18"/>
  <c r="B24" i="13"/>
  <c r="B167" i="13" s="1"/>
  <c r="B175" i="13" s="1"/>
  <c r="B35" i="15"/>
  <c r="B33" i="15"/>
  <c r="B24" i="12"/>
  <c r="B167" i="12" s="1"/>
  <c r="B175" i="12" s="1"/>
  <c r="D32" i="15"/>
  <c r="C24" i="16"/>
  <c r="C24" i="17"/>
  <c r="D34" i="15"/>
  <c r="C31" i="15" l="1"/>
  <c r="C24" i="6"/>
  <c r="C167" i="6" s="1"/>
  <c r="D24" i="16"/>
  <c r="E32" i="15"/>
  <c r="E34" i="15"/>
  <c r="D24" i="17"/>
  <c r="C35" i="15"/>
  <c r="C24" i="13"/>
  <c r="C167" i="13" s="1"/>
  <c r="C175" i="13" s="1"/>
  <c r="D24" i="18"/>
  <c r="E30" i="15"/>
  <c r="C24" i="12"/>
  <c r="C167" i="12" s="1"/>
  <c r="C175" i="12" s="1"/>
  <c r="C33" i="15"/>
  <c r="F32" i="15" l="1"/>
  <c r="E24" i="16"/>
  <c r="D24" i="12"/>
  <c r="D167" i="12" s="1"/>
  <c r="D175" i="12" s="1"/>
  <c r="D33" i="15"/>
  <c r="E24" i="18"/>
  <c r="F30" i="15"/>
  <c r="D35" i="15"/>
  <c r="D24" i="13"/>
  <c r="D167" i="13" s="1"/>
  <c r="D175" i="13" s="1"/>
  <c r="D24" i="6"/>
  <c r="D167" i="6" s="1"/>
  <c r="D31" i="15"/>
  <c r="E24" i="17"/>
  <c r="F34" i="15"/>
  <c r="F24" i="17" l="1"/>
  <c r="G34" i="15"/>
  <c r="G30" i="15"/>
  <c r="F24" i="18"/>
  <c r="E24" i="12"/>
  <c r="E167" i="12" s="1"/>
  <c r="E175" i="12" s="1"/>
  <c r="E33" i="15"/>
  <c r="E24" i="13"/>
  <c r="E167" i="13" s="1"/>
  <c r="E175" i="13" s="1"/>
  <c r="E35" i="15"/>
  <c r="E31" i="15"/>
  <c r="E24" i="6"/>
  <c r="E167" i="6" s="1"/>
  <c r="F24" i="16"/>
  <c r="G32" i="15"/>
  <c r="H32" i="15" l="1"/>
  <c r="G24" i="16"/>
  <c r="F24" i="6"/>
  <c r="F167" i="6" s="1"/>
  <c r="F31" i="15"/>
  <c r="G24" i="18"/>
  <c r="H30" i="15"/>
  <c r="F33" i="15"/>
  <c r="F24" i="12"/>
  <c r="F167" i="12" s="1"/>
  <c r="F175" i="12" s="1"/>
  <c r="H34" i="15"/>
  <c r="G24" i="17"/>
  <c r="F24" i="13"/>
  <c r="F167" i="13" s="1"/>
  <c r="F175" i="13" s="1"/>
  <c r="F35" i="15"/>
  <c r="G24" i="13" l="1"/>
  <c r="G167" i="13" s="1"/>
  <c r="G175" i="13" s="1"/>
  <c r="G35" i="15"/>
  <c r="H24" i="18"/>
  <c r="I30" i="15"/>
  <c r="G33" i="15"/>
  <c r="G24" i="12"/>
  <c r="G167" i="12" s="1"/>
  <c r="G175" i="12" s="1"/>
  <c r="H24" i="17"/>
  <c r="I34" i="15"/>
  <c r="G31" i="15"/>
  <c r="G24" i="6"/>
  <c r="G167" i="6" s="1"/>
  <c r="H24" i="16"/>
  <c r="I32" i="15"/>
  <c r="J32" i="15" l="1"/>
  <c r="I24" i="16"/>
  <c r="I24" i="17"/>
  <c r="J34" i="15"/>
  <c r="J30" i="15"/>
  <c r="I24" i="18"/>
  <c r="H33" i="15"/>
  <c r="H24" i="12"/>
  <c r="H167" i="12" s="1"/>
  <c r="H175" i="12" s="1"/>
  <c r="H24" i="13"/>
  <c r="H167" i="13" s="1"/>
  <c r="H175" i="13" s="1"/>
  <c r="H35" i="15"/>
  <c r="H24" i="6"/>
  <c r="H167" i="6" s="1"/>
  <c r="H31" i="15"/>
  <c r="F19" i="15"/>
  <c r="F23" i="18" s="1"/>
  <c r="F9" i="15"/>
  <c r="F22" i="16" s="1"/>
  <c r="E19" i="15"/>
  <c r="E23" i="18" s="1"/>
  <c r="C9" i="15"/>
  <c r="C22" i="16" s="1"/>
  <c r="E21" i="15"/>
  <c r="E23" i="16" s="1"/>
  <c r="G19" i="15"/>
  <c r="G23" i="18" s="1"/>
  <c r="F21" i="15"/>
  <c r="F23" i="16" s="1"/>
  <c r="D19" i="15"/>
  <c r="D23" i="18" s="1"/>
  <c r="E9" i="15"/>
  <c r="E22" i="16" s="1"/>
  <c r="G21" i="15"/>
  <c r="G23" i="16" s="1"/>
  <c r="D21" i="15"/>
  <c r="D23" i="16" s="1"/>
  <c r="G9" i="15"/>
  <c r="G22" i="16" s="1"/>
  <c r="C21" i="15"/>
  <c r="C23" i="16" s="1"/>
  <c r="D9" i="15"/>
  <c r="D22" i="16" s="1"/>
  <c r="C19" i="15"/>
  <c r="C23" i="18" s="1"/>
  <c r="G10" i="15" l="1"/>
  <c r="D20" i="15"/>
  <c r="C10" i="15"/>
  <c r="K34" i="15"/>
  <c r="K24" i="17" s="1"/>
  <c r="J24" i="17"/>
  <c r="C20" i="15"/>
  <c r="D22" i="15"/>
  <c r="F22" i="15"/>
  <c r="E20" i="15"/>
  <c r="I35" i="15"/>
  <c r="I24" i="13"/>
  <c r="I167" i="13" s="1"/>
  <c r="I175" i="13" s="1"/>
  <c r="D10" i="15"/>
  <c r="G22" i="15"/>
  <c r="G20" i="15"/>
  <c r="F10" i="15"/>
  <c r="I24" i="6"/>
  <c r="I167" i="6" s="1"/>
  <c r="I31" i="15"/>
  <c r="I24" i="12"/>
  <c r="I167" i="12" s="1"/>
  <c r="I175" i="12" s="1"/>
  <c r="I33" i="15"/>
  <c r="C22" i="15"/>
  <c r="E10" i="15"/>
  <c r="E22" i="15"/>
  <c r="F20" i="15"/>
  <c r="K30" i="15"/>
  <c r="K24" i="18" s="1"/>
  <c r="J24" i="18"/>
  <c r="J24" i="16"/>
  <c r="K32" i="15"/>
  <c r="K24" i="16" s="1"/>
  <c r="H19" i="15"/>
  <c r="H23" i="18" s="1"/>
  <c r="I9" i="15"/>
  <c r="I22" i="16" s="1"/>
  <c r="I10" i="15" s="1"/>
  <c r="K19" i="15"/>
  <c r="K23" i="18" s="1"/>
  <c r="I21" i="15"/>
  <c r="I23" i="16" s="1"/>
  <c r="I19" i="15"/>
  <c r="I23" i="18" s="1"/>
  <c r="B7" i="15"/>
  <c r="B22" i="18" s="1"/>
  <c r="K9" i="15"/>
  <c r="K22" i="16" s="1"/>
  <c r="K10" i="15" s="1"/>
  <c r="H9" i="15"/>
  <c r="H22" i="16" s="1"/>
  <c r="B19" i="15"/>
  <c r="B23" i="18" s="1"/>
  <c r="B173" i="18"/>
  <c r="J9" i="15"/>
  <c r="J22" i="16" s="1"/>
  <c r="J10" i="15" s="1"/>
  <c r="J21" i="15"/>
  <c r="J23" i="16" s="1"/>
  <c r="H21" i="15"/>
  <c r="H23" i="16" s="1"/>
  <c r="J19" i="15"/>
  <c r="J23" i="18" s="1"/>
  <c r="B21" i="15"/>
  <c r="B23" i="16" s="1"/>
  <c r="B9" i="15"/>
  <c r="B22" i="16" s="1"/>
  <c r="K21" i="15"/>
  <c r="K23" i="16" s="1"/>
  <c r="B22" i="12" l="1"/>
  <c r="B165" i="12" s="1"/>
  <c r="B173" i="12" s="1"/>
  <c r="B10" i="15"/>
  <c r="B23" i="12"/>
  <c r="B22" i="15"/>
  <c r="J22" i="15"/>
  <c r="H10" i="15"/>
  <c r="I20" i="15"/>
  <c r="H20" i="15"/>
  <c r="J31" i="15"/>
  <c r="J24" i="6"/>
  <c r="J167" i="6" s="1"/>
  <c r="J35" i="15"/>
  <c r="J24" i="13"/>
  <c r="J167" i="13" s="1"/>
  <c r="J175" i="13" s="1"/>
  <c r="K22" i="15"/>
  <c r="I22" i="15"/>
  <c r="K31" i="15"/>
  <c r="K24" i="6"/>
  <c r="K167" i="6" s="1"/>
  <c r="K24" i="13"/>
  <c r="K167" i="13" s="1"/>
  <c r="K175" i="13" s="1"/>
  <c r="K35" i="15"/>
  <c r="J20" i="15"/>
  <c r="B8" i="15"/>
  <c r="B22" i="6"/>
  <c r="B165" i="6" s="1"/>
  <c r="K20" i="15"/>
  <c r="K33" i="15"/>
  <c r="K24" i="12"/>
  <c r="K167" i="12" s="1"/>
  <c r="K175" i="12" s="1"/>
  <c r="H22" i="15"/>
  <c r="B20" i="15"/>
  <c r="B23" i="6"/>
  <c r="J33" i="15"/>
  <c r="J24" i="12"/>
  <c r="J167" i="12" s="1"/>
  <c r="J175" i="12" s="1"/>
  <c r="J173" i="16"/>
  <c r="B170" i="18"/>
  <c r="K173" i="16"/>
  <c r="J173" i="18"/>
  <c r="B173" i="16"/>
  <c r="H173" i="16"/>
  <c r="I173" i="18"/>
  <c r="J170" i="16"/>
  <c r="I173" i="16"/>
  <c r="K173" i="18"/>
  <c r="H173" i="18"/>
  <c r="F170" i="16"/>
  <c r="E170" i="16"/>
  <c r="C170" i="16"/>
  <c r="G170" i="16"/>
  <c r="D170" i="16"/>
  <c r="K170" i="16"/>
  <c r="I170" i="16"/>
  <c r="B170" i="16"/>
  <c r="E173" i="16"/>
  <c r="D173" i="16"/>
  <c r="C173" i="16"/>
  <c r="G173" i="16"/>
  <c r="F173" i="16"/>
  <c r="G173" i="18"/>
  <c r="D173" i="18"/>
  <c r="F173" i="18"/>
  <c r="E173" i="18"/>
  <c r="C173" i="18"/>
  <c r="H170" i="16"/>
  <c r="B166" i="6" l="1"/>
  <c r="B166" i="12"/>
  <c r="C17" i="16"/>
  <c r="C19" i="16"/>
  <c r="C16" i="16"/>
  <c r="C18" i="16"/>
  <c r="E17" i="16"/>
  <c r="E19" i="16"/>
  <c r="E18" i="16"/>
  <c r="E16" i="16"/>
  <c r="D17" i="16"/>
  <c r="D18" i="16"/>
  <c r="D16" i="16"/>
  <c r="D19" i="16"/>
  <c r="F16" i="16"/>
  <c r="F17" i="16"/>
  <c r="F19" i="16"/>
  <c r="F18" i="16"/>
  <c r="J17" i="16"/>
  <c r="J19" i="16"/>
  <c r="J16" i="16"/>
  <c r="J18" i="16"/>
  <c r="H19" i="16"/>
  <c r="H18" i="16"/>
  <c r="H16" i="16"/>
  <c r="H17" i="16"/>
  <c r="I18" i="16"/>
  <c r="I19" i="16"/>
  <c r="I17" i="16"/>
  <c r="I16" i="16"/>
  <c r="B18" i="18"/>
  <c r="B18" i="6" s="1"/>
  <c r="B161" i="6" s="1"/>
  <c r="B19" i="18"/>
  <c r="B19" i="6" s="1"/>
  <c r="B162" i="6" s="1"/>
  <c r="B17" i="18"/>
  <c r="B17" i="6" s="1"/>
  <c r="B160" i="6" s="1"/>
  <c r="B16" i="18"/>
  <c r="B16" i="6" s="1"/>
  <c r="K18" i="16"/>
  <c r="K19" i="16"/>
  <c r="K16" i="16"/>
  <c r="K17" i="16"/>
  <c r="B18" i="16"/>
  <c r="B18" i="12" s="1"/>
  <c r="B19" i="16"/>
  <c r="B19" i="12" s="1"/>
  <c r="B17" i="16"/>
  <c r="B17" i="12" s="1"/>
  <c r="B160" i="12" s="1"/>
  <c r="B172" i="12" s="1"/>
  <c r="B16" i="16"/>
  <c r="B16" i="12" s="1"/>
  <c r="B159" i="12" s="1"/>
  <c r="G18" i="16"/>
  <c r="G19" i="16"/>
  <c r="G17" i="16"/>
  <c r="G16" i="16"/>
  <c r="B174" i="12" l="1"/>
  <c r="B171" i="12"/>
  <c r="B15" i="6"/>
  <c r="B159" i="6"/>
  <c r="B158" i="6" s="1"/>
  <c r="B162" i="12"/>
  <c r="B177" i="12"/>
  <c r="B176" i="12"/>
  <c r="B161" i="12"/>
  <c r="K11" i="15"/>
  <c r="K170" i="17"/>
  <c r="J11" i="15"/>
  <c r="J170" i="17"/>
  <c r="C11" i="15"/>
  <c r="C170" i="17"/>
  <c r="B11" i="15"/>
  <c r="B22" i="17" s="1"/>
  <c r="B170" i="17"/>
  <c r="F23" i="15"/>
  <c r="F23" i="17" s="1"/>
  <c r="F173" i="17"/>
  <c r="B23" i="15"/>
  <c r="B23" i="17" s="1"/>
  <c r="B173" i="17"/>
  <c r="G23" i="15"/>
  <c r="G23" i="17" s="1"/>
  <c r="G173" i="17"/>
  <c r="I23" i="15"/>
  <c r="I23" i="17" s="1"/>
  <c r="I173" i="17"/>
  <c r="H11" i="15"/>
  <c r="H170" i="17"/>
  <c r="C23" i="15"/>
  <c r="C23" i="17" s="1"/>
  <c r="C173" i="17"/>
  <c r="E23" i="15"/>
  <c r="E23" i="17" s="1"/>
  <c r="E173" i="17"/>
  <c r="I11" i="15"/>
  <c r="I170" i="17"/>
  <c r="F11" i="15"/>
  <c r="F170" i="17"/>
  <c r="D11" i="15"/>
  <c r="D170" i="17"/>
  <c r="E11" i="15"/>
  <c r="E170" i="17"/>
  <c r="G11" i="15"/>
  <c r="G170" i="17"/>
  <c r="K23" i="15"/>
  <c r="K23" i="17" s="1"/>
  <c r="K173" i="17"/>
  <c r="J23" i="15"/>
  <c r="J23" i="17" s="1"/>
  <c r="J173" i="17"/>
  <c r="H23" i="15"/>
  <c r="H23" i="17" s="1"/>
  <c r="H173" i="17"/>
  <c r="D23" i="15"/>
  <c r="D23" i="17" s="1"/>
  <c r="D173" i="17"/>
  <c r="B22" i="13" l="1"/>
  <c r="B165" i="13" s="1"/>
  <c r="B173" i="13" s="1"/>
  <c r="B12" i="15"/>
  <c r="B158" i="12"/>
  <c r="D24" i="15"/>
  <c r="B23" i="13"/>
  <c r="B166" i="13" s="1"/>
  <c r="B174" i="13" s="1"/>
  <c r="B24" i="15"/>
  <c r="H24" i="15"/>
  <c r="K24" i="15"/>
  <c r="E22" i="17"/>
  <c r="E12" i="15" s="1"/>
  <c r="F22" i="17"/>
  <c r="F12" i="15" s="1"/>
  <c r="E24" i="15"/>
  <c r="H22" i="17"/>
  <c r="H12" i="15" s="1"/>
  <c r="G24" i="15"/>
  <c r="F24" i="15"/>
  <c r="C22" i="17"/>
  <c r="C12" i="15" s="1"/>
  <c r="K22" i="17"/>
  <c r="K12" i="15" s="1"/>
  <c r="G22" i="17"/>
  <c r="G12" i="15" s="1"/>
  <c r="D22" i="17"/>
  <c r="D12" i="15" s="1"/>
  <c r="I22" i="17"/>
  <c r="I12" i="15" s="1"/>
  <c r="G16" i="17"/>
  <c r="G17" i="17"/>
  <c r="G19" i="17"/>
  <c r="G18" i="17"/>
  <c r="D16" i="17"/>
  <c r="D17" i="17"/>
  <c r="D18" i="17"/>
  <c r="D19" i="17"/>
  <c r="I18" i="17"/>
  <c r="I16" i="17"/>
  <c r="I17" i="17"/>
  <c r="I19" i="17"/>
  <c r="B19" i="17"/>
  <c r="B19" i="13" s="1"/>
  <c r="B17" i="17"/>
  <c r="B17" i="13" s="1"/>
  <c r="B160" i="13" s="1"/>
  <c r="B172" i="13" s="1"/>
  <c r="B18" i="17"/>
  <c r="B18" i="13" s="1"/>
  <c r="B16" i="17"/>
  <c r="B16" i="13" s="1"/>
  <c r="B159" i="13" s="1"/>
  <c r="J16" i="17"/>
  <c r="J18" i="17"/>
  <c r="J19" i="17"/>
  <c r="J17" i="17"/>
  <c r="I24" i="15"/>
  <c r="J22" i="17"/>
  <c r="J12" i="15" s="1"/>
  <c r="B170" i="12"/>
  <c r="J24" i="15"/>
  <c r="C24" i="15"/>
  <c r="E19" i="17"/>
  <c r="E18" i="17"/>
  <c r="E17" i="17"/>
  <c r="E16" i="17"/>
  <c r="F16" i="17"/>
  <c r="F19" i="17"/>
  <c r="F18" i="17"/>
  <c r="F17" i="17"/>
  <c r="H18" i="17"/>
  <c r="H17" i="17"/>
  <c r="H19" i="17"/>
  <c r="H16" i="17"/>
  <c r="C17" i="17"/>
  <c r="C16" i="17"/>
  <c r="C19" i="17"/>
  <c r="C18" i="17"/>
  <c r="K18" i="17"/>
  <c r="K17" i="17"/>
  <c r="K16" i="17"/>
  <c r="K19" i="17"/>
  <c r="B171" i="13" l="1"/>
  <c r="B161" i="13"/>
  <c r="B176" i="13"/>
  <c r="B162" i="13"/>
  <c r="B177" i="13"/>
  <c r="B158" i="13" l="1"/>
  <c r="B170" i="13"/>
  <c r="I7" i="15" l="1"/>
  <c r="I22" i="18" s="1"/>
  <c r="I170" i="18"/>
  <c r="I19" i="18" l="1"/>
  <c r="I18" i="18"/>
  <c r="I17" i="18"/>
  <c r="I16" i="18"/>
  <c r="I8" i="15"/>
  <c r="H7" i="15"/>
  <c r="H22" i="18" s="1"/>
  <c r="G170" i="18"/>
  <c r="H8" i="15" l="1"/>
  <c r="G18" i="18"/>
  <c r="G17" i="18"/>
  <c r="G16" i="18"/>
  <c r="G19" i="18"/>
  <c r="G7" i="15"/>
  <c r="G22" i="18" s="1"/>
  <c r="H170" i="18"/>
  <c r="J7" i="15"/>
  <c r="J22" i="18" s="1"/>
  <c r="J170" i="18"/>
  <c r="E7" i="15"/>
  <c r="E22" i="18" s="1"/>
  <c r="E170" i="18"/>
  <c r="K7" i="15"/>
  <c r="K22" i="18" s="1"/>
  <c r="K170" i="18"/>
  <c r="E8" i="15" l="1"/>
  <c r="G8" i="15"/>
  <c r="K18" i="18"/>
  <c r="K19" i="18"/>
  <c r="K17" i="18"/>
  <c r="K16" i="18"/>
  <c r="J18" i="18"/>
  <c r="J19" i="18"/>
  <c r="J17" i="18"/>
  <c r="J16" i="18"/>
  <c r="K8" i="15"/>
  <c r="J8" i="15"/>
  <c r="E17" i="18"/>
  <c r="E16" i="18"/>
  <c r="E19" i="18"/>
  <c r="E18" i="18"/>
  <c r="H16" i="18"/>
  <c r="H18" i="18"/>
  <c r="H17" i="18"/>
  <c r="H19" i="18"/>
  <c r="F22" i="18"/>
  <c r="F170" i="18"/>
  <c r="F16" i="18" l="1"/>
  <c r="F17" i="18"/>
  <c r="F19" i="18"/>
  <c r="F18" i="18"/>
  <c r="F8" i="15"/>
  <c r="D7" i="15" l="1"/>
  <c r="D22" i="18" s="1"/>
  <c r="D170" i="18"/>
  <c r="C7" i="15"/>
  <c r="C22" i="18" s="1"/>
  <c r="C170" i="18"/>
  <c r="C8" i="15" l="1"/>
  <c r="D8" i="15"/>
  <c r="D16" i="18"/>
  <c r="D17" i="18"/>
  <c r="D18" i="18"/>
  <c r="D19" i="18"/>
  <c r="C16" i="18"/>
  <c r="C17" i="18"/>
  <c r="C18" i="18"/>
  <c r="C19" i="18"/>
  <c r="O78" i="8" l="1"/>
  <c r="N78" i="8"/>
  <c r="M78" i="8"/>
  <c r="L78" i="8"/>
  <c r="K78" i="8"/>
  <c r="J78" i="8"/>
  <c r="I78" i="8"/>
  <c r="H78" i="8"/>
  <c r="G78" i="8"/>
  <c r="O77" i="8"/>
  <c r="N77" i="8"/>
  <c r="M77" i="8"/>
  <c r="L77" i="8"/>
  <c r="K77" i="8"/>
  <c r="J77" i="8"/>
  <c r="I77" i="8"/>
  <c r="H77" i="8"/>
  <c r="G77" i="8"/>
  <c r="O67" i="8"/>
  <c r="N67" i="8"/>
  <c r="M67" i="8"/>
  <c r="L67" i="8"/>
  <c r="K67" i="8"/>
  <c r="J67" i="8"/>
  <c r="I67" i="8"/>
  <c r="H67" i="8"/>
  <c r="G67" i="8"/>
  <c r="G66" i="8"/>
  <c r="C96" i="12" l="1"/>
  <c r="C96" i="6"/>
  <c r="C93" i="6"/>
  <c r="C99" i="13"/>
  <c r="C94" i="13"/>
  <c r="C94" i="12"/>
  <c r="C99" i="12"/>
  <c r="C94" i="6"/>
  <c r="C100" i="6"/>
  <c r="C96" i="13"/>
  <c r="C93" i="13"/>
  <c r="C100" i="12"/>
  <c r="C93" i="12"/>
  <c r="C99" i="6"/>
  <c r="C95" i="6"/>
  <c r="C95" i="12"/>
  <c r="C100" i="13"/>
  <c r="C95" i="13"/>
  <c r="C97" i="13" s="1"/>
  <c r="K95" i="6"/>
  <c r="K100" i="13"/>
  <c r="K94" i="13"/>
  <c r="K99" i="6"/>
  <c r="K99" i="12"/>
  <c r="K94" i="12"/>
  <c r="K93" i="12"/>
  <c r="K100" i="12"/>
  <c r="K93" i="13"/>
  <c r="K94" i="6"/>
  <c r="K96" i="13"/>
  <c r="K100" i="6"/>
  <c r="K93" i="6"/>
  <c r="K95" i="13"/>
  <c r="K96" i="12"/>
  <c r="K95" i="12"/>
  <c r="K96" i="6"/>
  <c r="K99" i="13"/>
  <c r="D93" i="6"/>
  <c r="D99" i="13"/>
  <c r="D96" i="6"/>
  <c r="D96" i="12"/>
  <c r="D93" i="12"/>
  <c r="D94" i="6"/>
  <c r="D95" i="12"/>
  <c r="D99" i="6"/>
  <c r="D94" i="13"/>
  <c r="D95" i="6"/>
  <c r="D95" i="13"/>
  <c r="D100" i="6"/>
  <c r="D100" i="13"/>
  <c r="D100" i="12"/>
  <c r="D99" i="12"/>
  <c r="D93" i="13"/>
  <c r="D94" i="12"/>
  <c r="D96" i="13"/>
  <c r="C22" i="12"/>
  <c r="C165" i="12" s="1"/>
  <c r="C173" i="12" s="1"/>
  <c r="C23" i="6"/>
  <c r="C17" i="6"/>
  <c r="C19" i="13"/>
  <c r="C22" i="13"/>
  <c r="C19" i="12"/>
  <c r="C23" i="12"/>
  <c r="C22" i="6"/>
  <c r="C165" i="6" s="1"/>
  <c r="C16" i="6"/>
  <c r="C18" i="6"/>
  <c r="C23" i="13"/>
  <c r="C166" i="13" s="1"/>
  <c r="C174" i="13" s="1"/>
  <c r="C18" i="12"/>
  <c r="C17" i="12"/>
  <c r="C16" i="12"/>
  <c r="C19" i="6"/>
  <c r="C162" i="6" s="1"/>
  <c r="C18" i="13"/>
  <c r="C16" i="13"/>
  <c r="C159" i="13" s="1"/>
  <c r="C17" i="13"/>
  <c r="E95" i="13"/>
  <c r="E100" i="12"/>
  <c r="E93" i="13"/>
  <c r="E95" i="12"/>
  <c r="E96" i="6"/>
  <c r="E93" i="12"/>
  <c r="E99" i="6"/>
  <c r="E96" i="12"/>
  <c r="E95" i="6"/>
  <c r="E94" i="6"/>
  <c r="E96" i="13"/>
  <c r="E100" i="13"/>
  <c r="E94" i="13"/>
  <c r="E94" i="12"/>
  <c r="E100" i="6"/>
  <c r="E93" i="6"/>
  <c r="E99" i="13"/>
  <c r="E99" i="12"/>
  <c r="I94" i="6"/>
  <c r="I93" i="12"/>
  <c r="I93" i="13"/>
  <c r="I96" i="13"/>
  <c r="I99" i="12"/>
  <c r="I96" i="6"/>
  <c r="I95" i="6"/>
  <c r="I95" i="12"/>
  <c r="I99" i="13"/>
  <c r="I96" i="12"/>
  <c r="I95" i="13"/>
  <c r="I100" i="6"/>
  <c r="I99" i="6"/>
  <c r="I93" i="6"/>
  <c r="I100" i="13"/>
  <c r="I94" i="12"/>
  <c r="I94" i="13"/>
  <c r="I100" i="12"/>
  <c r="G96" i="6"/>
  <c r="G95" i="12"/>
  <c r="G99" i="13"/>
  <c r="G93" i="6"/>
  <c r="G93" i="12"/>
  <c r="G96" i="13"/>
  <c r="G99" i="12"/>
  <c r="G95" i="6"/>
  <c r="G93" i="13"/>
  <c r="G94" i="12"/>
  <c r="G99" i="6"/>
  <c r="G94" i="13"/>
  <c r="G100" i="6"/>
  <c r="G95" i="13"/>
  <c r="G96" i="12"/>
  <c r="G100" i="13"/>
  <c r="G94" i="6"/>
  <c r="G100" i="12"/>
  <c r="H100" i="13"/>
  <c r="H93" i="6"/>
  <c r="H95" i="13"/>
  <c r="H93" i="13"/>
  <c r="H99" i="13"/>
  <c r="H96" i="6"/>
  <c r="H94" i="13"/>
  <c r="H93" i="12"/>
  <c r="H95" i="6"/>
  <c r="H99" i="6"/>
  <c r="H100" i="12"/>
  <c r="H99" i="12"/>
  <c r="H96" i="13"/>
  <c r="H94" i="12"/>
  <c r="H96" i="12"/>
  <c r="H95" i="12"/>
  <c r="H100" i="6"/>
  <c r="H94" i="6"/>
  <c r="F100" i="6"/>
  <c r="F93" i="12"/>
  <c r="F96" i="6"/>
  <c r="F99" i="13"/>
  <c r="F93" i="13"/>
  <c r="F96" i="13"/>
  <c r="F94" i="12"/>
  <c r="F94" i="13"/>
  <c r="F95" i="12"/>
  <c r="F93" i="6"/>
  <c r="F95" i="6"/>
  <c r="F95" i="13"/>
  <c r="F99" i="12"/>
  <c r="F100" i="12"/>
  <c r="F94" i="6"/>
  <c r="F99" i="6"/>
  <c r="F100" i="13"/>
  <c r="F96" i="12"/>
  <c r="J95" i="13"/>
  <c r="J100" i="13"/>
  <c r="J93" i="6"/>
  <c r="J93" i="12"/>
  <c r="J99" i="6"/>
  <c r="J94" i="12"/>
  <c r="J96" i="13"/>
  <c r="J96" i="12"/>
  <c r="J99" i="13"/>
  <c r="J95" i="12"/>
  <c r="J99" i="12"/>
  <c r="J100" i="12"/>
  <c r="J94" i="13"/>
  <c r="J93" i="13"/>
  <c r="J94" i="6"/>
  <c r="J100" i="6"/>
  <c r="J95" i="6"/>
  <c r="J96" i="6"/>
  <c r="E97" i="6" l="1"/>
  <c r="E92" i="6" s="1"/>
  <c r="G97" i="13"/>
  <c r="J97" i="6"/>
  <c r="J92" i="6" s="1"/>
  <c r="H97" i="6"/>
  <c r="H92" i="6" s="1"/>
  <c r="C165" i="13"/>
  <c r="C173" i="13" s="1"/>
  <c r="D97" i="12"/>
  <c r="F97" i="6"/>
  <c r="F92" i="6" s="1"/>
  <c r="H97" i="12"/>
  <c r="G97" i="12"/>
  <c r="I97" i="12"/>
  <c r="D97" i="6"/>
  <c r="D92" i="6" s="1"/>
  <c r="K97" i="12"/>
  <c r="H97" i="13"/>
  <c r="I97" i="13"/>
  <c r="I97" i="6"/>
  <c r="I92" i="6" s="1"/>
  <c r="E97" i="13"/>
  <c r="C166" i="12"/>
  <c r="C160" i="6"/>
  <c r="C17" i="19" s="1"/>
  <c r="F97" i="12"/>
  <c r="J97" i="12"/>
  <c r="F97" i="13"/>
  <c r="G97" i="6"/>
  <c r="G92" i="6" s="1"/>
  <c r="E97" i="12"/>
  <c r="C160" i="13"/>
  <c r="C159" i="12"/>
  <c r="C161" i="6"/>
  <c r="C20" i="6"/>
  <c r="C15" i="6" s="1"/>
  <c r="C177" i="12"/>
  <c r="C162" i="12"/>
  <c r="C166" i="6"/>
  <c r="K97" i="13"/>
  <c r="C97" i="12"/>
  <c r="J97" i="13"/>
  <c r="C171" i="13"/>
  <c r="C12" i="19"/>
  <c r="C160" i="12"/>
  <c r="C159" i="6"/>
  <c r="C8" i="19" s="1"/>
  <c r="D97" i="13"/>
  <c r="K97" i="6"/>
  <c r="K92" i="6" s="1"/>
  <c r="C97" i="6"/>
  <c r="C92" i="6" s="1"/>
  <c r="C161" i="13"/>
  <c r="C20" i="13"/>
  <c r="C163" i="13" s="1"/>
  <c r="C176" i="13"/>
  <c r="C176" i="12"/>
  <c r="C161" i="12"/>
  <c r="C20" i="12"/>
  <c r="C162" i="13"/>
  <c r="C177" i="13"/>
  <c r="C174" i="12" l="1"/>
  <c r="C163" i="12"/>
  <c r="C158" i="13"/>
  <c r="C172" i="13"/>
  <c r="C170" i="13" s="1"/>
  <c r="C21" i="19"/>
  <c r="C172" i="12"/>
  <c r="C19" i="19"/>
  <c r="C163" i="6"/>
  <c r="C158" i="6" s="1"/>
  <c r="C10" i="19"/>
  <c r="C171" i="12"/>
  <c r="C170" i="12" l="1"/>
  <c r="C158" i="12"/>
  <c r="I66" i="8" l="1"/>
  <c r="J66" i="8"/>
  <c r="L66" i="8"/>
  <c r="F19" i="6" l="1"/>
  <c r="F162" i="6" s="1"/>
  <c r="F19" i="12"/>
  <c r="F23" i="13"/>
  <c r="F166" i="13" s="1"/>
  <c r="F174" i="13" s="1"/>
  <c r="F17" i="6"/>
  <c r="F160" i="6" s="1"/>
  <c r="F17" i="19" s="1"/>
  <c r="F22" i="12"/>
  <c r="F165" i="12" s="1"/>
  <c r="F173" i="12" s="1"/>
  <c r="F16" i="12"/>
  <c r="F159" i="12" s="1"/>
  <c r="F18" i="13"/>
  <c r="F23" i="12"/>
  <c r="F19" i="13"/>
  <c r="F22" i="13"/>
  <c r="F165" i="13" s="1"/>
  <c r="F173" i="13" s="1"/>
  <c r="F23" i="6"/>
  <c r="F166" i="6" s="1"/>
  <c r="F18" i="6"/>
  <c r="F22" i="6"/>
  <c r="F165" i="6" s="1"/>
  <c r="F17" i="13"/>
  <c r="F160" i="13" s="1"/>
  <c r="F17" i="12"/>
  <c r="F160" i="12" s="1"/>
  <c r="F18" i="12"/>
  <c r="F16" i="6"/>
  <c r="F16" i="13"/>
  <c r="F159" i="13" s="1"/>
  <c r="E23" i="12"/>
  <c r="E17" i="12"/>
  <c r="E160" i="12" s="1"/>
  <c r="E19" i="12"/>
  <c r="E19" i="6"/>
  <c r="E162" i="6" s="1"/>
  <c r="E23" i="13"/>
  <c r="E166" i="13" s="1"/>
  <c r="E174" i="13" s="1"/>
  <c r="E22" i="12"/>
  <c r="E165" i="12" s="1"/>
  <c r="E173" i="12" s="1"/>
  <c r="E23" i="6"/>
  <c r="E166" i="6" s="1"/>
  <c r="E18" i="12"/>
  <c r="E16" i="6"/>
  <c r="E17" i="6"/>
  <c r="E160" i="6" s="1"/>
  <c r="E17" i="19" s="1"/>
  <c r="E22" i="6"/>
  <c r="E165" i="6" s="1"/>
  <c r="E16" i="12"/>
  <c r="E159" i="12" s="1"/>
  <c r="E18" i="13"/>
  <c r="E18" i="6"/>
  <c r="E22" i="13"/>
  <c r="E165" i="13" s="1"/>
  <c r="E173" i="13" s="1"/>
  <c r="E17" i="13"/>
  <c r="E160" i="13" s="1"/>
  <c r="E19" i="13"/>
  <c r="E16" i="13"/>
  <c r="E159" i="13" s="1"/>
  <c r="H16" i="6"/>
  <c r="H19" i="6"/>
  <c r="H162" i="6" s="1"/>
  <c r="H19" i="13"/>
  <c r="H18" i="6"/>
  <c r="H23" i="12"/>
  <c r="H17" i="13"/>
  <c r="H160" i="13" s="1"/>
  <c r="H19" i="12"/>
  <c r="H18" i="13"/>
  <c r="H22" i="6"/>
  <c r="H165" i="6" s="1"/>
  <c r="H18" i="12"/>
  <c r="H17" i="6"/>
  <c r="H160" i="6" s="1"/>
  <c r="H17" i="19" s="1"/>
  <c r="H17" i="12"/>
  <c r="H160" i="12" s="1"/>
  <c r="H22" i="12"/>
  <c r="H165" i="12" s="1"/>
  <c r="H173" i="12" s="1"/>
  <c r="H16" i="13"/>
  <c r="H159" i="13" s="1"/>
  <c r="H22" i="13"/>
  <c r="H165" i="13" s="1"/>
  <c r="H173" i="13" s="1"/>
  <c r="H23" i="13"/>
  <c r="H166" i="13" s="1"/>
  <c r="H174" i="13" s="1"/>
  <c r="H23" i="6"/>
  <c r="H166" i="6" s="1"/>
  <c r="H16" i="12"/>
  <c r="H159" i="12" s="1"/>
  <c r="M66" i="8"/>
  <c r="N66" i="8"/>
  <c r="H66" i="8"/>
  <c r="O66" i="8"/>
  <c r="K66" i="8"/>
  <c r="F166" i="12" l="1"/>
  <c r="H166" i="12"/>
  <c r="E166" i="12"/>
  <c r="H12" i="19"/>
  <c r="H171" i="13"/>
  <c r="E172" i="13"/>
  <c r="E21" i="19"/>
  <c r="F12" i="19"/>
  <c r="F171" i="13"/>
  <c r="D18" i="13"/>
  <c r="D17" i="6"/>
  <c r="D160" i="6" s="1"/>
  <c r="D17" i="19" s="1"/>
  <c r="D17" i="12"/>
  <c r="D160" i="12" s="1"/>
  <c r="D16" i="13"/>
  <c r="D159" i="13" s="1"/>
  <c r="D18" i="6"/>
  <c r="D16" i="6"/>
  <c r="D22" i="6"/>
  <c r="D165" i="6" s="1"/>
  <c r="D22" i="13"/>
  <c r="D165" i="13" s="1"/>
  <c r="D173" i="13" s="1"/>
  <c r="D23" i="12"/>
  <c r="D18" i="12"/>
  <c r="D19" i="13"/>
  <c r="D19" i="12"/>
  <c r="D17" i="13"/>
  <c r="D160" i="13" s="1"/>
  <c r="D23" i="6"/>
  <c r="D166" i="6" s="1"/>
  <c r="D22" i="12"/>
  <c r="D165" i="12" s="1"/>
  <c r="D173" i="12" s="1"/>
  <c r="D19" i="6"/>
  <c r="D162" i="6" s="1"/>
  <c r="D23" i="13"/>
  <c r="D166" i="13" s="1"/>
  <c r="D174" i="13" s="1"/>
  <c r="D16" i="12"/>
  <c r="D159" i="12" s="1"/>
  <c r="H172" i="12"/>
  <c r="H19" i="19"/>
  <c r="H20" i="13"/>
  <c r="H163" i="13" s="1"/>
  <c r="H161" i="13"/>
  <c r="H176" i="13"/>
  <c r="H20" i="6"/>
  <c r="H163" i="6" s="1"/>
  <c r="H161" i="6"/>
  <c r="E12" i="19"/>
  <c r="E171" i="13"/>
  <c r="E161" i="6"/>
  <c r="E20" i="6"/>
  <c r="E163" i="6" s="1"/>
  <c r="E19" i="19"/>
  <c r="E172" i="12"/>
  <c r="F161" i="12"/>
  <c r="F176" i="12"/>
  <c r="F20" i="12"/>
  <c r="F161" i="6"/>
  <c r="F20" i="6"/>
  <c r="F163" i="6" s="1"/>
  <c r="H21" i="19"/>
  <c r="H172" i="13"/>
  <c r="E177" i="12"/>
  <c r="E162" i="12"/>
  <c r="F159" i="6"/>
  <c r="F177" i="13"/>
  <c r="F162" i="13"/>
  <c r="J18" i="12"/>
  <c r="J23" i="6"/>
  <c r="J166" i="6" s="1"/>
  <c r="J22" i="13"/>
  <c r="J165" i="13" s="1"/>
  <c r="J173" i="13" s="1"/>
  <c r="J22" i="6"/>
  <c r="J165" i="6" s="1"/>
  <c r="J16" i="12"/>
  <c r="J159" i="12" s="1"/>
  <c r="J23" i="12"/>
  <c r="J17" i="12"/>
  <c r="J160" i="12" s="1"/>
  <c r="J19" i="6"/>
  <c r="J162" i="6" s="1"/>
  <c r="J22" i="12"/>
  <c r="J165" i="12" s="1"/>
  <c r="J173" i="12" s="1"/>
  <c r="J18" i="6"/>
  <c r="J19" i="13"/>
  <c r="J19" i="12"/>
  <c r="J17" i="6"/>
  <c r="J160" i="6" s="1"/>
  <c r="J17" i="19" s="1"/>
  <c r="J16" i="13"/>
  <c r="J159" i="13" s="1"/>
  <c r="J16" i="6"/>
  <c r="J17" i="13"/>
  <c r="J160" i="13" s="1"/>
  <c r="J23" i="13"/>
  <c r="J166" i="13" s="1"/>
  <c r="J174" i="13" s="1"/>
  <c r="J18" i="13"/>
  <c r="G16" i="6"/>
  <c r="G22" i="12"/>
  <c r="G165" i="12" s="1"/>
  <c r="G173" i="12" s="1"/>
  <c r="G17" i="6"/>
  <c r="G160" i="6" s="1"/>
  <c r="G17" i="19" s="1"/>
  <c r="G18" i="13"/>
  <c r="G19" i="12"/>
  <c r="G16" i="13"/>
  <c r="G159" i="13" s="1"/>
  <c r="G19" i="6"/>
  <c r="G162" i="6" s="1"/>
  <c r="G17" i="13"/>
  <c r="G160" i="13" s="1"/>
  <c r="G23" i="6"/>
  <c r="G166" i="6" s="1"/>
  <c r="G17" i="12"/>
  <c r="G160" i="12" s="1"/>
  <c r="G23" i="12"/>
  <c r="G19" i="13"/>
  <c r="G23" i="13"/>
  <c r="G166" i="13" s="1"/>
  <c r="G174" i="13" s="1"/>
  <c r="G18" i="6"/>
  <c r="G22" i="6"/>
  <c r="G165" i="6" s="1"/>
  <c r="G22" i="13"/>
  <c r="G165" i="13" s="1"/>
  <c r="G173" i="13" s="1"/>
  <c r="G16" i="12"/>
  <c r="G159" i="12" s="1"/>
  <c r="G18" i="12"/>
  <c r="I19" i="13"/>
  <c r="I19" i="6"/>
  <c r="I162" i="6" s="1"/>
  <c r="I22" i="12"/>
  <c r="I165" i="12" s="1"/>
  <c r="I173" i="12" s="1"/>
  <c r="I17" i="12"/>
  <c r="I160" i="12" s="1"/>
  <c r="I23" i="12"/>
  <c r="I17" i="6"/>
  <c r="I160" i="6" s="1"/>
  <c r="I17" i="19" s="1"/>
  <c r="I17" i="13"/>
  <c r="I160" i="13" s="1"/>
  <c r="I23" i="6"/>
  <c r="I166" i="6" s="1"/>
  <c r="I16" i="13"/>
  <c r="I159" i="13" s="1"/>
  <c r="I18" i="12"/>
  <c r="I23" i="13"/>
  <c r="I166" i="13" s="1"/>
  <c r="I174" i="13" s="1"/>
  <c r="I18" i="6"/>
  <c r="I19" i="12"/>
  <c r="I18" i="13"/>
  <c r="I22" i="6"/>
  <c r="I165" i="6" s="1"/>
  <c r="I22" i="13"/>
  <c r="I165" i="13" s="1"/>
  <c r="I173" i="13" s="1"/>
  <c r="I16" i="6"/>
  <c r="I16" i="12"/>
  <c r="I159" i="12" s="1"/>
  <c r="H162" i="12"/>
  <c r="H177" i="12"/>
  <c r="H177" i="13"/>
  <c r="H162" i="13"/>
  <c r="E162" i="13"/>
  <c r="E177" i="13"/>
  <c r="E20" i="13"/>
  <c r="E163" i="13" s="1"/>
  <c r="E176" i="13"/>
  <c r="E161" i="13"/>
  <c r="E159" i="6"/>
  <c r="F172" i="12"/>
  <c r="F19" i="19"/>
  <c r="F176" i="13"/>
  <c r="F161" i="13"/>
  <c r="F20" i="13"/>
  <c r="F163" i="13" s="1"/>
  <c r="H10" i="19"/>
  <c r="H171" i="12"/>
  <c r="E20" i="12"/>
  <c r="E176" i="12"/>
  <c r="E161" i="12"/>
  <c r="F21" i="19"/>
  <c r="F172" i="13"/>
  <c r="F10" i="19"/>
  <c r="F171" i="12"/>
  <c r="F177" i="12"/>
  <c r="F162" i="12"/>
  <c r="K19" i="12"/>
  <c r="K22" i="13"/>
  <c r="K165" i="13" s="1"/>
  <c r="K173" i="13" s="1"/>
  <c r="K19" i="13"/>
  <c r="K16" i="13"/>
  <c r="K159" i="13" s="1"/>
  <c r="K23" i="6"/>
  <c r="K166" i="6" s="1"/>
  <c r="K18" i="6"/>
  <c r="K22" i="12"/>
  <c r="K165" i="12" s="1"/>
  <c r="K173" i="12" s="1"/>
  <c r="K22" i="6"/>
  <c r="K165" i="6" s="1"/>
  <c r="K16" i="12"/>
  <c r="K159" i="12" s="1"/>
  <c r="K18" i="12"/>
  <c r="K17" i="12"/>
  <c r="K160" i="12" s="1"/>
  <c r="K17" i="6"/>
  <c r="K160" i="6" s="1"/>
  <c r="K17" i="19" s="1"/>
  <c r="K19" i="6"/>
  <c r="K162" i="6" s="1"/>
  <c r="K18" i="13"/>
  <c r="K17" i="13"/>
  <c r="K160" i="13" s="1"/>
  <c r="K23" i="13"/>
  <c r="K166" i="13" s="1"/>
  <c r="K174" i="13" s="1"/>
  <c r="K16" i="6"/>
  <c r="K23" i="12"/>
  <c r="H161" i="12"/>
  <c r="H176" i="12"/>
  <c r="H20" i="12"/>
  <c r="E10" i="19"/>
  <c r="E171" i="12"/>
  <c r="H159" i="6"/>
  <c r="H15" i="6"/>
  <c r="F158" i="13" l="1"/>
  <c r="E15" i="6"/>
  <c r="E163" i="12"/>
  <c r="I166" i="12"/>
  <c r="G166" i="12"/>
  <c r="D166" i="12"/>
  <c r="H174" i="12"/>
  <c r="H170" i="12" s="1"/>
  <c r="K166" i="12"/>
  <c r="E158" i="13"/>
  <c r="E174" i="12"/>
  <c r="E170" i="12" s="1"/>
  <c r="F174" i="12"/>
  <c r="F170" i="12" s="1"/>
  <c r="H163" i="12"/>
  <c r="J166" i="12"/>
  <c r="F15" i="6"/>
  <c r="F163" i="12"/>
  <c r="H158" i="13"/>
  <c r="K20" i="13"/>
  <c r="K163" i="13" s="1"/>
  <c r="K161" i="13"/>
  <c r="K176" i="13"/>
  <c r="K161" i="12"/>
  <c r="K176" i="12"/>
  <c r="K20" i="12"/>
  <c r="K161" i="6"/>
  <c r="K20" i="6"/>
  <c r="K163" i="6" s="1"/>
  <c r="I159" i="6"/>
  <c r="I162" i="12"/>
  <c r="I177" i="12"/>
  <c r="I12" i="19"/>
  <c r="I171" i="13"/>
  <c r="I177" i="13"/>
  <c r="I162" i="13"/>
  <c r="J171" i="12"/>
  <c r="J10" i="19"/>
  <c r="J161" i="12"/>
  <c r="J20" i="12"/>
  <c r="J176" i="12"/>
  <c r="F158" i="6"/>
  <c r="F8" i="19"/>
  <c r="D177" i="12"/>
  <c r="D162" i="12"/>
  <c r="D12" i="19"/>
  <c r="D171" i="13"/>
  <c r="H8" i="19"/>
  <c r="H158" i="6"/>
  <c r="K159" i="6"/>
  <c r="K10" i="19"/>
  <c r="K171" i="12"/>
  <c r="K162" i="12"/>
  <c r="K177" i="12"/>
  <c r="E8" i="19"/>
  <c r="E158" i="6"/>
  <c r="I20" i="6"/>
  <c r="I163" i="6" s="1"/>
  <c r="I161" i="6"/>
  <c r="I172" i="12"/>
  <c r="I19" i="19"/>
  <c r="G20" i="12"/>
  <c r="G176" i="12"/>
  <c r="G161" i="12"/>
  <c r="G161" i="6"/>
  <c r="G20" i="6"/>
  <c r="G163" i="6" s="1"/>
  <c r="G19" i="19"/>
  <c r="G172" i="12"/>
  <c r="G171" i="13"/>
  <c r="G12" i="19"/>
  <c r="J21" i="19"/>
  <c r="J172" i="13"/>
  <c r="J177" i="12"/>
  <c r="J162" i="12"/>
  <c r="E170" i="13"/>
  <c r="D177" i="13"/>
  <c r="D162" i="13"/>
  <c r="D19" i="19"/>
  <c r="D172" i="12"/>
  <c r="F170" i="13"/>
  <c r="K12" i="19"/>
  <c r="K171" i="13"/>
  <c r="I172" i="13"/>
  <c r="I21" i="19"/>
  <c r="G171" i="12"/>
  <c r="G10" i="19"/>
  <c r="G162" i="12"/>
  <c r="G177" i="12"/>
  <c r="G159" i="6"/>
  <c r="J159" i="6"/>
  <c r="J162" i="13"/>
  <c r="J177" i="13"/>
  <c r="J19" i="19"/>
  <c r="J172" i="12"/>
  <c r="D171" i="12"/>
  <c r="D10" i="19"/>
  <c r="D20" i="12"/>
  <c r="D176" i="12"/>
  <c r="D161" i="12"/>
  <c r="D159" i="6"/>
  <c r="H170" i="13"/>
  <c r="K172" i="13"/>
  <c r="K21" i="19"/>
  <c r="K172" i="12"/>
  <c r="K19" i="19"/>
  <c r="K177" i="13"/>
  <c r="K162" i="13"/>
  <c r="I171" i="12"/>
  <c r="I10" i="19"/>
  <c r="I176" i="13"/>
  <c r="I161" i="13"/>
  <c r="I20" i="13"/>
  <c r="I163" i="13" s="1"/>
  <c r="I20" i="12"/>
  <c r="I161" i="12"/>
  <c r="I176" i="12"/>
  <c r="G162" i="13"/>
  <c r="G177" i="13"/>
  <c r="G21" i="19"/>
  <c r="G172" i="13"/>
  <c r="G161" i="13"/>
  <c r="G176" i="13"/>
  <c r="G20" i="13"/>
  <c r="G163" i="13" s="1"/>
  <c r="J161" i="13"/>
  <c r="J176" i="13"/>
  <c r="J20" i="13"/>
  <c r="J163" i="13" s="1"/>
  <c r="J12" i="19"/>
  <c r="J171" i="13"/>
  <c r="J20" i="6"/>
  <c r="J163" i="6" s="1"/>
  <c r="J161" i="6"/>
  <c r="D172" i="13"/>
  <c r="D21" i="19"/>
  <c r="D20" i="6"/>
  <c r="D163" i="6" s="1"/>
  <c r="D161" i="6"/>
  <c r="D20" i="13"/>
  <c r="D163" i="13" s="1"/>
  <c r="D176" i="13"/>
  <c r="D161" i="13"/>
  <c r="K15" i="6" l="1"/>
  <c r="K158" i="13"/>
  <c r="J158" i="13"/>
  <c r="I158" i="13"/>
  <c r="K163" i="12"/>
  <c r="K174" i="12"/>
  <c r="K170" i="12" s="1"/>
  <c r="I163" i="12"/>
  <c r="D163" i="12"/>
  <c r="G163" i="12"/>
  <c r="J174" i="12"/>
  <c r="J170" i="12" s="1"/>
  <c r="G174" i="12"/>
  <c r="G170" i="12" s="1"/>
  <c r="E158" i="12"/>
  <c r="G158" i="13"/>
  <c r="D158" i="13"/>
  <c r="D174" i="12"/>
  <c r="D170" i="12" s="1"/>
  <c r="J163" i="12"/>
  <c r="H158" i="12"/>
  <c r="I174" i="12"/>
  <c r="I170" i="12" s="1"/>
  <c r="F158" i="12"/>
  <c r="D158" i="6"/>
  <c r="D8" i="19"/>
  <c r="J158" i="6"/>
  <c r="J8" i="19"/>
  <c r="G15" i="6"/>
  <c r="G170" i="13"/>
  <c r="K8" i="19"/>
  <c r="K158" i="6"/>
  <c r="D170" i="13"/>
  <c r="G8" i="19"/>
  <c r="G158" i="6"/>
  <c r="I170" i="13"/>
  <c r="I15" i="6"/>
  <c r="J170" i="13"/>
  <c r="D15" i="6"/>
  <c r="J15" i="6"/>
  <c r="K170" i="13"/>
  <c r="I8" i="19"/>
  <c r="I158" i="6"/>
  <c r="D158" i="12" l="1"/>
  <c r="G158" i="12"/>
  <c r="K158" i="12"/>
  <c r="I158" i="12"/>
  <c r="J158" i="12"/>
</calcChain>
</file>

<file path=xl/sharedStrings.xml><?xml version="1.0" encoding="utf-8"?>
<sst xmlns="http://schemas.openxmlformats.org/spreadsheetml/2006/main" count="540" uniqueCount="126">
  <si>
    <t>Region</t>
  </si>
  <si>
    <t>Fiscal Year</t>
  </si>
  <si>
    <t>Mode</t>
  </si>
  <si>
    <t>People in Sample</t>
  </si>
  <si>
    <t>Trips in Sample</t>
  </si>
  <si>
    <t>Total Trips</t>
  </si>
  <si>
    <t>(Million)</t>
  </si>
  <si>
    <t>Total Distance</t>
  </si>
  <si>
    <t>(Million KM)</t>
  </si>
  <si>
    <t>Total Duration</t>
  </si>
  <si>
    <t>(Milllion Hours)</t>
  </si>
  <si>
    <t>Total Trips (Millions)</t>
  </si>
  <si>
    <t>TOTAL</t>
  </si>
  <si>
    <t>Total Distance (Million Kilometres)</t>
  </si>
  <si>
    <t>Total Duration (Million Hours)</t>
  </si>
  <si>
    <t>Total Population</t>
  </si>
  <si>
    <t>Local Bus xAuck-Well-Chris</t>
  </si>
  <si>
    <t>Total Trips Before Final Adjustment (Millions)</t>
  </si>
  <si>
    <t>ADJUSTMENT CONSTANTS</t>
  </si>
  <si>
    <t>ACTUAL TOTAL</t>
  </si>
  <si>
    <t>Local Bus</t>
  </si>
  <si>
    <t>ORIGINAL TOTAL</t>
  </si>
  <si>
    <t>2012/13</t>
  </si>
  <si>
    <t>2013/14</t>
  </si>
  <si>
    <t>2014/15</t>
  </si>
  <si>
    <t>2017/18</t>
  </si>
  <si>
    <t>2022/23</t>
  </si>
  <si>
    <t>2027/28</t>
  </si>
  <si>
    <t>2032/33</t>
  </si>
  <si>
    <t>2037/38</t>
  </si>
  <si>
    <t>2042/43</t>
  </si>
  <si>
    <t>Actual</t>
  </si>
  <si>
    <t>Projected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</si>
  <si>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</si>
  <si>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</si>
  <si>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</si>
  <si>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</si>
  <si>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</si>
  <si>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</si>
  <si>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</si>
  <si>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</si>
  <si>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</si>
  <si>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</si>
  <si>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</si>
  <si>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</si>
  <si>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</si>
  <si>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</si>
  <si>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Congestion Charging Assumptions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</si>
  <si>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</si>
  <si>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</si>
  <si>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</si>
  <si>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</si>
  <si>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</si>
  <si>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</si>
  <si>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</si>
  <si>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</si>
  <si>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</si>
  <si>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</si>
  <si>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</si>
  <si>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Total Duration Before Final Adjustment (Million Hours)</t>
  </si>
  <si>
    <t xml:space="preserve">PT Assumptions </t>
  </si>
  <si>
    <t>Fraction Drawn from Other Modes</t>
  </si>
  <si>
    <t>Pedestrian</t>
  </si>
  <si>
    <t>Cyclist</t>
  </si>
  <si>
    <t>Light Vehicle Drivers</t>
  </si>
  <si>
    <t>Light Vehicle Passengers</t>
  </si>
  <si>
    <t>Bus</t>
  </si>
  <si>
    <t>NET LOCAL TRAIN INCREASE</t>
  </si>
  <si>
    <t>NET LOCAL BUS INCREASE</t>
  </si>
  <si>
    <t>Assumed Change in Average Trip Length</t>
  </si>
  <si>
    <t>Total Distance Travelled Before Final Adjustment (Million KM)</t>
  </si>
  <si>
    <t>All Regions</t>
  </si>
  <si>
    <t xml:space="preserve">Active Mode Assumptions </t>
  </si>
  <si>
    <t>Growth of Pedestrian Trips Compared to BAU</t>
  </si>
  <si>
    <t>Implied Pedestrian Trips Per Capita</t>
  </si>
  <si>
    <t>Growth of Cycling Trips Compared to BAU</t>
  </si>
  <si>
    <t>Implied Cycling Trips per Capita</t>
  </si>
  <si>
    <t>Growth of Pedestrian Kilometres Compared to BAU</t>
  </si>
  <si>
    <t>Implied Pedestrian Kilometres Per Capita</t>
  </si>
  <si>
    <t>Growth of Pedestrian Hours Compared to BAU</t>
  </si>
  <si>
    <t>Implied Pedestrian Hours Per Capita</t>
  </si>
  <si>
    <t>Growth of Cycling Kilometres Compared to BAU</t>
  </si>
  <si>
    <t>Implied Cycling Kilometres per Capita</t>
  </si>
  <si>
    <t>Growth of Cycling Hours Compared to BAU</t>
  </si>
  <si>
    <t>Implied Cycling Hours per Capita</t>
  </si>
  <si>
    <t>Growth of Local Train Trips Compared to BAU</t>
  </si>
  <si>
    <t>Growth of Local Ferry Trips Compared to BAU</t>
  </si>
  <si>
    <t>Implied Local Train Trips (Millions)</t>
  </si>
  <si>
    <t>Implied Local Bus Trips (Millions)</t>
  </si>
  <si>
    <t>Implied Local Train Passenger-Kilometres (Millions)</t>
  </si>
  <si>
    <t>Implied Local Bus Passenger-Kilometres (Millions)</t>
  </si>
  <si>
    <t>Implied Local Bus Passenger-Hours (Millions)</t>
  </si>
  <si>
    <t>Implied Local Train Passenger-Hours (Millions)</t>
  </si>
  <si>
    <t>Implied Local Ferry Trips (Millions)</t>
  </si>
  <si>
    <t>Growth of Local Train Passenger-Kilometres Compared to BAU</t>
  </si>
  <si>
    <t>Growth of Local Train Passenger-Hours Compared to BAU</t>
  </si>
  <si>
    <t>Growth of Local Bus Trips Compared to BAU</t>
  </si>
  <si>
    <t>Growth of Local Bus Passenger-Kilometres Compared to BAU</t>
  </si>
  <si>
    <t>Growth of Local Bus Passenger-Hours Compared to BAU</t>
  </si>
  <si>
    <t>Growth of Local Ferry Passenger-Kilometres Compared to BAU</t>
  </si>
  <si>
    <t>Implied Local Ferry Passenger-Kilometres (Millions)</t>
  </si>
  <si>
    <t>Growth of Local Ferry Passenger-Hours Compared to BAU</t>
  </si>
  <si>
    <t>Implied Local Ferry Passenger-Hours (Millions)</t>
  </si>
  <si>
    <t>NEW ZEALAND TOTAL</t>
  </si>
  <si>
    <t>Local Train</t>
  </si>
  <si>
    <t>Other Modes</t>
  </si>
  <si>
    <t>Light Vehicle Driver</t>
  </si>
  <si>
    <t>Light Vehicle Passenger</t>
  </si>
  <si>
    <t>RESULTS FOR HEALTH MODEL (VEHICLE SHARE COMBINED W/LIGHT VEHICLE DRIVERS AND PASSENGERS)</t>
  </si>
  <si>
    <t>TRIPS/PERSON BASED ON ORIGINAL TOTALS AND ORIGINAL POPULATION</t>
  </si>
  <si>
    <t>CHECK: TRIPS/PERSON BASED ON ACTUAL TOTALS AND  UPDATED POPULATION</t>
  </si>
  <si>
    <t>TOTAL - XAUCK-WELL-CANT</t>
  </si>
  <si>
    <t>KILOMETRES/PERSON BASED ON ORIGINAL TOTALS AND ORIGINAL POPULATION</t>
  </si>
  <si>
    <t>CHECK: KILOMETRES/PERSON BASED ON ACTUAL TOTALS AND  UPDATED POPULATION</t>
  </si>
  <si>
    <t>HOURS/PERSON BASED ON ORIGINAL TOTALS AND ORIGINAL POPULATION</t>
  </si>
  <si>
    <t>CHECK: HOURS/PERSON BASED ON ACTUAL TOTALS AND  UPDATED POPULATION</t>
  </si>
  <si>
    <t>Taxi/Vehicle Share</t>
  </si>
  <si>
    <t>This workbook was copied from X:\Transport Outlook\Scenarios\base\Model Results\trip_summary_region_postprocess base 20170717 updated.xlsx</t>
  </si>
  <si>
    <t>2015/16</t>
  </si>
  <si>
    <t>2016/17</t>
  </si>
  <si>
    <t>2047/48</t>
  </si>
  <si>
    <t>2052/53</t>
  </si>
  <si>
    <t>2057/58</t>
  </si>
  <si>
    <t>NET LOCAL TRAIN INCREASE BEYOND BASE YEAR ADJUSTMENT</t>
  </si>
  <si>
    <t>NET LOCAL BUS INCREASE BEYOND BASE YEAR ADJUSTMENT</t>
  </si>
  <si>
    <t>It was then further copied from X:\Transport Outlook\Version 2 Models\Base\trip_summary_region_postprocess Version 2 base 20181206 on 13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</si>
</sst>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00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5" fontId="0" fillId="0" borderId="0" xfId="0" applyNumberFormat="1"/>
    <xf numFmtId="1" fontId="0" fillId="0" borderId="0" xfId="0" applyNumberFormat="1"/>
    <xf numFmtId="0" fontId="18" fillId="0" borderId="10" xfId="0" applyFont="1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33" borderId="18" xfId="0" applyFont="1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0" xfId="0" applyNumberFormat="1" applyBorder="1"/>
    <xf numFmtId="167" fontId="0" fillId="34" borderId="0" xfId="0" applyNumberFormat="1" applyFill="1" applyBorder="1"/>
    <xf numFmtId="167" fontId="0" fillId="34" borderId="14" xfId="0" applyNumberFormat="1" applyFill="1" applyBorder="1"/>
    <xf numFmtId="0" fontId="18" fillId="33" borderId="19" xfId="0" applyFont="1" applyFill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34" borderId="21" xfId="0" applyNumberFormat="1" applyFill="1" applyBorder="1"/>
    <xf numFmtId="167" fontId="0" fillId="34" borderId="22" xfId="0" applyNumberFormat="1" applyFill="1" applyBorder="1"/>
    <xf numFmtId="0" fontId="0" fillId="0" borderId="23" xfId="0" applyBorder="1"/>
    <xf numFmtId="0" fontId="0" fillId="0" borderId="0" xfId="0" applyBorder="1"/>
    <xf numFmtId="0" fontId="0" fillId="0" borderId="14" xfId="0" applyBorder="1"/>
    <xf numFmtId="0" fontId="0" fillId="33" borderId="0" xfId="0" applyFill="1" applyBorder="1"/>
    <xf numFmtId="0" fontId="0" fillId="33" borderId="18" xfId="0" applyFill="1" applyBorder="1"/>
    <xf numFmtId="0" fontId="0" fillId="0" borderId="0" xfId="0" applyFill="1" applyBorder="1"/>
    <xf numFmtId="0" fontId="0" fillId="0" borderId="21" xfId="0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0" fontId="18" fillId="33" borderId="18" xfId="0" applyFont="1" applyFill="1" applyBorder="1" applyAlignment="1">
      <alignment horizontal="left" indent="1"/>
    </xf>
    <xf numFmtId="167" fontId="0" fillId="0" borderId="13" xfId="0" applyNumberFormat="1" applyFill="1" applyBorder="1"/>
    <xf numFmtId="167" fontId="0" fillId="0" borderId="0" xfId="0" applyNumberFormat="1" applyFill="1" applyBorder="1"/>
    <xf numFmtId="167" fontId="0" fillId="0" borderId="14" xfId="0" applyNumberFormat="1" applyFill="1" applyBorder="1"/>
    <xf numFmtId="0" fontId="18" fillId="33" borderId="18" xfId="0" applyFont="1" applyFill="1" applyBorder="1" applyAlignment="1">
      <alignment horizontal="left" indent="2"/>
    </xf>
    <xf numFmtId="0" fontId="18" fillId="33" borderId="19" xfId="0" applyFont="1" applyFill="1" applyBorder="1" applyAlignment="1">
      <alignment horizontal="left" indent="2"/>
    </xf>
    <xf numFmtId="164" fontId="0" fillId="0" borderId="0" xfId="0" applyNumberFormat="1" applyFill="1" applyBorder="1"/>
    <xf numFmtId="164" fontId="0" fillId="0" borderId="14" xfId="0" applyNumberFormat="1" applyFill="1" applyBorder="1"/>
    <xf numFmtId="167" fontId="0" fillId="34" borderId="13" xfId="0" applyNumberFormat="1" applyFill="1" applyBorder="1"/>
    <xf numFmtId="0" fontId="18" fillId="33" borderId="0" xfId="0" applyFont="1" applyFill="1" applyBorder="1" applyAlignment="1">
      <alignment horizontal="left" indent="1"/>
    </xf>
    <xf numFmtId="0" fontId="18" fillId="33" borderId="22" xfId="0" applyFont="1" applyFill="1" applyBorder="1" applyAlignment="1">
      <alignment horizontal="left" indent="1"/>
    </xf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13" xfId="0" applyNumberFormat="1" applyFill="1" applyBorder="1"/>
    <xf numFmtId="164" fontId="0" fillId="0" borderId="20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0" fillId="0" borderId="14" xfId="0" applyFill="1" applyBorder="1"/>
    <xf numFmtId="4" fontId="0" fillId="0" borderId="0" xfId="0" applyNumberFormat="1"/>
    <xf numFmtId="167" fontId="0" fillId="34" borderId="20" xfId="0" applyNumberFormat="1" applyFill="1" applyBorder="1"/>
    <xf numFmtId="166" fontId="0" fillId="35" borderId="0" xfId="0" applyNumberFormat="1" applyFill="1"/>
    <xf numFmtId="0" fontId="0" fillId="35" borderId="0" xfId="0" applyFill="1"/>
    <xf numFmtId="165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PT%20Trips%20from%20AT%2020181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PT%20Trips%20from%20GWRC%2020181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clo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Close%20201907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%20close%2020161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PT 2018 outputs"/>
      <sheetName val="PT Projections 2017"/>
      <sheetName val="Historical Statistics"/>
      <sheetName val="Summary Data"/>
      <sheetName val="Annual Projections"/>
      <sheetName val="Transition "/>
    </sheetNames>
    <sheetDataSet>
      <sheetData sheetId="0"/>
      <sheetData sheetId="1"/>
      <sheetData sheetId="2"/>
      <sheetData sheetId="3">
        <row r="32">
          <cell r="B32">
            <v>1.1504942223956107</v>
          </cell>
        </row>
      </sheetData>
      <sheetData sheetId="4"/>
      <sheetData sheetId="5">
        <row r="30">
          <cell r="B30">
            <v>0.94809013753953852</v>
          </cell>
          <cell r="C30">
            <v>1.9292233689221983</v>
          </cell>
          <cell r="D30">
            <v>3.123397949541312</v>
          </cell>
          <cell r="E30">
            <v>4.1465737157088958</v>
          </cell>
          <cell r="F30">
            <v>4.48351564957657</v>
          </cell>
          <cell r="G30">
            <v>4.8558252426324851</v>
          </cell>
          <cell r="H30">
            <v>5.2294284789181615</v>
          </cell>
          <cell r="I30">
            <v>5.5298819820419149</v>
          </cell>
          <cell r="J30">
            <v>5.8442434518179809</v>
          </cell>
          <cell r="K30">
            <v>6.1897779032082072</v>
          </cell>
        </row>
        <row r="31">
          <cell r="B31">
            <v>1.2566494043264</v>
          </cell>
          <cell r="C31">
            <v>2.2936556106006964</v>
          </cell>
          <cell r="D31">
            <v>4.3203624402873233</v>
          </cell>
          <cell r="E31">
            <v>6.0760797357522387</v>
          </cell>
          <cell r="F31">
            <v>6.6819455632741089</v>
          </cell>
          <cell r="G31">
            <v>7.312884286797189</v>
          </cell>
          <cell r="H31">
            <v>7.934249919146402</v>
          </cell>
          <cell r="I31">
            <v>8.468889343292652</v>
          </cell>
          <cell r="J31">
            <v>9.0276532051720597</v>
          </cell>
          <cell r="K31">
            <v>9.6440090170115429</v>
          </cell>
        </row>
        <row r="32">
          <cell r="B32">
            <v>1.2566494043264</v>
          </cell>
          <cell r="C32">
            <v>2.2925800761473454</v>
          </cell>
          <cell r="D32">
            <v>4.30712661223588</v>
          </cell>
          <cell r="E32">
            <v>6.0634122924469587</v>
          </cell>
          <cell r="F32">
            <v>6.6970856810023145</v>
          </cell>
          <cell r="G32">
            <v>7.3312050555085744</v>
          </cell>
          <cell r="H32">
            <v>7.9587296700766048</v>
          </cell>
          <cell r="I32">
            <v>8.4950186313654861</v>
          </cell>
          <cell r="J32">
            <v>9.0555064621527315</v>
          </cell>
          <cell r="K32">
            <v>9.6737639328650715</v>
          </cell>
        </row>
        <row r="33">
          <cell r="B33">
            <v>0.98394675642792462</v>
          </cell>
          <cell r="C33">
            <v>1.0830075391043177</v>
          </cell>
          <cell r="D33">
            <v>1.1584383991115319</v>
          </cell>
          <cell r="E33">
            <v>1.2130129472760938</v>
          </cell>
          <cell r="F33">
            <v>1.280897763401694</v>
          </cell>
          <cell r="G33">
            <v>1.3457408612961363</v>
          </cell>
          <cell r="H33">
            <v>1.414516930860535</v>
          </cell>
          <cell r="I33">
            <v>1.4598770258046889</v>
          </cell>
          <cell r="J33">
            <v>1.5082759409922215</v>
          </cell>
          <cell r="K33">
            <v>1.5616354680338453</v>
          </cell>
        </row>
        <row r="34">
          <cell r="B34">
            <v>0.9988948230602277</v>
          </cell>
          <cell r="C34">
            <v>1.0046613689713551</v>
          </cell>
          <cell r="D34">
            <v>1.2907847563447119</v>
          </cell>
          <cell r="E34">
            <v>1.5391728524155042</v>
          </cell>
          <cell r="F34">
            <v>1.6739346213673436</v>
          </cell>
          <cell r="G34">
            <v>1.7997570261763227</v>
          </cell>
          <cell r="H34">
            <v>1.9289186839452586</v>
          </cell>
          <cell r="I34">
            <v>2.0200758711641384</v>
          </cell>
          <cell r="J34">
            <v>2.1158111479412391</v>
          </cell>
          <cell r="K34">
            <v>2.2208562669733793</v>
          </cell>
        </row>
        <row r="35">
          <cell r="B35">
            <v>0.99889482306022759</v>
          </cell>
          <cell r="C35">
            <v>1.0061853723655385</v>
          </cell>
          <cell r="D35">
            <v>1.2974079117855295</v>
          </cell>
          <cell r="E35">
            <v>1.547398640597585</v>
          </cell>
          <cell r="F35">
            <v>1.6805437550477911</v>
          </cell>
          <cell r="G35">
            <v>1.8045473728694712</v>
          </cell>
          <cell r="H35">
            <v>1.9311867680398123</v>
          </cell>
          <cell r="I35">
            <v>2.0224511407860848</v>
          </cell>
          <cell r="J35">
            <v>2.1182989861542576</v>
          </cell>
          <cell r="K35">
            <v>2.2234676205868502</v>
          </cell>
        </row>
        <row r="38">
          <cell r="B38">
            <v>0</v>
          </cell>
          <cell r="C38">
            <v>11.712251088164892</v>
          </cell>
          <cell r="D38">
            <v>28.000682979208626</v>
          </cell>
          <cell r="E38">
            <v>44.25966355655089</v>
          </cell>
          <cell r="F38">
            <v>51.980302712231953</v>
          </cell>
          <cell r="G38">
            <v>59.922255752793333</v>
          </cell>
          <cell r="H38">
            <v>67.953214092293521</v>
          </cell>
          <cell r="I38">
            <v>75.847254183959393</v>
          </cell>
          <cell r="J38">
            <v>84.265331378817223</v>
          </cell>
          <cell r="K38">
            <v>93.587997994290433</v>
          </cell>
        </row>
        <row r="39">
          <cell r="B39">
            <v>0</v>
          </cell>
          <cell r="C39">
            <v>149.6667176390672</v>
          </cell>
          <cell r="D39">
            <v>479.09040598299362</v>
          </cell>
          <cell r="E39">
            <v>809.17631438213607</v>
          </cell>
          <cell r="F39">
            <v>970.39278933689013</v>
          </cell>
          <cell r="G39">
            <v>1134.7104900301629</v>
          </cell>
          <cell r="H39">
            <v>1300.4296097457241</v>
          </cell>
          <cell r="I39">
            <v>1464.9089669298294</v>
          </cell>
          <cell r="J39">
            <v>1640.9940580316547</v>
          </cell>
          <cell r="K39">
            <v>1837.4276023704674</v>
          </cell>
        </row>
        <row r="40">
          <cell r="B40">
            <v>0</v>
          </cell>
          <cell r="C40">
            <v>5.0749186565425477</v>
          </cell>
          <cell r="D40">
            <v>16.23381290769316</v>
          </cell>
          <cell r="E40">
            <v>27.438308738315701</v>
          </cell>
          <cell r="F40">
            <v>32.940162329693052</v>
          </cell>
          <cell r="G40">
            <v>38.51776049307044</v>
          </cell>
          <cell r="H40">
            <v>44.145758385105552</v>
          </cell>
          <cell r="I40">
            <v>49.727215937492161</v>
          </cell>
          <cell r="J40">
            <v>55.702384820338949</v>
          </cell>
          <cell r="K40">
            <v>62.367904211211012</v>
          </cell>
        </row>
        <row r="41">
          <cell r="B41">
            <v>0</v>
          </cell>
          <cell r="C41">
            <v>5.87829619751016</v>
          </cell>
          <cell r="D41">
            <v>10.861423076137818</v>
          </cell>
          <cell r="E41">
            <v>15.097914622730613</v>
          </cell>
          <cell r="F41">
            <v>20.372765188747607</v>
          </cell>
          <cell r="G41">
            <v>25.756648355021383</v>
          </cell>
          <cell r="H41">
            <v>31.575560302421323</v>
          </cell>
          <cell r="I41">
            <v>36.401937959674001</v>
          </cell>
          <cell r="J41">
            <v>41.694102138376337</v>
          </cell>
          <cell r="K41">
            <v>47.656216567004762</v>
          </cell>
        </row>
        <row r="42">
          <cell r="B42">
            <v>0</v>
          </cell>
          <cell r="C42">
            <v>2.7920897337303359</v>
          </cell>
          <cell r="D42">
            <v>149.0547866152898</v>
          </cell>
          <cell r="E42">
            <v>291.99274191995642</v>
          </cell>
          <cell r="F42">
            <v>378.25025298041726</v>
          </cell>
          <cell r="G42">
            <v>464.60412008258197</v>
          </cell>
          <cell r="H42">
            <v>554.574613999897</v>
          </cell>
          <cell r="I42">
            <v>635.10085314243668</v>
          </cell>
          <cell r="J42">
            <v>722.18756261278156</v>
          </cell>
          <cell r="K42">
            <v>819.67549985521759</v>
          </cell>
        </row>
        <row r="43">
          <cell r="B43">
            <v>0</v>
          </cell>
          <cell r="C43">
            <v>0.18151910476814237</v>
          </cell>
          <cell r="D43">
            <v>7.8104173676279487</v>
          </cell>
          <cell r="E43">
            <v>15.185404176046603</v>
          </cell>
          <cell r="F43">
            <v>19.593230290737221</v>
          </cell>
          <cell r="G43">
            <v>24.006309636254777</v>
          </cell>
          <cell r="H43">
            <v>28.596589241456901</v>
          </cell>
          <cell r="I43">
            <v>32.745234426743714</v>
          </cell>
          <cell r="J43">
            <v>37.231685264280401</v>
          </cell>
          <cell r="K43">
            <v>42.253770569481119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Annual Projections"/>
      <sheetName val="Transition "/>
      <sheetName val="Sheet2"/>
      <sheetName val="Sheet3"/>
    </sheetNames>
    <sheetDataSet>
      <sheetData sheetId="0"/>
      <sheetData sheetId="1"/>
      <sheetData sheetId="2">
        <row r="30">
          <cell r="B30">
            <v>1.2168898928977931</v>
          </cell>
          <cell r="C30">
            <v>1.2432678644930908</v>
          </cell>
          <cell r="D30">
            <v>1.3278700831628523</v>
          </cell>
          <cell r="E30">
            <v>1.4037087788346065</v>
          </cell>
          <cell r="F30">
            <v>1.4638936117321586</v>
          </cell>
          <cell r="G30">
            <v>1.5143857151672186</v>
          </cell>
          <cell r="H30">
            <v>1.5674022023737166</v>
          </cell>
          <cell r="I30">
            <v>1.6467479323641134</v>
          </cell>
          <cell r="J30">
            <v>1.7349793316507192</v>
          </cell>
          <cell r="K30">
            <v>1.8318749142151585</v>
          </cell>
        </row>
        <row r="31">
          <cell r="B31">
            <v>1.1859723137389515</v>
          </cell>
          <cell r="C31">
            <v>1.1927260431886724</v>
          </cell>
          <cell r="D31">
            <v>1.2732430263295709</v>
          </cell>
          <cell r="E31">
            <v>1.3371138829914495</v>
          </cell>
          <cell r="F31">
            <v>1.4003263132422203</v>
          </cell>
          <cell r="G31">
            <v>1.4583352987972347</v>
          </cell>
          <cell r="H31">
            <v>1.5211747250902652</v>
          </cell>
          <cell r="I31">
            <v>1.5980420821825705</v>
          </cell>
          <cell r="J31">
            <v>1.6835202135443743</v>
          </cell>
          <cell r="K31">
            <v>1.7773902356024713</v>
          </cell>
        </row>
        <row r="32">
          <cell r="B32">
            <v>1.1859723137389515</v>
          </cell>
          <cell r="C32">
            <v>1.1967693826000709</v>
          </cell>
          <cell r="D32">
            <v>1.2809148141591724</v>
          </cell>
          <cell r="E32">
            <v>1.3486655859117562</v>
          </cell>
          <cell r="F32">
            <v>1.4112775092789409</v>
          </cell>
          <cell r="G32">
            <v>1.4702176391553523</v>
          </cell>
          <cell r="H32">
            <v>1.533728096326372</v>
          </cell>
          <cell r="I32">
            <v>1.6112297950584653</v>
          </cell>
          <cell r="J32">
            <v>1.6974133277774275</v>
          </cell>
          <cell r="K32">
            <v>1.7920580045910897</v>
          </cell>
        </row>
        <row r="33">
          <cell r="B33">
            <v>0.94273733534187465</v>
          </cell>
          <cell r="C33">
            <v>0.95872465215781943</v>
          </cell>
          <cell r="D33">
            <v>1.0596539897351755</v>
          </cell>
          <cell r="E33">
            <v>1.1278812136242518</v>
          </cell>
          <cell r="F33">
            <v>1.1634760999713571</v>
          </cell>
          <cell r="G33">
            <v>1.206798010012091</v>
          </cell>
          <cell r="H33">
            <v>1.2567245354862757</v>
          </cell>
          <cell r="I33">
            <v>1.2848302439103947</v>
          </cell>
          <cell r="J33">
            <v>1.3176284914837382</v>
          </cell>
          <cell r="K33">
            <v>1.3541741975831174</v>
          </cell>
        </row>
        <row r="34">
          <cell r="B34">
            <v>0.87704976700634296</v>
          </cell>
          <cell r="C34">
            <v>0.87473339435438169</v>
          </cell>
          <cell r="D34">
            <v>0.96300312938686305</v>
          </cell>
          <cell r="E34">
            <v>1.0221124210346433</v>
          </cell>
          <cell r="F34">
            <v>1.0446970901622226</v>
          </cell>
          <cell r="G34">
            <v>1.071720286844438</v>
          </cell>
          <cell r="H34">
            <v>1.10456723251494</v>
          </cell>
          <cell r="I34">
            <v>1.1252325167719961</v>
          </cell>
          <cell r="J34">
            <v>1.1498575698437246</v>
          </cell>
          <cell r="K34">
            <v>1.1775521633959207</v>
          </cell>
        </row>
        <row r="35">
          <cell r="B35">
            <v>0.87704976700634285</v>
          </cell>
          <cell r="C35">
            <v>0.87840718512215454</v>
          </cell>
          <cell r="D35">
            <v>0.96727891116790554</v>
          </cell>
          <cell r="E35">
            <v>1.0245637344927596</v>
          </cell>
          <cell r="F35">
            <v>1.0477921240960064</v>
          </cell>
          <cell r="G35">
            <v>1.0762274878737872</v>
          </cell>
          <cell r="H35">
            <v>1.1104117613700513</v>
          </cell>
          <cell r="I35">
            <v>1.1311863905783102</v>
          </cell>
          <cell r="J35">
            <v>1.1559417406831205</v>
          </cell>
          <cell r="K35">
            <v>1.1837828729396902</v>
          </cell>
        </row>
        <row r="38">
          <cell r="B38">
            <v>0</v>
          </cell>
          <cell r="C38">
            <v>0.28854635749980773</v>
          </cell>
          <cell r="D38">
            <v>1.2724689095795387</v>
          </cell>
          <cell r="E38">
            <v>2.2172709087787457</v>
          </cell>
          <cell r="F38">
            <v>3.005092854551604</v>
          </cell>
          <cell r="G38">
            <v>3.7246262519093296</v>
          </cell>
          <cell r="H38">
            <v>4.497124307268372</v>
          </cell>
          <cell r="I38">
            <v>5.5516150990482043</v>
          </cell>
          <cell r="J38">
            <v>6.713934060584716</v>
          </cell>
          <cell r="K38">
            <v>7.9795899905257315</v>
          </cell>
        </row>
        <row r="39">
          <cell r="B39">
            <v>0</v>
          </cell>
          <cell r="C39">
            <v>1.8125443048732564</v>
          </cell>
          <cell r="D39">
            <v>24.583470168114673</v>
          </cell>
          <cell r="E39">
            <v>44.380066406277251</v>
          </cell>
          <cell r="F39">
            <v>64.240700271677611</v>
          </cell>
          <cell r="G39">
            <v>83.430739683517118</v>
          </cell>
          <cell r="H39">
            <v>104.39882007406368</v>
          </cell>
          <cell r="I39">
            <v>129.18791421694652</v>
          </cell>
          <cell r="J39">
            <v>156.51792000892442</v>
          </cell>
          <cell r="K39">
            <v>186.28048406112038</v>
          </cell>
        </row>
        <row r="40">
          <cell r="B40">
            <v>0</v>
          </cell>
          <cell r="C40">
            <v>6.3557504535590503E-2</v>
          </cell>
          <cell r="D40">
            <v>0.58507581978432821</v>
          </cell>
          <cell r="E40">
            <v>1.0423738284840027</v>
          </cell>
          <cell r="F40">
            <v>1.4745261290924159</v>
          </cell>
          <cell r="G40">
            <v>1.9007844067922921</v>
          </cell>
          <cell r="H40">
            <v>2.3641732846539263</v>
          </cell>
          <cell r="I40">
            <v>2.9101782097085138</v>
          </cell>
          <cell r="J40">
            <v>3.5118924877581694</v>
          </cell>
          <cell r="K40">
            <v>4.1669990052605765</v>
          </cell>
        </row>
        <row r="41">
          <cell r="B41">
            <v>0</v>
          </cell>
          <cell r="C41">
            <v>0.41188752627259362</v>
          </cell>
          <cell r="D41">
            <v>3.0562724795702536</v>
          </cell>
          <cell r="E41">
            <v>4.9048596751611662</v>
          </cell>
          <cell r="F41">
            <v>5.849175684566692</v>
          </cell>
          <cell r="G41">
            <v>6.9538134562679588</v>
          </cell>
          <cell r="H41">
            <v>8.1774492106575707</v>
          </cell>
          <cell r="I41">
            <v>8.9683522881181439</v>
          </cell>
          <cell r="J41">
            <v>9.8617007749256409</v>
          </cell>
          <cell r="K41">
            <v>10.836612184069303</v>
          </cell>
        </row>
        <row r="42">
          <cell r="B42">
            <v>0</v>
          </cell>
          <cell r="C42">
            <v>-0.45467703292075612</v>
          </cell>
          <cell r="D42">
            <v>17.199542166879439</v>
          </cell>
          <cell r="E42">
            <v>29.460659222508326</v>
          </cell>
          <cell r="F42">
            <v>34.226017684354559</v>
          </cell>
          <cell r="G42">
            <v>39.776190632410533</v>
          </cell>
          <cell r="H42">
            <v>46.279323381775384</v>
          </cell>
          <cell r="I42">
            <v>50.816708145982744</v>
          </cell>
          <cell r="J42">
            <v>56.04924435355656</v>
          </cell>
          <cell r="K42">
            <v>61.816529624469467</v>
          </cell>
        </row>
        <row r="43">
          <cell r="B43">
            <v>0</v>
          </cell>
          <cell r="C43">
            <v>1.3301984160015934E-2</v>
          </cell>
          <cell r="D43">
            <v>0.90116684100100208</v>
          </cell>
          <cell r="E43">
            <v>1.4983319546275489</v>
          </cell>
          <cell r="F43">
            <v>1.7423870906884495</v>
          </cell>
          <cell r="G43">
            <v>2.031746403488766</v>
          </cell>
          <cell r="H43">
            <v>2.3672212982516001</v>
          </cell>
          <cell r="I43">
            <v>2.5950077802134857</v>
          </cell>
          <cell r="J43">
            <v>2.8574948872089223</v>
          </cell>
          <cell r="K43">
            <v>3.1466888765694669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D4">
            <v>164700</v>
          </cell>
          <cell r="E4">
            <v>171100</v>
          </cell>
          <cell r="F4">
            <v>175500</v>
          </cell>
          <cell r="G4">
            <v>179100</v>
          </cell>
          <cell r="H4">
            <v>181600</v>
          </cell>
          <cell r="I4">
            <v>182700</v>
          </cell>
          <cell r="J4">
            <v>182900</v>
          </cell>
        </row>
        <row r="5">
          <cell r="D5">
            <v>1493200</v>
          </cell>
          <cell r="E5">
            <v>1646500</v>
          </cell>
          <cell r="F5">
            <v>1767500</v>
          </cell>
          <cell r="G5">
            <v>1890900</v>
          </cell>
          <cell r="H5">
            <v>2010500</v>
          </cell>
          <cell r="I5">
            <v>2123000</v>
          </cell>
          <cell r="J5">
            <v>2229300</v>
          </cell>
        </row>
        <row r="6">
          <cell r="D6">
            <v>424600</v>
          </cell>
          <cell r="E6">
            <v>449500</v>
          </cell>
          <cell r="F6">
            <v>466800</v>
          </cell>
          <cell r="G6">
            <v>482800</v>
          </cell>
          <cell r="H6">
            <v>496600</v>
          </cell>
          <cell r="I6">
            <v>507900</v>
          </cell>
          <cell r="J6">
            <v>517400</v>
          </cell>
        </row>
        <row r="7">
          <cell r="D7">
            <v>279700</v>
          </cell>
          <cell r="E7">
            <v>291200</v>
          </cell>
          <cell r="F7">
            <v>301100</v>
          </cell>
          <cell r="G7">
            <v>310200</v>
          </cell>
          <cell r="H7">
            <v>318000</v>
          </cell>
          <cell r="I7">
            <v>324100</v>
          </cell>
          <cell r="J7">
            <v>328700</v>
          </cell>
        </row>
        <row r="8">
          <cell r="D8">
            <v>47000</v>
          </cell>
          <cell r="E8">
            <v>47800</v>
          </cell>
          <cell r="F8">
            <v>48300</v>
          </cell>
          <cell r="G8">
            <v>48600</v>
          </cell>
          <cell r="H8">
            <v>48600</v>
          </cell>
          <cell r="I8">
            <v>48200</v>
          </cell>
          <cell r="J8">
            <v>47600</v>
          </cell>
        </row>
        <row r="9">
          <cell r="D9">
            <v>158000</v>
          </cell>
          <cell r="E9">
            <v>162400</v>
          </cell>
          <cell r="F9">
            <v>164600</v>
          </cell>
          <cell r="G9">
            <v>166200</v>
          </cell>
          <cell r="H9">
            <v>166600</v>
          </cell>
          <cell r="I9">
            <v>165800</v>
          </cell>
          <cell r="J9">
            <v>164000</v>
          </cell>
        </row>
        <row r="10">
          <cell r="D10">
            <v>113600</v>
          </cell>
          <cell r="E10">
            <v>118800</v>
          </cell>
          <cell r="F10">
            <v>122000</v>
          </cell>
          <cell r="G10">
            <v>124900</v>
          </cell>
          <cell r="H10">
            <v>127200</v>
          </cell>
          <cell r="I10">
            <v>128900</v>
          </cell>
          <cell r="J10">
            <v>130200</v>
          </cell>
        </row>
        <row r="11">
          <cell r="D11">
            <v>231200</v>
          </cell>
          <cell r="E11">
            <v>234800</v>
          </cell>
          <cell r="F11">
            <v>237000</v>
          </cell>
          <cell r="G11">
            <v>238500</v>
          </cell>
          <cell r="H11">
            <v>238600</v>
          </cell>
          <cell r="I11">
            <v>237300</v>
          </cell>
          <cell r="J11">
            <v>234700</v>
          </cell>
        </row>
        <row r="12">
          <cell r="D12">
            <v>486700</v>
          </cell>
          <cell r="E12">
            <v>505800</v>
          </cell>
          <cell r="F12">
            <v>518200</v>
          </cell>
          <cell r="G12">
            <v>529500</v>
          </cell>
          <cell r="H12">
            <v>538500</v>
          </cell>
          <cell r="I12">
            <v>544700</v>
          </cell>
          <cell r="J12">
            <v>548400</v>
          </cell>
        </row>
        <row r="13">
          <cell r="D13">
            <v>142200</v>
          </cell>
          <cell r="E13">
            <v>147900</v>
          </cell>
          <cell r="F13">
            <v>151500</v>
          </cell>
          <cell r="G13">
            <v>154400</v>
          </cell>
          <cell r="H13">
            <v>156200</v>
          </cell>
          <cell r="I13">
            <v>156900</v>
          </cell>
          <cell r="J13">
            <v>156600</v>
          </cell>
        </row>
        <row r="14">
          <cell r="D14">
            <v>33000</v>
          </cell>
          <cell r="E14">
            <v>33800</v>
          </cell>
          <cell r="F14">
            <v>34000</v>
          </cell>
          <cell r="G14">
            <v>34100</v>
          </cell>
          <cell r="H14">
            <v>34000</v>
          </cell>
          <cell r="I14">
            <v>33700</v>
          </cell>
          <cell r="J14">
            <v>33200</v>
          </cell>
        </row>
        <row r="15">
          <cell r="D15">
            <v>562900</v>
          </cell>
          <cell r="E15">
            <v>611900</v>
          </cell>
          <cell r="F15">
            <v>638900</v>
          </cell>
          <cell r="G15">
            <v>665000</v>
          </cell>
          <cell r="H15">
            <v>689000</v>
          </cell>
          <cell r="I15">
            <v>710300</v>
          </cell>
          <cell r="J15">
            <v>729200</v>
          </cell>
        </row>
        <row r="16">
          <cell r="D16">
            <v>208800</v>
          </cell>
          <cell r="E16">
            <v>218000</v>
          </cell>
          <cell r="F16">
            <v>223800</v>
          </cell>
          <cell r="G16">
            <v>229100</v>
          </cell>
          <cell r="H16">
            <v>233600</v>
          </cell>
          <cell r="I16">
            <v>237100</v>
          </cell>
          <cell r="J16">
            <v>239800</v>
          </cell>
        </row>
        <row r="17">
          <cell r="D17">
            <v>96000</v>
          </cell>
          <cell r="E17">
            <v>98400</v>
          </cell>
          <cell r="F17">
            <v>98900</v>
          </cell>
          <cell r="G17">
            <v>99200</v>
          </cell>
          <cell r="H17">
            <v>98900</v>
          </cell>
          <cell r="I17">
            <v>98000</v>
          </cell>
          <cell r="J17">
            <v>96800</v>
          </cell>
        </row>
        <row r="18">
          <cell r="D18">
            <v>4441600</v>
          </cell>
          <cell r="E18">
            <v>4737900</v>
          </cell>
          <cell r="F18">
            <v>4948100</v>
          </cell>
          <cell r="G18">
            <v>5152500</v>
          </cell>
          <cell r="H18">
            <v>5337900</v>
          </cell>
          <cell r="I18">
            <v>5498600</v>
          </cell>
          <cell r="J18">
            <v>5638800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4">
          <cell r="D4">
            <v>164700</v>
          </cell>
          <cell r="E4">
            <v>176100</v>
          </cell>
          <cell r="F4">
            <v>183300</v>
          </cell>
          <cell r="G4">
            <v>188600</v>
          </cell>
          <cell r="H4">
            <v>192500</v>
          </cell>
          <cell r="I4">
            <v>195100</v>
          </cell>
          <cell r="J4">
            <v>196700</v>
          </cell>
          <cell r="K4">
            <v>197632.92754735926</v>
          </cell>
          <cell r="L4">
            <v>197938.19645723698</v>
          </cell>
          <cell r="M4">
            <v>197817.89786960755</v>
          </cell>
        </row>
        <row r="5">
          <cell r="D5">
            <v>1493200</v>
          </cell>
          <cell r="E5">
            <v>1699900</v>
          </cell>
          <cell r="F5">
            <v>1859300</v>
          </cell>
          <cell r="G5">
            <v>1990100</v>
          </cell>
          <cell r="H5">
            <v>2112000</v>
          </cell>
          <cell r="I5">
            <v>2222700</v>
          </cell>
          <cell r="J5">
            <v>2326200</v>
          </cell>
          <cell r="K5">
            <v>2426169.3209874001</v>
          </cell>
          <cell r="L5">
            <v>2522380.0510219927</v>
          </cell>
          <cell r="M5">
            <v>2616770.3366602762</v>
          </cell>
        </row>
        <row r="6">
          <cell r="D6">
            <v>424600</v>
          </cell>
          <cell r="E6">
            <v>467200</v>
          </cell>
          <cell r="F6">
            <v>493500</v>
          </cell>
          <cell r="G6">
            <v>514600</v>
          </cell>
          <cell r="H6">
            <v>533000</v>
          </cell>
          <cell r="I6">
            <v>548500</v>
          </cell>
          <cell r="J6">
            <v>562100</v>
          </cell>
          <cell r="K6">
            <v>574061.46126187849</v>
          </cell>
          <cell r="L6">
            <v>584411.23967119039</v>
          </cell>
          <cell r="M6">
            <v>593669.03382608329</v>
          </cell>
        </row>
        <row r="7">
          <cell r="D7">
            <v>279700</v>
          </cell>
          <cell r="E7">
            <v>303500</v>
          </cell>
          <cell r="F7">
            <v>318400</v>
          </cell>
          <cell r="G7">
            <v>329800</v>
          </cell>
          <cell r="H7">
            <v>339400</v>
          </cell>
          <cell r="I7">
            <v>346900</v>
          </cell>
          <cell r="J7">
            <v>353100</v>
          </cell>
          <cell r="K7">
            <v>358178.0673412038</v>
          </cell>
          <cell r="L7">
            <v>362172.62499492266</v>
          </cell>
          <cell r="M7">
            <v>365424.7190309171</v>
          </cell>
        </row>
        <row r="8">
          <cell r="D8">
            <v>47000</v>
          </cell>
          <cell r="E8">
            <v>48500</v>
          </cell>
          <cell r="F8">
            <v>49400</v>
          </cell>
          <cell r="G8">
            <v>50000</v>
          </cell>
          <cell r="H8">
            <v>50300</v>
          </cell>
          <cell r="I8">
            <v>50200</v>
          </cell>
          <cell r="J8">
            <v>49900</v>
          </cell>
          <cell r="K8">
            <v>49431.663701127458</v>
          </cell>
          <cell r="L8">
            <v>48811.850271600131</v>
          </cell>
          <cell r="M8">
            <v>48096.224053239421</v>
          </cell>
        </row>
        <row r="9">
          <cell r="D9">
            <v>158000</v>
          </cell>
          <cell r="E9">
            <v>164100</v>
          </cell>
          <cell r="F9">
            <v>167400</v>
          </cell>
          <cell r="G9">
            <v>169900</v>
          </cell>
          <cell r="H9">
            <v>171200</v>
          </cell>
          <cell r="I9">
            <v>171400</v>
          </cell>
          <cell r="J9">
            <v>170800</v>
          </cell>
          <cell r="K9">
            <v>169618.32437766416</v>
          </cell>
          <cell r="L9">
            <v>167908.6352501736</v>
          </cell>
          <cell r="M9">
            <v>165858.96984434372</v>
          </cell>
        </row>
        <row r="10">
          <cell r="D10">
            <v>113600</v>
          </cell>
          <cell r="E10">
            <v>119100</v>
          </cell>
          <cell r="F10">
            <v>122500</v>
          </cell>
          <cell r="G10">
            <v>125500</v>
          </cell>
          <cell r="H10">
            <v>127800</v>
          </cell>
          <cell r="I10">
            <v>129500</v>
          </cell>
          <cell r="J10">
            <v>130800</v>
          </cell>
          <cell r="K10">
            <v>131659.91580643697</v>
          </cell>
          <cell r="L10">
            <v>132103.63348676322</v>
          </cell>
          <cell r="M10">
            <v>132263.99054396391</v>
          </cell>
        </row>
        <row r="11">
          <cell r="D11">
            <v>231200</v>
          </cell>
          <cell r="E11">
            <v>240500</v>
          </cell>
          <cell r="F11">
            <v>244600</v>
          </cell>
          <cell r="G11">
            <v>247500</v>
          </cell>
          <cell r="H11">
            <v>248900</v>
          </cell>
          <cell r="I11">
            <v>248800</v>
          </cell>
          <cell r="J11">
            <v>247600</v>
          </cell>
          <cell r="K11">
            <v>245560.64087617269</v>
          </cell>
          <cell r="L11">
            <v>242762.85528000264</v>
          </cell>
          <cell r="M11">
            <v>239481.17720785996</v>
          </cell>
        </row>
        <row r="12">
          <cell r="D12">
            <v>486700</v>
          </cell>
          <cell r="E12">
            <v>515200</v>
          </cell>
          <cell r="F12">
            <v>532500</v>
          </cell>
          <cell r="G12">
            <v>546200</v>
          </cell>
          <cell r="H12">
            <v>557400</v>
          </cell>
          <cell r="I12">
            <v>565600</v>
          </cell>
          <cell r="J12">
            <v>571300</v>
          </cell>
          <cell r="K12">
            <v>575078.1948151195</v>
          </cell>
          <cell r="L12">
            <v>577038.69691146258</v>
          </cell>
          <cell r="M12">
            <v>577761.56152978097</v>
          </cell>
        </row>
        <row r="13">
          <cell r="D13">
            <v>142200</v>
          </cell>
          <cell r="E13">
            <v>149100</v>
          </cell>
          <cell r="F13">
            <v>153600</v>
          </cell>
          <cell r="G13">
            <v>157000</v>
          </cell>
          <cell r="H13">
            <v>159400</v>
          </cell>
          <cell r="I13">
            <v>160700</v>
          </cell>
          <cell r="J13">
            <v>161000</v>
          </cell>
          <cell r="K13">
            <v>160754.89583405922</v>
          </cell>
          <cell r="L13">
            <v>160006.7871768855</v>
          </cell>
          <cell r="M13">
            <v>158927.40643210392</v>
          </cell>
        </row>
        <row r="14">
          <cell r="D14">
            <v>33000</v>
          </cell>
          <cell r="E14">
            <v>32500</v>
          </cell>
          <cell r="F14">
            <v>32500</v>
          </cell>
          <cell r="G14">
            <v>32300</v>
          </cell>
          <cell r="H14">
            <v>31900</v>
          </cell>
          <cell r="I14">
            <v>31300</v>
          </cell>
          <cell r="J14">
            <v>30600</v>
          </cell>
          <cell r="K14">
            <v>29813.047284347907</v>
          </cell>
          <cell r="L14">
            <v>28953.873470953382</v>
          </cell>
          <cell r="M14">
            <v>28059.029410232182</v>
          </cell>
        </row>
        <row r="15">
          <cell r="D15">
            <v>562900</v>
          </cell>
          <cell r="E15">
            <v>623200</v>
          </cell>
          <cell r="F15">
            <v>664200</v>
          </cell>
          <cell r="G15">
            <v>694300</v>
          </cell>
          <cell r="H15">
            <v>721700</v>
          </cell>
          <cell r="I15">
            <v>745800</v>
          </cell>
          <cell r="J15">
            <v>767300</v>
          </cell>
          <cell r="K15">
            <v>786712.17423192051</v>
          </cell>
          <cell r="L15">
            <v>804047.86741988454</v>
          </cell>
          <cell r="M15">
            <v>819999.53614564182</v>
          </cell>
        </row>
        <row r="16">
          <cell r="D16">
            <v>208800</v>
          </cell>
          <cell r="E16">
            <v>225800</v>
          </cell>
          <cell r="F16">
            <v>236000</v>
          </cell>
          <cell r="G16">
            <v>242700</v>
          </cell>
          <cell r="H16">
            <v>248300</v>
          </cell>
          <cell r="I16">
            <v>252700</v>
          </cell>
          <cell r="J16">
            <v>256100</v>
          </cell>
          <cell r="K16">
            <v>258655.53031246335</v>
          </cell>
          <cell r="L16">
            <v>260405.000361026</v>
          </cell>
          <cell r="M16">
            <v>261602.89099372854</v>
          </cell>
        </row>
        <row r="17">
          <cell r="D17">
            <v>96000</v>
          </cell>
          <cell r="E17">
            <v>99200</v>
          </cell>
          <cell r="F17">
            <v>100100</v>
          </cell>
          <cell r="G17">
            <v>100600</v>
          </cell>
          <cell r="H17">
            <v>100600</v>
          </cell>
          <cell r="I17">
            <v>100000</v>
          </cell>
          <cell r="J17">
            <v>99000</v>
          </cell>
          <cell r="K17">
            <v>97673.835622846746</v>
          </cell>
          <cell r="L17">
            <v>96058.688225904029</v>
          </cell>
          <cell r="M17">
            <v>94267.226452221803</v>
          </cell>
        </row>
        <row r="18">
          <cell r="D18">
            <v>4441600</v>
          </cell>
          <cell r="E18">
            <v>4863900</v>
          </cell>
          <cell r="F18">
            <v>5157300</v>
          </cell>
          <cell r="G18">
            <v>5389100</v>
          </cell>
          <cell r="H18">
            <v>5594400</v>
          </cell>
          <cell r="I18">
            <v>5769200</v>
          </cell>
          <cell r="J18">
            <v>5922500</v>
          </cell>
          <cell r="K18">
            <v>6061000.0000000009</v>
          </cell>
          <cell r="L18">
            <v>6185000</v>
          </cell>
          <cell r="M18">
            <v>6300000</v>
          </cell>
        </row>
      </sheetData>
      <sheetData sheetId="2"/>
      <sheetData sheetId="3"/>
      <sheetData sheetId="4"/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0.1</v>
          </cell>
          <cell r="L6">
            <v>0.2</v>
          </cell>
          <cell r="M6">
            <v>0.3</v>
          </cell>
          <cell r="N6">
            <v>0.4</v>
          </cell>
          <cell r="O6">
            <v>0.5</v>
          </cell>
          <cell r="P6">
            <v>0.6</v>
          </cell>
          <cell r="Q6">
            <v>0.6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</v>
          </cell>
          <cell r="L7">
            <v>0.2</v>
          </cell>
          <cell r="M7">
            <v>0.3</v>
          </cell>
          <cell r="N7">
            <v>0.4</v>
          </cell>
          <cell r="O7">
            <v>0.5</v>
          </cell>
          <cell r="P7">
            <v>0.6</v>
          </cell>
          <cell r="Q7">
            <v>0.6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</v>
          </cell>
          <cell r="L8">
            <v>0.2</v>
          </cell>
          <cell r="M8">
            <v>0.3</v>
          </cell>
          <cell r="N8">
            <v>0.4</v>
          </cell>
          <cell r="O8">
            <v>0.5</v>
          </cell>
          <cell r="P8">
            <v>0.6</v>
          </cell>
          <cell r="Q8">
            <v>0.6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</v>
          </cell>
          <cell r="L9">
            <v>0.2</v>
          </cell>
          <cell r="M9">
            <v>0.3</v>
          </cell>
          <cell r="N9">
            <v>0.4</v>
          </cell>
          <cell r="O9">
            <v>0.5</v>
          </cell>
          <cell r="P9">
            <v>0.6</v>
          </cell>
          <cell r="Q9">
            <v>0.6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</v>
          </cell>
          <cell r="L10">
            <v>0.2</v>
          </cell>
          <cell r="M10">
            <v>0.3</v>
          </cell>
          <cell r="N10">
            <v>0.4</v>
          </cell>
          <cell r="O10">
            <v>0.5</v>
          </cell>
          <cell r="P10">
            <v>0.6</v>
          </cell>
          <cell r="Q10">
            <v>0.6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</v>
          </cell>
          <cell r="L11">
            <v>0.2</v>
          </cell>
          <cell r="M11">
            <v>0.3</v>
          </cell>
          <cell r="N11">
            <v>0.4</v>
          </cell>
          <cell r="O11">
            <v>0.5</v>
          </cell>
          <cell r="P11">
            <v>0.6</v>
          </cell>
          <cell r="Q11">
            <v>0.6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</v>
          </cell>
          <cell r="L12">
            <v>0.2</v>
          </cell>
          <cell r="M12">
            <v>0.3</v>
          </cell>
          <cell r="N12">
            <v>0.4</v>
          </cell>
          <cell r="O12">
            <v>0.5</v>
          </cell>
          <cell r="P12">
            <v>0.6</v>
          </cell>
          <cell r="Q12">
            <v>0.6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</v>
          </cell>
          <cell r="L13">
            <v>0.2</v>
          </cell>
          <cell r="M13">
            <v>0.3</v>
          </cell>
          <cell r="N13">
            <v>0.4</v>
          </cell>
          <cell r="O13">
            <v>0.5</v>
          </cell>
          <cell r="P13">
            <v>0.6</v>
          </cell>
          <cell r="Q13">
            <v>0.6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0.1</v>
          </cell>
          <cell r="L14">
            <v>0.2</v>
          </cell>
          <cell r="M14">
            <v>0.3</v>
          </cell>
          <cell r="N14">
            <v>0.4</v>
          </cell>
          <cell r="O14">
            <v>0.5</v>
          </cell>
          <cell r="P14">
            <v>0.6</v>
          </cell>
          <cell r="Q14">
            <v>0.6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0.1</v>
          </cell>
          <cell r="L15">
            <v>0.2</v>
          </cell>
          <cell r="M15">
            <v>0.3</v>
          </cell>
          <cell r="N15">
            <v>0.4</v>
          </cell>
          <cell r="O15">
            <v>0.5</v>
          </cell>
          <cell r="P15">
            <v>0.6</v>
          </cell>
          <cell r="Q15">
            <v>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0.1</v>
          </cell>
          <cell r="L16">
            <v>0.2</v>
          </cell>
          <cell r="M16">
            <v>0.3</v>
          </cell>
          <cell r="N16">
            <v>0.4</v>
          </cell>
          <cell r="O16">
            <v>0.5</v>
          </cell>
          <cell r="P16">
            <v>0.6</v>
          </cell>
          <cell r="Q16">
            <v>0.6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</v>
          </cell>
          <cell r="L17">
            <v>0.2</v>
          </cell>
          <cell r="M17">
            <v>0.3</v>
          </cell>
          <cell r="N17">
            <v>0.4</v>
          </cell>
          <cell r="O17">
            <v>0.5</v>
          </cell>
          <cell r="P17">
            <v>0.6</v>
          </cell>
          <cell r="Q17">
            <v>0.6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0.1</v>
          </cell>
          <cell r="L18">
            <v>0.2</v>
          </cell>
          <cell r="M18">
            <v>0.3</v>
          </cell>
          <cell r="N18">
            <v>0.4</v>
          </cell>
          <cell r="O18">
            <v>0.5</v>
          </cell>
          <cell r="P18">
            <v>0.6</v>
          </cell>
          <cell r="Q18">
            <v>0.6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</v>
          </cell>
          <cell r="L19">
            <v>0.2</v>
          </cell>
          <cell r="M19">
            <v>0.3</v>
          </cell>
          <cell r="N19">
            <v>0.4</v>
          </cell>
          <cell r="O19">
            <v>0.5</v>
          </cell>
          <cell r="P19">
            <v>0.6</v>
          </cell>
          <cell r="Q19">
            <v>0.6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J45">
            <v>-0.02</v>
          </cell>
          <cell r="K45">
            <v>-0.04</v>
          </cell>
          <cell r="L45">
            <v>-0.06</v>
          </cell>
          <cell r="M45">
            <v>-0.08</v>
          </cell>
          <cell r="N45">
            <v>-0.1</v>
          </cell>
          <cell r="O45">
            <v>-0.12</v>
          </cell>
          <cell r="P45">
            <v>-0.14000000000000001</v>
          </cell>
          <cell r="Q45">
            <v>-0.16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>
            <v>0</v>
          </cell>
          <cell r="J52">
            <v>-0.01</v>
          </cell>
          <cell r="K52">
            <v>-0.02</v>
          </cell>
          <cell r="L52">
            <v>-0.03</v>
          </cell>
          <cell r="M52">
            <v>-0.04</v>
          </cell>
          <cell r="N52">
            <v>-0.05</v>
          </cell>
          <cell r="O52">
            <v>-0.06</v>
          </cell>
          <cell r="P52">
            <v>-7.0000000000000007E-2</v>
          </cell>
          <cell r="Q52">
            <v>-0.08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6">
          <cell r="I66">
            <v>0</v>
          </cell>
          <cell r="J66">
            <v>0.21867137921564483</v>
          </cell>
          <cell r="K66">
            <v>0.25483868190204506</v>
          </cell>
          <cell r="L66">
            <v>0.28430849863160013</v>
          </cell>
          <cell r="M66">
            <v>0.30243846038773858</v>
          </cell>
          <cell r="N66">
            <v>0.31885978040828122</v>
          </cell>
          <cell r="O66">
            <v>0.33739756938079357</v>
          </cell>
          <cell r="P66">
            <v>0.35234175443852866</v>
          </cell>
          <cell r="Q66">
            <v>0.36214191388672656</v>
          </cell>
        </row>
        <row r="67">
          <cell r="I67">
            <v>0</v>
          </cell>
          <cell r="J67">
            <v>0.1</v>
          </cell>
          <cell r="K67">
            <v>0.1</v>
          </cell>
          <cell r="L67">
            <v>0.1</v>
          </cell>
          <cell r="M67">
            <v>0.1</v>
          </cell>
          <cell r="N67">
            <v>0.1</v>
          </cell>
          <cell r="O67">
            <v>0.1</v>
          </cell>
          <cell r="P67">
            <v>0.1</v>
          </cell>
          <cell r="Q67">
            <v>0.1</v>
          </cell>
        </row>
        <row r="69">
          <cell r="I69">
            <v>0.45</v>
          </cell>
          <cell r="J69">
            <v>0.45</v>
          </cell>
          <cell r="K69">
            <v>0.45</v>
          </cell>
          <cell r="L69">
            <v>0.45</v>
          </cell>
          <cell r="M69">
            <v>0.45</v>
          </cell>
          <cell r="N69">
            <v>0.45</v>
          </cell>
          <cell r="O69">
            <v>0.45</v>
          </cell>
          <cell r="P69">
            <v>0.45</v>
          </cell>
          <cell r="Q69">
            <v>0.45</v>
          </cell>
        </row>
        <row r="70">
          <cell r="I70">
            <v>0.4</v>
          </cell>
          <cell r="J70">
            <v>0.4</v>
          </cell>
          <cell r="K70">
            <v>0.4</v>
          </cell>
          <cell r="L70">
            <v>0.4</v>
          </cell>
          <cell r="M70">
            <v>0.4</v>
          </cell>
          <cell r="N70">
            <v>0.4</v>
          </cell>
          <cell r="O70">
            <v>0.4</v>
          </cell>
          <cell r="P70">
            <v>0.4</v>
          </cell>
          <cell r="Q70">
            <v>0.4</v>
          </cell>
        </row>
        <row r="71">
          <cell r="I71">
            <v>0.1</v>
          </cell>
          <cell r="J71">
            <v>0.1</v>
          </cell>
          <cell r="K71">
            <v>0.1</v>
          </cell>
          <cell r="L71">
            <v>0.1</v>
          </cell>
          <cell r="M71">
            <v>0.1</v>
          </cell>
          <cell r="N71">
            <v>0.1</v>
          </cell>
          <cell r="O71">
            <v>0.1</v>
          </cell>
          <cell r="P71">
            <v>0.1</v>
          </cell>
          <cell r="Q71">
            <v>0.1</v>
          </cell>
        </row>
        <row r="72">
          <cell r="I72">
            <v>0.02</v>
          </cell>
          <cell r="J72">
            <v>0.02</v>
          </cell>
          <cell r="K72">
            <v>0.02</v>
          </cell>
          <cell r="L72">
            <v>0.02</v>
          </cell>
          <cell r="M72">
            <v>0.02</v>
          </cell>
          <cell r="N72">
            <v>0.02</v>
          </cell>
          <cell r="O72">
            <v>0.02</v>
          </cell>
          <cell r="P72">
            <v>0.02</v>
          </cell>
          <cell r="Q72">
            <v>0.02</v>
          </cell>
        </row>
        <row r="73">
          <cell r="I73">
            <v>0.03</v>
          </cell>
          <cell r="J73">
            <v>0.03</v>
          </cell>
          <cell r="K73">
            <v>0.03</v>
          </cell>
          <cell r="L73">
            <v>0.03</v>
          </cell>
          <cell r="M73">
            <v>0.03</v>
          </cell>
          <cell r="N73">
            <v>0.03</v>
          </cell>
          <cell r="O73">
            <v>0.03</v>
          </cell>
          <cell r="P73">
            <v>0.03</v>
          </cell>
          <cell r="Q73">
            <v>0.03</v>
          </cell>
        </row>
        <row r="77">
          <cell r="I77">
            <v>0</v>
          </cell>
          <cell r="J77">
            <v>0.16442441612077097</v>
          </cell>
          <cell r="K77">
            <v>0.18205317536037091</v>
          </cell>
          <cell r="L77">
            <v>0.19351201955588571</v>
          </cell>
          <cell r="M77">
            <v>0.19441818465248584</v>
          </cell>
          <cell r="N77">
            <v>0.19260685486875684</v>
          </cell>
          <cell r="O77">
            <v>0.19119865984812445</v>
          </cell>
          <cell r="P77">
            <v>0.18537145142017097</v>
          </cell>
          <cell r="Q77">
            <v>0.17451365511206407</v>
          </cell>
        </row>
        <row r="78">
          <cell r="I78">
            <v>0</v>
          </cell>
          <cell r="J78">
            <v>0.1</v>
          </cell>
          <cell r="K78">
            <v>0.1</v>
          </cell>
          <cell r="L78">
            <v>0.1</v>
          </cell>
          <cell r="M78">
            <v>0.1</v>
          </cell>
          <cell r="N78">
            <v>0.1</v>
          </cell>
          <cell r="O78">
            <v>0.1</v>
          </cell>
          <cell r="P78">
            <v>0.1</v>
          </cell>
          <cell r="Q78">
            <v>0.1</v>
          </cell>
        </row>
        <row r="80">
          <cell r="I80">
            <v>0.45</v>
          </cell>
          <cell r="J80">
            <v>0.45</v>
          </cell>
          <cell r="K80">
            <v>0.45</v>
          </cell>
          <cell r="L80">
            <v>0.45</v>
          </cell>
          <cell r="M80">
            <v>0.45</v>
          </cell>
          <cell r="N80">
            <v>0.45</v>
          </cell>
          <cell r="O80">
            <v>0.45</v>
          </cell>
          <cell r="P80">
            <v>0.45</v>
          </cell>
          <cell r="Q80">
            <v>0.45</v>
          </cell>
        </row>
        <row r="81">
          <cell r="I81">
            <v>0.4</v>
          </cell>
          <cell r="J81">
            <v>0.4</v>
          </cell>
          <cell r="K81">
            <v>0.4</v>
          </cell>
          <cell r="L81">
            <v>0.4</v>
          </cell>
          <cell r="M81">
            <v>0.4</v>
          </cell>
          <cell r="N81">
            <v>0.4</v>
          </cell>
          <cell r="O81">
            <v>0.4</v>
          </cell>
          <cell r="P81">
            <v>0.4</v>
          </cell>
          <cell r="Q81">
            <v>0.4</v>
          </cell>
        </row>
        <row r="82">
          <cell r="I82">
            <v>0.1</v>
          </cell>
          <cell r="J82">
            <v>0.1</v>
          </cell>
          <cell r="K82">
            <v>0.1</v>
          </cell>
          <cell r="L82">
            <v>0.1</v>
          </cell>
          <cell r="M82">
            <v>0.1</v>
          </cell>
          <cell r="N82">
            <v>0.1</v>
          </cell>
          <cell r="O82">
            <v>0.1</v>
          </cell>
          <cell r="P82">
            <v>0.1</v>
          </cell>
          <cell r="Q82">
            <v>0.1</v>
          </cell>
        </row>
        <row r="83">
          <cell r="I83">
            <v>0.02</v>
          </cell>
          <cell r="J83">
            <v>0.02</v>
          </cell>
          <cell r="K83">
            <v>0.02</v>
          </cell>
          <cell r="L83">
            <v>0.02</v>
          </cell>
          <cell r="M83">
            <v>0.02</v>
          </cell>
          <cell r="N83">
            <v>0.02</v>
          </cell>
          <cell r="O83">
            <v>0.02</v>
          </cell>
          <cell r="P83">
            <v>0.02</v>
          </cell>
          <cell r="Q83">
            <v>0.02</v>
          </cell>
        </row>
        <row r="84">
          <cell r="I84">
            <v>0.03</v>
          </cell>
          <cell r="J84">
            <v>0.03</v>
          </cell>
          <cell r="K84">
            <v>0.03</v>
          </cell>
          <cell r="L84">
            <v>0.03</v>
          </cell>
          <cell r="M84">
            <v>0.03</v>
          </cell>
          <cell r="N84">
            <v>0.03</v>
          </cell>
          <cell r="O84">
            <v>0.03</v>
          </cell>
          <cell r="P84">
            <v>0.03</v>
          </cell>
          <cell r="Q84">
            <v>0.03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_summary_region"/>
    </sheetNames>
    <sheetDataSet>
      <sheetData sheetId="0">
        <row r="1">
          <cell r="A1" t="str">
            <v>region_NS</v>
          </cell>
          <cell r="B1" t="str">
            <v>outmode</v>
          </cell>
          <cell r="C1" t="str">
            <v>Year</v>
          </cell>
          <cell r="D1" t="str">
            <v>sampeopler</v>
          </cell>
          <cell r="E1" t="str">
            <v>samcountr</v>
          </cell>
          <cell r="F1" t="str">
            <v>tottripr</v>
          </cell>
          <cell r="G1" t="str">
            <v>totdistr</v>
          </cell>
          <cell r="H1" t="str">
            <v>totdurationr</v>
          </cell>
          <cell r="I1" t="str">
            <v>modename</v>
          </cell>
          <cell r="J1" t="str">
            <v>yearname</v>
          </cell>
        </row>
        <row r="2">
          <cell r="A2" t="str">
            <v>01 NORTHLAND</v>
          </cell>
          <cell r="B2">
            <v>0</v>
          </cell>
          <cell r="C2">
            <v>2013</v>
          </cell>
          <cell r="D2">
            <v>259</v>
          </cell>
          <cell r="E2">
            <v>844</v>
          </cell>
          <cell r="F2">
            <v>23.706864376999999</v>
          </cell>
          <cell r="G2">
            <v>17.849116999</v>
          </cell>
          <cell r="H2">
            <v>5.0772161771000004</v>
          </cell>
          <cell r="I2" t="str">
            <v>Pedestrian</v>
          </cell>
          <cell r="J2" t="str">
            <v>2012/13</v>
          </cell>
        </row>
        <row r="3">
          <cell r="A3" t="str">
            <v>01 NORTHLAND</v>
          </cell>
          <cell r="B3">
            <v>0</v>
          </cell>
          <cell r="C3">
            <v>2018</v>
          </cell>
          <cell r="D3">
            <v>259</v>
          </cell>
          <cell r="E3">
            <v>844</v>
          </cell>
          <cell r="F3">
            <v>23.759483304</v>
          </cell>
          <cell r="G3">
            <v>17.735698363000001</v>
          </cell>
          <cell r="H3">
            <v>5.0494150450999999</v>
          </cell>
          <cell r="I3" t="str">
            <v>Pedestrian</v>
          </cell>
          <cell r="J3" t="str">
            <v>2017/18</v>
          </cell>
        </row>
        <row r="4">
          <cell r="A4" t="str">
            <v>01 NORTHLAND</v>
          </cell>
          <cell r="B4">
            <v>0</v>
          </cell>
          <cell r="C4">
            <v>2023</v>
          </cell>
          <cell r="D4">
            <v>259</v>
          </cell>
          <cell r="E4">
            <v>844</v>
          </cell>
          <cell r="F4">
            <v>23.653599746000001</v>
          </cell>
          <cell r="G4">
            <v>17.460780533000001</v>
          </cell>
          <cell r="H4">
            <v>4.9817022490999996</v>
          </cell>
          <cell r="I4" t="str">
            <v>Pedestrian</v>
          </cell>
          <cell r="J4" t="str">
            <v>2022/23</v>
          </cell>
        </row>
        <row r="5">
          <cell r="A5" t="str">
            <v>01 NORTHLAND</v>
          </cell>
          <cell r="B5">
            <v>0</v>
          </cell>
          <cell r="C5">
            <v>2028</v>
          </cell>
          <cell r="D5">
            <v>259</v>
          </cell>
          <cell r="E5">
            <v>844</v>
          </cell>
          <cell r="F5">
            <v>23.444217078000001</v>
          </cell>
          <cell r="G5">
            <v>17.146159603000001</v>
          </cell>
          <cell r="H5">
            <v>4.8774643942999996</v>
          </cell>
          <cell r="I5" t="str">
            <v>Pedestrian</v>
          </cell>
          <cell r="J5" t="str">
            <v>2027/28</v>
          </cell>
        </row>
        <row r="6">
          <cell r="A6" t="str">
            <v>01 NORTHLAND</v>
          </cell>
          <cell r="B6">
            <v>0</v>
          </cell>
          <cell r="C6">
            <v>2033</v>
          </cell>
          <cell r="D6">
            <v>259</v>
          </cell>
          <cell r="E6">
            <v>844</v>
          </cell>
          <cell r="F6">
            <v>23.012227841000001</v>
          </cell>
          <cell r="G6">
            <v>16.562222740999999</v>
          </cell>
          <cell r="H6">
            <v>4.7161360483000001</v>
          </cell>
          <cell r="I6" t="str">
            <v>Pedestrian</v>
          </cell>
          <cell r="J6" t="str">
            <v>2032/33</v>
          </cell>
        </row>
        <row r="7">
          <cell r="A7" t="str">
            <v>01 NORTHLAND</v>
          </cell>
          <cell r="B7">
            <v>0</v>
          </cell>
          <cell r="C7">
            <v>2038</v>
          </cell>
          <cell r="D7">
            <v>259</v>
          </cell>
          <cell r="E7">
            <v>844</v>
          </cell>
          <cell r="F7">
            <v>22.360779773000001</v>
          </cell>
          <cell r="G7">
            <v>15.760934551</v>
          </cell>
          <cell r="H7">
            <v>4.4972940633</v>
          </cell>
          <cell r="I7" t="str">
            <v>Pedestrian</v>
          </cell>
          <cell r="J7" t="str">
            <v>2037/38</v>
          </cell>
        </row>
        <row r="8">
          <cell r="A8" t="str">
            <v>01 NORTHLAND</v>
          </cell>
          <cell r="B8">
            <v>0</v>
          </cell>
          <cell r="C8">
            <v>2043</v>
          </cell>
          <cell r="D8">
            <v>259</v>
          </cell>
          <cell r="E8">
            <v>844</v>
          </cell>
          <cell r="F8">
            <v>21.6530448</v>
          </cell>
          <cell r="G8">
            <v>14.938009724</v>
          </cell>
          <cell r="H8">
            <v>4.2669629675999996</v>
          </cell>
          <cell r="I8" t="str">
            <v>Pedestrian</v>
          </cell>
          <cell r="J8" t="str">
            <v>2042/43</v>
          </cell>
        </row>
        <row r="9">
          <cell r="A9" t="str">
            <v>01 NORTHLAND</v>
          </cell>
          <cell r="B9">
            <v>1</v>
          </cell>
          <cell r="C9">
            <v>2013</v>
          </cell>
          <cell r="D9">
            <v>5</v>
          </cell>
          <cell r="E9">
            <v>19</v>
          </cell>
          <cell r="F9">
            <v>0.66592947719999995</v>
          </cell>
          <cell r="G9">
            <v>1.0072239942000001</v>
          </cell>
          <cell r="H9">
            <v>0.15772883609999999</v>
          </cell>
          <cell r="I9" t="str">
            <v>Cyclist</v>
          </cell>
          <cell r="J9" t="str">
            <v>2012/13</v>
          </cell>
        </row>
        <row r="10">
          <cell r="A10" t="str">
            <v>01 NORTHLAND</v>
          </cell>
          <cell r="B10">
            <v>1</v>
          </cell>
          <cell r="C10">
            <v>2018</v>
          </cell>
          <cell r="D10">
            <v>5</v>
          </cell>
          <cell r="E10">
            <v>19</v>
          </cell>
          <cell r="F10">
            <v>0.62225861039999997</v>
          </cell>
          <cell r="G10">
            <v>0.95358870829999998</v>
          </cell>
          <cell r="H10">
            <v>0.14924559539999999</v>
          </cell>
          <cell r="I10" t="str">
            <v>Cyclist</v>
          </cell>
          <cell r="J10" t="str">
            <v>2017/18</v>
          </cell>
        </row>
        <row r="11">
          <cell r="A11" t="str">
            <v>01 NORTHLAND</v>
          </cell>
          <cell r="B11">
            <v>1</v>
          </cell>
          <cell r="C11">
            <v>2023</v>
          </cell>
          <cell r="D11">
            <v>5</v>
          </cell>
          <cell r="E11">
            <v>19</v>
          </cell>
          <cell r="F11">
            <v>0.62767138079999996</v>
          </cell>
          <cell r="G11">
            <v>0.97165468779999997</v>
          </cell>
          <cell r="H11">
            <v>0.15231914029999999</v>
          </cell>
          <cell r="I11" t="str">
            <v>Cyclist</v>
          </cell>
          <cell r="J11" t="str">
            <v>2022/23</v>
          </cell>
        </row>
        <row r="12">
          <cell r="A12" t="str">
            <v>01 NORTHLAND</v>
          </cell>
          <cell r="B12">
            <v>1</v>
          </cell>
          <cell r="C12">
            <v>2028</v>
          </cell>
          <cell r="D12">
            <v>5</v>
          </cell>
          <cell r="E12">
            <v>19</v>
          </cell>
          <cell r="F12">
            <v>0.61018096779999997</v>
          </cell>
          <cell r="G12">
            <v>0.95155926359999998</v>
          </cell>
          <cell r="H12">
            <v>0.1497336511</v>
          </cell>
          <cell r="I12" t="str">
            <v>Cyclist</v>
          </cell>
          <cell r="J12" t="str">
            <v>2027/28</v>
          </cell>
        </row>
        <row r="13">
          <cell r="A13" t="str">
            <v>01 NORTHLAND</v>
          </cell>
          <cell r="B13">
            <v>1</v>
          </cell>
          <cell r="C13">
            <v>2033</v>
          </cell>
          <cell r="D13">
            <v>5</v>
          </cell>
          <cell r="E13">
            <v>19</v>
          </cell>
          <cell r="F13">
            <v>0.56857701439999997</v>
          </cell>
          <cell r="G13">
            <v>0.89215645580000003</v>
          </cell>
          <cell r="H13">
            <v>0.140744068</v>
          </cell>
          <cell r="I13" t="str">
            <v>Cyclist</v>
          </cell>
          <cell r="J13" t="str">
            <v>2032/33</v>
          </cell>
        </row>
        <row r="14">
          <cell r="A14" t="str">
            <v>01 NORTHLAND</v>
          </cell>
          <cell r="B14">
            <v>1</v>
          </cell>
          <cell r="C14">
            <v>2038</v>
          </cell>
          <cell r="D14">
            <v>5</v>
          </cell>
          <cell r="E14">
            <v>19</v>
          </cell>
          <cell r="F14">
            <v>0.47133398240000002</v>
          </cell>
          <cell r="G14">
            <v>0.74360667499999999</v>
          </cell>
          <cell r="H14">
            <v>0.117295073</v>
          </cell>
          <cell r="I14" t="str">
            <v>Cyclist</v>
          </cell>
          <cell r="J14" t="str">
            <v>2037/38</v>
          </cell>
        </row>
        <row r="15">
          <cell r="A15" t="str">
            <v>01 NORTHLAND</v>
          </cell>
          <cell r="B15">
            <v>1</v>
          </cell>
          <cell r="C15">
            <v>2043</v>
          </cell>
          <cell r="D15">
            <v>5</v>
          </cell>
          <cell r="E15">
            <v>19</v>
          </cell>
          <cell r="F15">
            <v>0.38312130160000002</v>
          </cell>
          <cell r="G15">
            <v>0.60775131100000002</v>
          </cell>
          <cell r="H15">
            <v>9.5875978799999997E-2</v>
          </cell>
          <cell r="I15" t="str">
            <v>Cyclist</v>
          </cell>
          <cell r="J15" t="str">
            <v>2042/43</v>
          </cell>
        </row>
        <row r="16">
          <cell r="A16" t="str">
            <v>01 NORTHLAND</v>
          </cell>
          <cell r="B16">
            <v>2</v>
          </cell>
          <cell r="C16">
            <v>2013</v>
          </cell>
          <cell r="D16">
            <v>476</v>
          </cell>
          <cell r="E16">
            <v>2980</v>
          </cell>
          <cell r="F16">
            <v>86.333691700000003</v>
          </cell>
          <cell r="G16">
            <v>1011.4273062</v>
          </cell>
          <cell r="H16">
            <v>23.421840091</v>
          </cell>
          <cell r="I16" t="str">
            <v>Light Vehicle Driver</v>
          </cell>
          <cell r="J16" t="str">
            <v>2012/13</v>
          </cell>
        </row>
        <row r="17">
          <cell r="A17" t="str">
            <v>01 NORTHLAND</v>
          </cell>
          <cell r="B17">
            <v>2</v>
          </cell>
          <cell r="C17">
            <v>2018</v>
          </cell>
          <cell r="D17">
            <v>476</v>
          </cell>
          <cell r="E17">
            <v>2980</v>
          </cell>
          <cell r="F17">
            <v>89.291356045000001</v>
          </cell>
          <cell r="G17">
            <v>1055.6674237</v>
          </cell>
          <cell r="H17">
            <v>24.412828752999999</v>
          </cell>
          <cell r="I17" t="str">
            <v>Light Vehicle Driver</v>
          </cell>
          <cell r="J17" t="str">
            <v>2017/18</v>
          </cell>
        </row>
        <row r="18">
          <cell r="A18" t="str">
            <v>01 NORTHLAND</v>
          </cell>
          <cell r="B18">
            <v>2</v>
          </cell>
          <cell r="C18">
            <v>2023</v>
          </cell>
          <cell r="D18">
            <v>476</v>
          </cell>
          <cell r="E18">
            <v>2980</v>
          </cell>
          <cell r="F18">
            <v>90.732953387999999</v>
          </cell>
          <cell r="G18">
            <v>1075.0867555</v>
          </cell>
          <cell r="H18">
            <v>24.822783907000002</v>
          </cell>
          <cell r="I18" t="str">
            <v>Light Vehicle Driver</v>
          </cell>
          <cell r="J18" t="str">
            <v>2022/23</v>
          </cell>
        </row>
        <row r="19">
          <cell r="A19" t="str">
            <v>01 NORTHLAND</v>
          </cell>
          <cell r="B19">
            <v>2</v>
          </cell>
          <cell r="C19">
            <v>2028</v>
          </cell>
          <cell r="D19">
            <v>476</v>
          </cell>
          <cell r="E19">
            <v>2980</v>
          </cell>
          <cell r="F19">
            <v>93.275414163999997</v>
          </cell>
          <cell r="G19">
            <v>1101.4805818</v>
          </cell>
          <cell r="H19">
            <v>25.365476288</v>
          </cell>
          <cell r="I19" t="str">
            <v>Light Vehicle Driver</v>
          </cell>
          <cell r="J19" t="str">
            <v>2027/28</v>
          </cell>
        </row>
        <row r="20">
          <cell r="A20" t="str">
            <v>01 NORTHLAND</v>
          </cell>
          <cell r="B20">
            <v>2</v>
          </cell>
          <cell r="C20">
            <v>2033</v>
          </cell>
          <cell r="D20">
            <v>476</v>
          </cell>
          <cell r="E20">
            <v>2980</v>
          </cell>
          <cell r="F20">
            <v>95.255421698000006</v>
          </cell>
          <cell r="G20">
            <v>1125.3273406999999</v>
          </cell>
          <cell r="H20">
            <v>25.892064713</v>
          </cell>
          <cell r="I20" t="str">
            <v>Light Vehicle Driver</v>
          </cell>
          <cell r="J20" t="str">
            <v>2032/33</v>
          </cell>
        </row>
        <row r="21">
          <cell r="A21" t="str">
            <v>01 NORTHLAND</v>
          </cell>
          <cell r="B21">
            <v>2</v>
          </cell>
          <cell r="C21">
            <v>2038</v>
          </cell>
          <cell r="D21">
            <v>476</v>
          </cell>
          <cell r="E21">
            <v>2980</v>
          </cell>
          <cell r="F21">
            <v>95.342348017999996</v>
          </cell>
          <cell r="G21">
            <v>1133.4092654999999</v>
          </cell>
          <cell r="H21">
            <v>26.059886873</v>
          </cell>
          <cell r="I21" t="str">
            <v>Light Vehicle Driver</v>
          </cell>
          <cell r="J21" t="str">
            <v>2037/38</v>
          </cell>
        </row>
        <row r="22">
          <cell r="A22" t="str">
            <v>01 NORTHLAND</v>
          </cell>
          <cell r="B22">
            <v>2</v>
          </cell>
          <cell r="C22">
            <v>2043</v>
          </cell>
          <cell r="D22">
            <v>476</v>
          </cell>
          <cell r="E22">
            <v>2980</v>
          </cell>
          <cell r="F22">
            <v>95.149829177000001</v>
          </cell>
          <cell r="G22">
            <v>1137.1598276</v>
          </cell>
          <cell r="H22">
            <v>26.117896081000001</v>
          </cell>
          <cell r="I22" t="str">
            <v>Light Vehicle Driver</v>
          </cell>
          <cell r="J22" t="str">
            <v>2042/43</v>
          </cell>
        </row>
        <row r="23">
          <cell r="A23" t="str">
            <v>01 NORTHLAND</v>
          </cell>
          <cell r="B23">
            <v>3</v>
          </cell>
          <cell r="C23">
            <v>2013</v>
          </cell>
          <cell r="D23">
            <v>380</v>
          </cell>
          <cell r="E23">
            <v>1743</v>
          </cell>
          <cell r="F23">
            <v>50.299563868</v>
          </cell>
          <cell r="G23">
            <v>666.23785996000004</v>
          </cell>
          <cell r="H23">
            <v>15.174949781</v>
          </cell>
          <cell r="I23" t="str">
            <v>Light Vehicle Passenger</v>
          </cell>
          <cell r="J23" t="str">
            <v>2012/13</v>
          </cell>
        </row>
        <row r="24">
          <cell r="A24" t="str">
            <v>01 NORTHLAND</v>
          </cell>
          <cell r="B24">
            <v>3</v>
          </cell>
          <cell r="C24">
            <v>2018</v>
          </cell>
          <cell r="D24">
            <v>380</v>
          </cell>
          <cell r="E24">
            <v>1743</v>
          </cell>
          <cell r="F24">
            <v>49.088961003000001</v>
          </cell>
          <cell r="G24">
            <v>663.84112298000002</v>
          </cell>
          <cell r="H24">
            <v>15.043693887</v>
          </cell>
          <cell r="I24" t="str">
            <v>Light Vehicle Passenger</v>
          </cell>
          <cell r="J24" t="str">
            <v>2017/18</v>
          </cell>
        </row>
        <row r="25">
          <cell r="A25" t="str">
            <v>01 NORTHLAND</v>
          </cell>
          <cell r="B25">
            <v>3</v>
          </cell>
          <cell r="C25">
            <v>2023</v>
          </cell>
          <cell r="D25">
            <v>380</v>
          </cell>
          <cell r="E25">
            <v>1743</v>
          </cell>
          <cell r="F25">
            <v>47.890576781999997</v>
          </cell>
          <cell r="G25">
            <v>656.87455413999999</v>
          </cell>
          <cell r="H25">
            <v>14.815408416</v>
          </cell>
          <cell r="I25" t="str">
            <v>Light Vehicle Passenger</v>
          </cell>
          <cell r="J25" t="str">
            <v>2022/23</v>
          </cell>
        </row>
        <row r="26">
          <cell r="A26" t="str">
            <v>01 NORTHLAND</v>
          </cell>
          <cell r="B26">
            <v>3</v>
          </cell>
          <cell r="C26">
            <v>2028</v>
          </cell>
          <cell r="D26">
            <v>380</v>
          </cell>
          <cell r="E26">
            <v>1743</v>
          </cell>
          <cell r="F26">
            <v>47.323475776000002</v>
          </cell>
          <cell r="G26">
            <v>658.16193868000005</v>
          </cell>
          <cell r="H26">
            <v>14.732585072999999</v>
          </cell>
          <cell r="I26" t="str">
            <v>Light Vehicle Passenger</v>
          </cell>
          <cell r="J26" t="str">
            <v>2027/28</v>
          </cell>
        </row>
        <row r="27">
          <cell r="A27" t="str">
            <v>01 NORTHLAND</v>
          </cell>
          <cell r="B27">
            <v>3</v>
          </cell>
          <cell r="C27">
            <v>2033</v>
          </cell>
          <cell r="D27">
            <v>380</v>
          </cell>
          <cell r="E27">
            <v>1743</v>
          </cell>
          <cell r="F27">
            <v>46.880439357</v>
          </cell>
          <cell r="G27">
            <v>655.67660107999995</v>
          </cell>
          <cell r="H27">
            <v>14.611382581999999</v>
          </cell>
          <cell r="I27" t="str">
            <v>Light Vehicle Passenger</v>
          </cell>
          <cell r="J27" t="str">
            <v>2032/33</v>
          </cell>
        </row>
        <row r="28">
          <cell r="A28" t="str">
            <v>01 NORTHLAND</v>
          </cell>
          <cell r="B28">
            <v>3</v>
          </cell>
          <cell r="C28">
            <v>2038</v>
          </cell>
          <cell r="D28">
            <v>380</v>
          </cell>
          <cell r="E28">
            <v>1743</v>
          </cell>
          <cell r="F28">
            <v>45.884686504999998</v>
          </cell>
          <cell r="G28">
            <v>650.79562777000001</v>
          </cell>
          <cell r="H28">
            <v>14.407955576999999</v>
          </cell>
          <cell r="I28" t="str">
            <v>Light Vehicle Passenger</v>
          </cell>
          <cell r="J28" t="str">
            <v>2037/38</v>
          </cell>
        </row>
        <row r="29">
          <cell r="A29" t="str">
            <v>01 NORTHLAND</v>
          </cell>
          <cell r="B29">
            <v>3</v>
          </cell>
          <cell r="C29">
            <v>2043</v>
          </cell>
          <cell r="D29">
            <v>380</v>
          </cell>
          <cell r="E29">
            <v>1743</v>
          </cell>
          <cell r="F29">
            <v>44.819244707999999</v>
          </cell>
          <cell r="G29">
            <v>644.06478465999999</v>
          </cell>
          <cell r="H29">
            <v>14.167354896999999</v>
          </cell>
          <cell r="I29" t="str">
            <v>Light Vehicle Passenger</v>
          </cell>
          <cell r="J29" t="str">
            <v>2042/43</v>
          </cell>
        </row>
        <row r="30">
          <cell r="A30" t="str">
            <v>01 NORTHLAND</v>
          </cell>
          <cell r="B30">
            <v>4</v>
          </cell>
          <cell r="C30">
            <v>2013</v>
          </cell>
          <cell r="D30">
            <v>4</v>
          </cell>
          <cell r="E30">
            <v>6</v>
          </cell>
          <cell r="F30">
            <v>0.18126348840000001</v>
          </cell>
          <cell r="G30">
            <v>0.75976041549999995</v>
          </cell>
          <cell r="H30">
            <v>2.5131369800000001E-2</v>
          </cell>
          <cell r="J30" t="str">
            <v>2012/13</v>
          </cell>
        </row>
        <row r="31">
          <cell r="A31" t="str">
            <v>01 NORTHLAND</v>
          </cell>
          <cell r="B31">
            <v>4</v>
          </cell>
          <cell r="C31">
            <v>2018</v>
          </cell>
          <cell r="D31">
            <v>4</v>
          </cell>
          <cell r="E31">
            <v>6</v>
          </cell>
          <cell r="F31">
            <v>0.1802249548</v>
          </cell>
          <cell r="G31">
            <v>0.75231248009999996</v>
          </cell>
          <cell r="H31">
            <v>2.4523769599999998E-2</v>
          </cell>
          <cell r="J31" t="str">
            <v>2017/18</v>
          </cell>
        </row>
        <row r="32">
          <cell r="A32" t="str">
            <v>01 NORTHLAND</v>
          </cell>
          <cell r="B32">
            <v>4</v>
          </cell>
          <cell r="C32">
            <v>2023</v>
          </cell>
          <cell r="D32">
            <v>4</v>
          </cell>
          <cell r="E32">
            <v>6</v>
          </cell>
          <cell r="F32">
            <v>0.18175987299999999</v>
          </cell>
          <cell r="G32">
            <v>0.80318269279999999</v>
          </cell>
          <cell r="H32">
            <v>2.50800487E-2</v>
          </cell>
          <cell r="J32" t="str">
            <v>2022/23</v>
          </cell>
        </row>
        <row r="33">
          <cell r="A33" t="str">
            <v>01 NORTHLAND</v>
          </cell>
          <cell r="B33">
            <v>4</v>
          </cell>
          <cell r="C33">
            <v>2028</v>
          </cell>
          <cell r="D33">
            <v>4</v>
          </cell>
          <cell r="E33">
            <v>6</v>
          </cell>
          <cell r="F33">
            <v>0.18936623899999999</v>
          </cell>
          <cell r="G33">
            <v>0.92505622180000002</v>
          </cell>
          <cell r="H33">
            <v>2.71595863E-2</v>
          </cell>
          <cell r="J33" t="str">
            <v>2027/28</v>
          </cell>
        </row>
        <row r="34">
          <cell r="A34" t="str">
            <v>01 NORTHLAND</v>
          </cell>
          <cell r="B34">
            <v>4</v>
          </cell>
          <cell r="C34">
            <v>2033</v>
          </cell>
          <cell r="D34">
            <v>4</v>
          </cell>
          <cell r="E34">
            <v>6</v>
          </cell>
          <cell r="F34">
            <v>0.1816627167</v>
          </cell>
          <cell r="G34">
            <v>0.99687324580000003</v>
          </cell>
          <cell r="H34">
            <v>2.7386666E-2</v>
          </cell>
          <cell r="J34" t="str">
            <v>2032/33</v>
          </cell>
        </row>
        <row r="35">
          <cell r="A35" t="str">
            <v>01 NORTHLAND</v>
          </cell>
          <cell r="B35">
            <v>4</v>
          </cell>
          <cell r="C35">
            <v>2038</v>
          </cell>
          <cell r="D35">
            <v>4</v>
          </cell>
          <cell r="E35">
            <v>6</v>
          </cell>
          <cell r="F35">
            <v>0.16972872520000001</v>
          </cell>
          <cell r="G35">
            <v>0.98051401120000004</v>
          </cell>
          <cell r="H35">
            <v>2.6032977299999999E-2</v>
          </cell>
          <cell r="J35" t="str">
            <v>2037/38</v>
          </cell>
        </row>
        <row r="36">
          <cell r="A36" t="str">
            <v>01 NORTHLAND</v>
          </cell>
          <cell r="B36">
            <v>4</v>
          </cell>
          <cell r="C36">
            <v>2043</v>
          </cell>
          <cell r="D36">
            <v>4</v>
          </cell>
          <cell r="E36">
            <v>6</v>
          </cell>
          <cell r="F36">
            <v>0.1575792308</v>
          </cell>
          <cell r="G36">
            <v>0.95688894339999997</v>
          </cell>
          <cell r="H36">
            <v>2.4568605300000001E-2</v>
          </cell>
          <cell r="J36" t="str">
            <v>2042/43</v>
          </cell>
        </row>
        <row r="37">
          <cell r="A37" t="str">
            <v>01 NORTHLAND</v>
          </cell>
          <cell r="B37">
            <v>5</v>
          </cell>
          <cell r="C37">
            <v>2013</v>
          </cell>
          <cell r="D37">
            <v>5</v>
          </cell>
          <cell r="E37">
            <v>28</v>
          </cell>
          <cell r="F37">
            <v>1.4141085707000001</v>
          </cell>
          <cell r="G37">
            <v>9.2423909657000003</v>
          </cell>
          <cell r="H37">
            <v>0.28382488960000002</v>
          </cell>
          <cell r="I37" t="str">
            <v>Motorcyclist</v>
          </cell>
          <cell r="J37" t="str">
            <v>2012/13</v>
          </cell>
        </row>
        <row r="38">
          <cell r="A38" t="str">
            <v>01 NORTHLAND</v>
          </cell>
          <cell r="B38">
            <v>5</v>
          </cell>
          <cell r="C38">
            <v>2018</v>
          </cell>
          <cell r="D38">
            <v>5</v>
          </cell>
          <cell r="E38">
            <v>28</v>
          </cell>
          <cell r="F38">
            <v>1.4184689704</v>
          </cell>
          <cell r="G38">
            <v>9.4484881807000001</v>
          </cell>
          <cell r="H38">
            <v>0.28996502120000001</v>
          </cell>
          <cell r="I38" t="str">
            <v>Motorcyclist</v>
          </cell>
          <cell r="J38" t="str">
            <v>2017/18</v>
          </cell>
        </row>
        <row r="39">
          <cell r="A39" t="str">
            <v>01 NORTHLAND</v>
          </cell>
          <cell r="B39">
            <v>5</v>
          </cell>
          <cell r="C39">
            <v>2023</v>
          </cell>
          <cell r="D39">
            <v>5</v>
          </cell>
          <cell r="E39">
            <v>28</v>
          </cell>
          <cell r="F39">
            <v>1.3625385753000001</v>
          </cell>
          <cell r="G39">
            <v>9.1273042885999995</v>
          </cell>
          <cell r="H39">
            <v>0.28125119609999999</v>
          </cell>
          <cell r="I39" t="str">
            <v>Motorcyclist</v>
          </cell>
          <cell r="J39" t="str">
            <v>2022/23</v>
          </cell>
        </row>
        <row r="40">
          <cell r="A40" t="str">
            <v>01 NORTHLAND</v>
          </cell>
          <cell r="B40">
            <v>5</v>
          </cell>
          <cell r="C40">
            <v>2028</v>
          </cell>
          <cell r="D40">
            <v>5</v>
          </cell>
          <cell r="E40">
            <v>28</v>
          </cell>
          <cell r="F40">
            <v>1.2809998005000001</v>
          </cell>
          <cell r="G40">
            <v>8.8117765380000002</v>
          </cell>
          <cell r="H40">
            <v>0.26925596299999999</v>
          </cell>
          <cell r="I40" t="str">
            <v>Motorcyclist</v>
          </cell>
          <cell r="J40" t="str">
            <v>2027/28</v>
          </cell>
        </row>
        <row r="41">
          <cell r="A41" t="str">
            <v>01 NORTHLAND</v>
          </cell>
          <cell r="B41">
            <v>5</v>
          </cell>
          <cell r="C41">
            <v>2033</v>
          </cell>
          <cell r="D41">
            <v>5</v>
          </cell>
          <cell r="E41">
            <v>28</v>
          </cell>
          <cell r="F41">
            <v>1.2547294113</v>
          </cell>
          <cell r="G41">
            <v>8.6562204023000007</v>
          </cell>
          <cell r="H41">
            <v>0.26373218679999999</v>
          </cell>
          <cell r="I41" t="str">
            <v>Motorcyclist</v>
          </cell>
          <cell r="J41" t="str">
            <v>2032/33</v>
          </cell>
        </row>
        <row r="42">
          <cell r="A42" t="str">
            <v>01 NORTHLAND</v>
          </cell>
          <cell r="B42">
            <v>5</v>
          </cell>
          <cell r="C42">
            <v>2038</v>
          </cell>
          <cell r="D42">
            <v>5</v>
          </cell>
          <cell r="E42">
            <v>28</v>
          </cell>
          <cell r="F42">
            <v>1.2678676129999999</v>
          </cell>
          <cell r="G42">
            <v>8.7235747392</v>
          </cell>
          <cell r="H42">
            <v>0.26546521039999998</v>
          </cell>
          <cell r="I42" t="str">
            <v>Motorcyclist</v>
          </cell>
          <cell r="J42" t="str">
            <v>2037/38</v>
          </cell>
        </row>
        <row r="43">
          <cell r="A43" t="str">
            <v>01 NORTHLAND</v>
          </cell>
          <cell r="B43">
            <v>5</v>
          </cell>
          <cell r="C43">
            <v>2043</v>
          </cell>
          <cell r="D43">
            <v>5</v>
          </cell>
          <cell r="E43">
            <v>28</v>
          </cell>
          <cell r="F43">
            <v>1.2646877831000001</v>
          </cell>
          <cell r="G43">
            <v>8.6428281432999992</v>
          </cell>
          <cell r="H43">
            <v>0.26341807249999999</v>
          </cell>
          <cell r="I43" t="str">
            <v>Motorcyclist</v>
          </cell>
          <cell r="J43" t="str">
            <v>2042/43</v>
          </cell>
        </row>
        <row r="44">
          <cell r="A44" t="str">
            <v>01 NORTHLAND</v>
          </cell>
          <cell r="B44">
            <v>7</v>
          </cell>
          <cell r="C44">
            <v>2013</v>
          </cell>
          <cell r="D44">
            <v>50</v>
          </cell>
          <cell r="E44">
            <v>135</v>
          </cell>
          <cell r="F44">
            <v>3.6339219343</v>
          </cell>
          <cell r="G44">
            <v>44.734594063999999</v>
          </cell>
          <cell r="H44">
            <v>1.5691203781</v>
          </cell>
          <cell r="I44" t="str">
            <v>Local Bus</v>
          </cell>
          <cell r="J44" t="str">
            <v>2012/13</v>
          </cell>
        </row>
        <row r="45">
          <cell r="A45" t="str">
            <v>01 NORTHLAND</v>
          </cell>
          <cell r="B45">
            <v>7</v>
          </cell>
          <cell r="C45">
            <v>2018</v>
          </cell>
          <cell r="D45">
            <v>50</v>
          </cell>
          <cell r="E45">
            <v>135</v>
          </cell>
          <cell r="F45">
            <v>3.2202030538000002</v>
          </cell>
          <cell r="G45">
            <v>38.885458948999997</v>
          </cell>
          <cell r="H45">
            <v>1.3896212617999999</v>
          </cell>
          <cell r="I45" t="str">
            <v>Local Bus</v>
          </cell>
          <cell r="J45" t="str">
            <v>2017/18</v>
          </cell>
        </row>
        <row r="46">
          <cell r="A46" t="str">
            <v>01 NORTHLAND</v>
          </cell>
          <cell r="B46">
            <v>7</v>
          </cell>
          <cell r="C46">
            <v>2023</v>
          </cell>
          <cell r="D46">
            <v>50</v>
          </cell>
          <cell r="E46">
            <v>135</v>
          </cell>
          <cell r="F46">
            <v>2.95278229</v>
          </cell>
          <cell r="G46">
            <v>35.233701803000002</v>
          </cell>
          <cell r="H46">
            <v>1.2708586776999999</v>
          </cell>
          <cell r="I46" t="str">
            <v>Local Bus</v>
          </cell>
          <cell r="J46" t="str">
            <v>2022/23</v>
          </cell>
        </row>
        <row r="47">
          <cell r="A47" t="str">
            <v>01 NORTHLAND</v>
          </cell>
          <cell r="B47">
            <v>7</v>
          </cell>
          <cell r="C47">
            <v>2028</v>
          </cell>
          <cell r="D47">
            <v>50</v>
          </cell>
          <cell r="E47">
            <v>135</v>
          </cell>
          <cell r="F47">
            <v>2.7214231332000001</v>
          </cell>
          <cell r="G47">
            <v>32.726104001000003</v>
          </cell>
          <cell r="H47">
            <v>1.1651312556</v>
          </cell>
          <cell r="I47" t="str">
            <v>Local Bus</v>
          </cell>
          <cell r="J47" t="str">
            <v>2027/28</v>
          </cell>
        </row>
        <row r="48">
          <cell r="A48" t="str">
            <v>01 NORTHLAND</v>
          </cell>
          <cell r="B48">
            <v>7</v>
          </cell>
          <cell r="C48">
            <v>2033</v>
          </cell>
          <cell r="D48">
            <v>50</v>
          </cell>
          <cell r="E48">
            <v>135</v>
          </cell>
          <cell r="F48">
            <v>2.5082747197000002</v>
          </cell>
          <cell r="G48">
            <v>30.241396865999999</v>
          </cell>
          <cell r="H48">
            <v>1.068456176</v>
          </cell>
          <cell r="I48" t="str">
            <v>Local Bus</v>
          </cell>
          <cell r="J48" t="str">
            <v>2032/33</v>
          </cell>
        </row>
        <row r="49">
          <cell r="A49" t="str">
            <v>01 NORTHLAND</v>
          </cell>
          <cell r="B49">
            <v>7</v>
          </cell>
          <cell r="C49">
            <v>2038</v>
          </cell>
          <cell r="D49">
            <v>50</v>
          </cell>
          <cell r="E49">
            <v>135</v>
          </cell>
          <cell r="F49">
            <v>2.318397064</v>
          </cell>
          <cell r="G49">
            <v>28.233342477000001</v>
          </cell>
          <cell r="H49">
            <v>0.98547679099999996</v>
          </cell>
          <cell r="I49" t="str">
            <v>Local Bus</v>
          </cell>
          <cell r="J49" t="str">
            <v>2037/38</v>
          </cell>
        </row>
        <row r="50">
          <cell r="A50" t="str">
            <v>01 NORTHLAND</v>
          </cell>
          <cell r="B50">
            <v>7</v>
          </cell>
          <cell r="C50">
            <v>2043</v>
          </cell>
          <cell r="D50">
            <v>50</v>
          </cell>
          <cell r="E50">
            <v>135</v>
          </cell>
          <cell r="F50">
            <v>2.1276577350000001</v>
          </cell>
          <cell r="G50">
            <v>26.183232593</v>
          </cell>
          <cell r="H50">
            <v>0.90229195200000001</v>
          </cell>
          <cell r="I50" t="str">
            <v>Local Bus</v>
          </cell>
          <cell r="J50" t="str">
            <v>2042/43</v>
          </cell>
        </row>
        <row r="51">
          <cell r="A51" t="str">
            <v>01 NORTHLAND</v>
          </cell>
          <cell r="B51">
            <v>8</v>
          </cell>
          <cell r="C51">
            <v>2013</v>
          </cell>
          <cell r="D51">
            <v>2</v>
          </cell>
          <cell r="E51">
            <v>3</v>
          </cell>
          <cell r="F51">
            <v>4.69171767E-2</v>
          </cell>
          <cell r="G51">
            <v>0</v>
          </cell>
          <cell r="H51">
            <v>1.43058123E-2</v>
          </cell>
          <cell r="I51" t="str">
            <v>Local Ferry</v>
          </cell>
          <cell r="J51" t="str">
            <v>2012/13</v>
          </cell>
        </row>
        <row r="52">
          <cell r="A52" t="str">
            <v>01 NORTHLAND</v>
          </cell>
          <cell r="B52">
            <v>8</v>
          </cell>
          <cell r="C52">
            <v>2018</v>
          </cell>
          <cell r="D52">
            <v>2</v>
          </cell>
          <cell r="E52">
            <v>3</v>
          </cell>
          <cell r="F52">
            <v>5.1749943899999998E-2</v>
          </cell>
          <cell r="G52">
            <v>0</v>
          </cell>
          <cell r="H52">
            <v>1.4898411E-2</v>
          </cell>
          <cell r="I52" t="str">
            <v>Local Ferry</v>
          </cell>
          <cell r="J52" t="str">
            <v>2017/18</v>
          </cell>
        </row>
        <row r="53">
          <cell r="A53" t="str">
            <v>01 NORTHLAND</v>
          </cell>
          <cell r="B53">
            <v>8</v>
          </cell>
          <cell r="C53">
            <v>2023</v>
          </cell>
          <cell r="D53">
            <v>2</v>
          </cell>
          <cell r="E53">
            <v>3</v>
          </cell>
          <cell r="F53">
            <v>5.3289510999999998E-2</v>
          </cell>
          <cell r="G53">
            <v>0</v>
          </cell>
          <cell r="H53">
            <v>1.46412895E-2</v>
          </cell>
          <cell r="I53" t="str">
            <v>Local Ferry</v>
          </cell>
          <cell r="J53" t="str">
            <v>2022/23</v>
          </cell>
        </row>
        <row r="54">
          <cell r="A54" t="str">
            <v>01 NORTHLAND</v>
          </cell>
          <cell r="B54">
            <v>8</v>
          </cell>
          <cell r="C54">
            <v>2028</v>
          </cell>
          <cell r="D54">
            <v>2</v>
          </cell>
          <cell r="E54">
            <v>3</v>
          </cell>
          <cell r="F54">
            <v>5.6046743099999997E-2</v>
          </cell>
          <cell r="G54">
            <v>0</v>
          </cell>
          <cell r="H54">
            <v>1.4547354300000001E-2</v>
          </cell>
          <cell r="I54" t="str">
            <v>Local Ferry</v>
          </cell>
          <cell r="J54" t="str">
            <v>2027/28</v>
          </cell>
        </row>
        <row r="55">
          <cell r="A55" t="str">
            <v>01 NORTHLAND</v>
          </cell>
          <cell r="B55">
            <v>8</v>
          </cell>
          <cell r="C55">
            <v>2033</v>
          </cell>
          <cell r="D55">
            <v>2</v>
          </cell>
          <cell r="E55">
            <v>3</v>
          </cell>
          <cell r="F55">
            <v>5.5691695700000002E-2</v>
          </cell>
          <cell r="G55">
            <v>0</v>
          </cell>
          <cell r="H55">
            <v>1.38609962E-2</v>
          </cell>
          <cell r="I55" t="str">
            <v>Local Ferry</v>
          </cell>
          <cell r="J55" t="str">
            <v>2032/33</v>
          </cell>
        </row>
        <row r="56">
          <cell r="A56" t="str">
            <v>01 NORTHLAND</v>
          </cell>
          <cell r="B56">
            <v>8</v>
          </cell>
          <cell r="C56">
            <v>2038</v>
          </cell>
          <cell r="D56">
            <v>2</v>
          </cell>
          <cell r="E56">
            <v>3</v>
          </cell>
          <cell r="F56">
            <v>5.24892239E-2</v>
          </cell>
          <cell r="G56">
            <v>0</v>
          </cell>
          <cell r="H56">
            <v>1.2677626399999999E-2</v>
          </cell>
          <cell r="I56" t="str">
            <v>Local Ferry</v>
          </cell>
          <cell r="J56" t="str">
            <v>2037/38</v>
          </cell>
        </row>
        <row r="57">
          <cell r="A57" t="str">
            <v>01 NORTHLAND</v>
          </cell>
          <cell r="B57">
            <v>8</v>
          </cell>
          <cell r="C57">
            <v>2043</v>
          </cell>
          <cell r="D57">
            <v>2</v>
          </cell>
          <cell r="E57">
            <v>3</v>
          </cell>
          <cell r="F57">
            <v>4.9081237200000002E-2</v>
          </cell>
          <cell r="G57">
            <v>0</v>
          </cell>
          <cell r="H57">
            <v>1.15424681E-2</v>
          </cell>
          <cell r="I57" t="str">
            <v>Local Ferry</v>
          </cell>
          <cell r="J57" t="str">
            <v>2042/43</v>
          </cell>
        </row>
        <row r="58">
          <cell r="A58" t="str">
            <v>01 NORTHLAND</v>
          </cell>
          <cell r="B58">
            <v>9</v>
          </cell>
          <cell r="C58">
            <v>2013</v>
          </cell>
          <cell r="D58">
            <v>2</v>
          </cell>
          <cell r="E58">
            <v>3</v>
          </cell>
          <cell r="F58">
            <v>0.1184310407</v>
          </cell>
          <cell r="G58">
            <v>0</v>
          </cell>
          <cell r="H58">
            <v>0</v>
          </cell>
          <cell r="I58" t="str">
            <v>Other Household Travel</v>
          </cell>
          <cell r="J58" t="str">
            <v>2012/13</v>
          </cell>
        </row>
        <row r="59">
          <cell r="A59" t="str">
            <v>01 NORTHLAND</v>
          </cell>
          <cell r="B59">
            <v>9</v>
          </cell>
          <cell r="C59">
            <v>2018</v>
          </cell>
          <cell r="D59">
            <v>2</v>
          </cell>
          <cell r="E59">
            <v>3</v>
          </cell>
          <cell r="F59">
            <v>0.12575020510000001</v>
          </cell>
          <cell r="G59">
            <v>0</v>
          </cell>
          <cell r="H59">
            <v>0</v>
          </cell>
          <cell r="I59" t="str">
            <v>Other Household Travel</v>
          </cell>
          <cell r="J59" t="str">
            <v>2017/18</v>
          </cell>
        </row>
        <row r="60">
          <cell r="A60" t="str">
            <v>01 NORTHLAND</v>
          </cell>
          <cell r="B60">
            <v>9</v>
          </cell>
          <cell r="C60">
            <v>2023</v>
          </cell>
          <cell r="D60">
            <v>2</v>
          </cell>
          <cell r="E60">
            <v>3</v>
          </cell>
          <cell r="F60">
            <v>0.1245642459</v>
          </cell>
          <cell r="G60">
            <v>0</v>
          </cell>
          <cell r="H60">
            <v>0</v>
          </cell>
          <cell r="I60" t="str">
            <v>Other Household Travel</v>
          </cell>
          <cell r="J60" t="str">
            <v>2022/23</v>
          </cell>
        </row>
        <row r="61">
          <cell r="A61" t="str">
            <v>01 NORTHLAND</v>
          </cell>
          <cell r="B61">
            <v>9</v>
          </cell>
          <cell r="C61">
            <v>2028</v>
          </cell>
          <cell r="D61">
            <v>2</v>
          </cell>
          <cell r="E61">
            <v>3</v>
          </cell>
          <cell r="F61">
            <v>0.1226553625</v>
          </cell>
          <cell r="G61">
            <v>0</v>
          </cell>
          <cell r="H61">
            <v>0</v>
          </cell>
          <cell r="I61" t="str">
            <v>Other Household Travel</v>
          </cell>
          <cell r="J61" t="str">
            <v>2027/28</v>
          </cell>
        </row>
        <row r="62">
          <cell r="A62" t="str">
            <v>01 NORTHLAND</v>
          </cell>
          <cell r="B62">
            <v>9</v>
          </cell>
          <cell r="C62">
            <v>2033</v>
          </cell>
          <cell r="D62">
            <v>2</v>
          </cell>
          <cell r="E62">
            <v>3</v>
          </cell>
          <cell r="F62">
            <v>0.11947937760000001</v>
          </cell>
          <cell r="G62">
            <v>0</v>
          </cell>
          <cell r="H62">
            <v>0</v>
          </cell>
          <cell r="I62" t="str">
            <v>Other Household Travel</v>
          </cell>
          <cell r="J62" t="str">
            <v>2032/33</v>
          </cell>
        </row>
        <row r="63">
          <cell r="A63" t="str">
            <v>01 NORTHLAND</v>
          </cell>
          <cell r="B63">
            <v>9</v>
          </cell>
          <cell r="C63">
            <v>2038</v>
          </cell>
          <cell r="D63">
            <v>2</v>
          </cell>
          <cell r="E63">
            <v>3</v>
          </cell>
          <cell r="F63">
            <v>0.1152561377</v>
          </cell>
          <cell r="G63">
            <v>0</v>
          </cell>
          <cell r="H63">
            <v>0</v>
          </cell>
          <cell r="I63" t="str">
            <v>Other Household Travel</v>
          </cell>
          <cell r="J63" t="str">
            <v>2037/38</v>
          </cell>
        </row>
        <row r="64">
          <cell r="A64" t="str">
            <v>01 NORTHLAND</v>
          </cell>
          <cell r="B64">
            <v>9</v>
          </cell>
          <cell r="C64">
            <v>2043</v>
          </cell>
          <cell r="D64">
            <v>2</v>
          </cell>
          <cell r="E64">
            <v>3</v>
          </cell>
          <cell r="F64">
            <v>0.1101477317</v>
          </cell>
          <cell r="G64">
            <v>0</v>
          </cell>
          <cell r="H64">
            <v>0</v>
          </cell>
          <cell r="I64" t="str">
            <v>Other Household Travel</v>
          </cell>
          <cell r="J64" t="str">
            <v>2042/43</v>
          </cell>
        </row>
        <row r="65">
          <cell r="A65" t="str">
            <v>01 NORTHLAND</v>
          </cell>
          <cell r="B65">
            <v>10</v>
          </cell>
          <cell r="C65">
            <v>2013</v>
          </cell>
          <cell r="D65">
            <v>5</v>
          </cell>
          <cell r="E65">
            <v>8</v>
          </cell>
          <cell r="F65">
            <v>0.226285661</v>
          </cell>
          <cell r="G65">
            <v>0</v>
          </cell>
          <cell r="H65">
            <v>0.25491621720000002</v>
          </cell>
          <cell r="I65" t="str">
            <v>Air/Non-Local PT</v>
          </cell>
          <cell r="J65" t="str">
            <v>2012/13</v>
          </cell>
        </row>
        <row r="66">
          <cell r="A66" t="str">
            <v>01 NORTHLAND</v>
          </cell>
          <cell r="B66">
            <v>10</v>
          </cell>
          <cell r="C66">
            <v>2018</v>
          </cell>
          <cell r="D66">
            <v>5</v>
          </cell>
          <cell r="E66">
            <v>8</v>
          </cell>
          <cell r="F66">
            <v>0.24256647519999999</v>
          </cell>
          <cell r="G66">
            <v>0</v>
          </cell>
          <cell r="H66">
            <v>0.28677772769999998</v>
          </cell>
          <cell r="I66" t="str">
            <v>Air/Non-Local PT</v>
          </cell>
          <cell r="J66" t="str">
            <v>2017/18</v>
          </cell>
        </row>
        <row r="67">
          <cell r="A67" t="str">
            <v>01 NORTHLAND</v>
          </cell>
          <cell r="B67">
            <v>10</v>
          </cell>
          <cell r="C67">
            <v>2023</v>
          </cell>
          <cell r="D67">
            <v>5</v>
          </cell>
          <cell r="E67">
            <v>8</v>
          </cell>
          <cell r="F67">
            <v>0.26222735149999998</v>
          </cell>
          <cell r="G67">
            <v>0</v>
          </cell>
          <cell r="H67">
            <v>0.3143623693</v>
          </cell>
          <cell r="I67" t="str">
            <v>Air/Non-Local PT</v>
          </cell>
          <cell r="J67" t="str">
            <v>2022/23</v>
          </cell>
        </row>
        <row r="68">
          <cell r="A68" t="str">
            <v>01 NORTHLAND</v>
          </cell>
          <cell r="B68">
            <v>10</v>
          </cell>
          <cell r="C68">
            <v>2028</v>
          </cell>
          <cell r="D68">
            <v>5</v>
          </cell>
          <cell r="E68">
            <v>8</v>
          </cell>
          <cell r="F68">
            <v>0.29950101169999999</v>
          </cell>
          <cell r="G68">
            <v>0</v>
          </cell>
          <cell r="H68">
            <v>0.36013574199999998</v>
          </cell>
          <cell r="I68" t="str">
            <v>Air/Non-Local PT</v>
          </cell>
          <cell r="J68" t="str">
            <v>2027/28</v>
          </cell>
        </row>
        <row r="69">
          <cell r="A69" t="str">
            <v>01 NORTHLAND</v>
          </cell>
          <cell r="B69">
            <v>10</v>
          </cell>
          <cell r="C69">
            <v>2033</v>
          </cell>
          <cell r="D69">
            <v>5</v>
          </cell>
          <cell r="E69">
            <v>8</v>
          </cell>
          <cell r="F69">
            <v>0.31891769510000001</v>
          </cell>
          <cell r="G69">
            <v>0</v>
          </cell>
          <cell r="H69">
            <v>0.38338052700000003</v>
          </cell>
          <cell r="I69" t="str">
            <v>Air/Non-Local PT</v>
          </cell>
          <cell r="J69" t="str">
            <v>2032/33</v>
          </cell>
        </row>
        <row r="70">
          <cell r="A70" t="str">
            <v>01 NORTHLAND</v>
          </cell>
          <cell r="B70">
            <v>10</v>
          </cell>
          <cell r="C70">
            <v>2038</v>
          </cell>
          <cell r="D70">
            <v>5</v>
          </cell>
          <cell r="E70">
            <v>8</v>
          </cell>
          <cell r="F70">
            <v>0.31243932120000001</v>
          </cell>
          <cell r="G70">
            <v>0</v>
          </cell>
          <cell r="H70">
            <v>0.37749951599999998</v>
          </cell>
          <cell r="I70" t="str">
            <v>Air/Non-Local PT</v>
          </cell>
          <cell r="J70" t="str">
            <v>2037/38</v>
          </cell>
        </row>
        <row r="71">
          <cell r="A71" t="str">
            <v>01 NORTHLAND</v>
          </cell>
          <cell r="B71">
            <v>10</v>
          </cell>
          <cell r="C71">
            <v>2043</v>
          </cell>
          <cell r="D71">
            <v>5</v>
          </cell>
          <cell r="E71">
            <v>8</v>
          </cell>
          <cell r="F71">
            <v>0.30266599779999998</v>
          </cell>
          <cell r="G71">
            <v>0</v>
          </cell>
          <cell r="H71">
            <v>0.36735472450000001</v>
          </cell>
          <cell r="I71" t="str">
            <v>Air/Non-Local PT</v>
          </cell>
          <cell r="J71" t="str">
            <v>2042/43</v>
          </cell>
        </row>
        <row r="72">
          <cell r="A72" t="str">
            <v>01 NORTHLAND</v>
          </cell>
          <cell r="B72">
            <v>11</v>
          </cell>
          <cell r="C72">
            <v>2013</v>
          </cell>
          <cell r="D72">
            <v>13</v>
          </cell>
          <cell r="E72">
            <v>59</v>
          </cell>
          <cell r="F72">
            <v>2.0613233212000002</v>
          </cell>
          <cell r="G72">
            <v>34.810730239000002</v>
          </cell>
          <cell r="H72">
            <v>0.70164482120000005</v>
          </cell>
          <cell r="I72" t="str">
            <v>Non-Household Travel</v>
          </cell>
          <cell r="J72" t="str">
            <v>2012/13</v>
          </cell>
        </row>
        <row r="73">
          <cell r="A73" t="str">
            <v>01 NORTHLAND</v>
          </cell>
          <cell r="B73">
            <v>11</v>
          </cell>
          <cell r="C73">
            <v>2018</v>
          </cell>
          <cell r="D73">
            <v>13</v>
          </cell>
          <cell r="E73">
            <v>59</v>
          </cell>
          <cell r="F73">
            <v>2.0637641513</v>
          </cell>
          <cell r="G73">
            <v>32.823063337000001</v>
          </cell>
          <cell r="H73">
            <v>0.68187938199999998</v>
          </cell>
          <cell r="I73" t="str">
            <v>Non-Household Travel</v>
          </cell>
          <cell r="J73" t="str">
            <v>2017/18</v>
          </cell>
        </row>
        <row r="74">
          <cell r="A74" t="str">
            <v>01 NORTHLAND</v>
          </cell>
          <cell r="B74">
            <v>11</v>
          </cell>
          <cell r="C74">
            <v>2023</v>
          </cell>
          <cell r="D74">
            <v>13</v>
          </cell>
          <cell r="E74">
            <v>59</v>
          </cell>
          <cell r="F74">
            <v>2.1570903528000001</v>
          </cell>
          <cell r="G74">
            <v>32.904629638999999</v>
          </cell>
          <cell r="H74">
            <v>0.70214047000000002</v>
          </cell>
          <cell r="I74" t="str">
            <v>Non-Household Travel</v>
          </cell>
          <cell r="J74" t="str">
            <v>2022/23</v>
          </cell>
        </row>
        <row r="75">
          <cell r="A75" t="str">
            <v>01 NORTHLAND</v>
          </cell>
          <cell r="B75">
            <v>11</v>
          </cell>
          <cell r="C75">
            <v>2028</v>
          </cell>
          <cell r="D75">
            <v>13</v>
          </cell>
          <cell r="E75">
            <v>59</v>
          </cell>
          <cell r="F75">
            <v>2.3756529533999999</v>
          </cell>
          <cell r="G75">
            <v>35.624722497999997</v>
          </cell>
          <cell r="H75">
            <v>0.7744384379</v>
          </cell>
          <cell r="I75" t="str">
            <v>Non-Household Travel</v>
          </cell>
          <cell r="J75" t="str">
            <v>2027/28</v>
          </cell>
        </row>
        <row r="76">
          <cell r="A76" t="str">
            <v>01 NORTHLAND</v>
          </cell>
          <cell r="B76">
            <v>11</v>
          </cell>
          <cell r="C76">
            <v>2033</v>
          </cell>
          <cell r="D76">
            <v>13</v>
          </cell>
          <cell r="E76">
            <v>59</v>
          </cell>
          <cell r="F76">
            <v>2.5383479699999998</v>
          </cell>
          <cell r="G76">
            <v>37.454841946000002</v>
          </cell>
          <cell r="H76">
            <v>0.82600734200000003</v>
          </cell>
          <cell r="I76" t="str">
            <v>Non-Household Travel</v>
          </cell>
          <cell r="J76" t="str">
            <v>2032/33</v>
          </cell>
        </row>
        <row r="77">
          <cell r="A77" t="str">
            <v>01 NORTHLAND</v>
          </cell>
          <cell r="B77">
            <v>11</v>
          </cell>
          <cell r="C77">
            <v>2038</v>
          </cell>
          <cell r="D77">
            <v>13</v>
          </cell>
          <cell r="E77">
            <v>59</v>
          </cell>
          <cell r="F77">
            <v>2.4949277579000002</v>
          </cell>
          <cell r="G77">
            <v>36.496927655</v>
          </cell>
          <cell r="H77">
            <v>0.81018887910000004</v>
          </cell>
          <cell r="I77" t="str">
            <v>Non-Household Travel</v>
          </cell>
          <cell r="J77" t="str">
            <v>2037/38</v>
          </cell>
        </row>
        <row r="78">
          <cell r="A78" t="str">
            <v>01 NORTHLAND</v>
          </cell>
          <cell r="B78">
            <v>11</v>
          </cell>
          <cell r="C78">
            <v>2043</v>
          </cell>
          <cell r="D78">
            <v>13</v>
          </cell>
          <cell r="E78">
            <v>59</v>
          </cell>
          <cell r="F78">
            <v>2.4344914873999999</v>
          </cell>
          <cell r="G78">
            <v>35.295600491000002</v>
          </cell>
          <cell r="H78">
            <v>0.78858922389999997</v>
          </cell>
          <cell r="I78" t="str">
            <v>Non-Household Travel</v>
          </cell>
          <cell r="J78" t="str">
            <v>2042/43</v>
          </cell>
        </row>
        <row r="79">
          <cell r="A79" t="str">
            <v>02 AUCKLAND</v>
          </cell>
          <cell r="B79">
            <v>0</v>
          </cell>
          <cell r="C79">
            <v>2013</v>
          </cell>
          <cell r="D79">
            <v>1541</v>
          </cell>
          <cell r="E79">
            <v>5702</v>
          </cell>
          <cell r="F79">
            <v>324.81096006000001</v>
          </cell>
          <cell r="G79">
            <v>294.55939388000002</v>
          </cell>
          <cell r="H79">
            <v>73.381071999</v>
          </cell>
          <cell r="I79" t="str">
            <v>Pedestrian</v>
          </cell>
          <cell r="J79" t="str">
            <v>2012/13</v>
          </cell>
        </row>
        <row r="80">
          <cell r="A80" t="str">
            <v>02 AUCKLAND</v>
          </cell>
          <cell r="B80">
            <v>0</v>
          </cell>
          <cell r="C80">
            <v>2018</v>
          </cell>
          <cell r="D80">
            <v>1541</v>
          </cell>
          <cell r="E80">
            <v>5702</v>
          </cell>
          <cell r="F80">
            <v>354.85239390999999</v>
          </cell>
          <cell r="G80">
            <v>321.12046136999999</v>
          </cell>
          <cell r="H80">
            <v>79.967850558999999</v>
          </cell>
          <cell r="I80" t="str">
            <v>Pedestrian</v>
          </cell>
          <cell r="J80" t="str">
            <v>2017/18</v>
          </cell>
        </row>
        <row r="81">
          <cell r="A81" t="str">
            <v>02 AUCKLAND</v>
          </cell>
          <cell r="B81">
            <v>0</v>
          </cell>
          <cell r="C81">
            <v>2023</v>
          </cell>
          <cell r="D81">
            <v>1541</v>
          </cell>
          <cell r="E81">
            <v>5702</v>
          </cell>
          <cell r="F81">
            <v>375.66733532000001</v>
          </cell>
          <cell r="G81">
            <v>338.35782426999998</v>
          </cell>
          <cell r="H81">
            <v>84.451213323999994</v>
          </cell>
          <cell r="I81" t="str">
            <v>Pedestrian</v>
          </cell>
          <cell r="J81" t="str">
            <v>2022/23</v>
          </cell>
        </row>
        <row r="82">
          <cell r="A82" t="str">
            <v>02 AUCKLAND</v>
          </cell>
          <cell r="B82">
            <v>0</v>
          </cell>
          <cell r="C82">
            <v>2028</v>
          </cell>
          <cell r="D82">
            <v>1541</v>
          </cell>
          <cell r="E82">
            <v>5702</v>
          </cell>
          <cell r="F82">
            <v>390.74489007</v>
          </cell>
          <cell r="G82">
            <v>349.85260097999998</v>
          </cell>
          <cell r="H82">
            <v>87.793270063999998</v>
          </cell>
          <cell r="I82" t="str">
            <v>Pedestrian</v>
          </cell>
          <cell r="J82" t="str">
            <v>2027/28</v>
          </cell>
        </row>
        <row r="83">
          <cell r="A83" t="str">
            <v>02 AUCKLAND</v>
          </cell>
          <cell r="B83">
            <v>0</v>
          </cell>
          <cell r="C83">
            <v>2033</v>
          </cell>
          <cell r="D83">
            <v>1541</v>
          </cell>
          <cell r="E83">
            <v>5702</v>
          </cell>
          <cell r="F83">
            <v>402.26598626999998</v>
          </cell>
          <cell r="G83">
            <v>358.28383523000002</v>
          </cell>
          <cell r="H83">
            <v>90.364741006000003</v>
          </cell>
          <cell r="I83" t="str">
            <v>Pedestrian</v>
          </cell>
          <cell r="J83" t="str">
            <v>2032/33</v>
          </cell>
        </row>
        <row r="84">
          <cell r="A84" t="str">
            <v>02 AUCKLAND</v>
          </cell>
          <cell r="B84">
            <v>0</v>
          </cell>
          <cell r="C84">
            <v>2038</v>
          </cell>
          <cell r="D84">
            <v>1541</v>
          </cell>
          <cell r="E84">
            <v>5702</v>
          </cell>
          <cell r="F84">
            <v>411.57737580999998</v>
          </cell>
          <cell r="G84">
            <v>366.08544594</v>
          </cell>
          <cell r="H84">
            <v>92.731500874000005</v>
          </cell>
          <cell r="I84" t="str">
            <v>Pedestrian</v>
          </cell>
          <cell r="J84" t="str">
            <v>2037/38</v>
          </cell>
        </row>
        <row r="85">
          <cell r="A85" t="str">
            <v>02 AUCKLAND</v>
          </cell>
          <cell r="B85">
            <v>0</v>
          </cell>
          <cell r="C85">
            <v>2043</v>
          </cell>
          <cell r="D85">
            <v>1541</v>
          </cell>
          <cell r="E85">
            <v>5702</v>
          </cell>
          <cell r="F85">
            <v>417.72874179000002</v>
          </cell>
          <cell r="G85">
            <v>371.31070032000002</v>
          </cell>
          <cell r="H85">
            <v>94.395595791999995</v>
          </cell>
          <cell r="I85" t="str">
            <v>Pedestrian</v>
          </cell>
          <cell r="J85" t="str">
            <v>2042/43</v>
          </cell>
        </row>
        <row r="86">
          <cell r="A86" t="str">
            <v>02 AUCKLAND</v>
          </cell>
          <cell r="B86">
            <v>1</v>
          </cell>
          <cell r="C86">
            <v>2013</v>
          </cell>
          <cell r="D86">
            <v>49</v>
          </cell>
          <cell r="E86">
            <v>125</v>
          </cell>
          <cell r="F86">
            <v>7.0506319707999996</v>
          </cell>
          <cell r="G86">
            <v>55.843008154000003</v>
          </cell>
          <cell r="H86">
            <v>4.3659429593999999</v>
          </cell>
          <cell r="I86" t="str">
            <v>Cyclist</v>
          </cell>
          <cell r="J86" t="str">
            <v>2012/13</v>
          </cell>
        </row>
        <row r="87">
          <cell r="A87" t="str">
            <v>02 AUCKLAND</v>
          </cell>
          <cell r="B87">
            <v>1</v>
          </cell>
          <cell r="C87">
            <v>2018</v>
          </cell>
          <cell r="D87">
            <v>49</v>
          </cell>
          <cell r="E87">
            <v>125</v>
          </cell>
          <cell r="F87">
            <v>7.8063247726</v>
          </cell>
          <cell r="G87">
            <v>63.684796933000001</v>
          </cell>
          <cell r="H87">
            <v>4.9329345321</v>
          </cell>
          <cell r="I87" t="str">
            <v>Cyclist</v>
          </cell>
          <cell r="J87" t="str">
            <v>2017/18</v>
          </cell>
        </row>
        <row r="88">
          <cell r="A88" t="str">
            <v>02 AUCKLAND</v>
          </cell>
          <cell r="B88">
            <v>1</v>
          </cell>
          <cell r="C88">
            <v>2023</v>
          </cell>
          <cell r="D88">
            <v>49</v>
          </cell>
          <cell r="E88">
            <v>125</v>
          </cell>
          <cell r="F88">
            <v>8.3698082226999997</v>
          </cell>
          <cell r="G88">
            <v>69.036761009000003</v>
          </cell>
          <cell r="H88">
            <v>5.3194263725999997</v>
          </cell>
          <cell r="I88" t="str">
            <v>Cyclist</v>
          </cell>
          <cell r="J88" t="str">
            <v>2022/23</v>
          </cell>
        </row>
        <row r="89">
          <cell r="A89" t="str">
            <v>02 AUCKLAND</v>
          </cell>
          <cell r="B89">
            <v>1</v>
          </cell>
          <cell r="C89">
            <v>2028</v>
          </cell>
          <cell r="D89">
            <v>49</v>
          </cell>
          <cell r="E89">
            <v>125</v>
          </cell>
          <cell r="F89">
            <v>8.8292402498999998</v>
          </cell>
          <cell r="G89">
            <v>73.540929696000006</v>
          </cell>
          <cell r="H89">
            <v>5.6513226292000001</v>
          </cell>
          <cell r="I89" t="str">
            <v>Cyclist</v>
          </cell>
          <cell r="J89" t="str">
            <v>2027/28</v>
          </cell>
        </row>
        <row r="90">
          <cell r="A90" t="str">
            <v>02 AUCKLAND</v>
          </cell>
          <cell r="B90">
            <v>1</v>
          </cell>
          <cell r="C90">
            <v>2033</v>
          </cell>
          <cell r="D90">
            <v>49</v>
          </cell>
          <cell r="E90">
            <v>125</v>
          </cell>
          <cell r="F90">
            <v>9.1735518752999994</v>
          </cell>
          <cell r="G90">
            <v>79.041909404999998</v>
          </cell>
          <cell r="H90">
            <v>6.0358919294</v>
          </cell>
          <cell r="I90" t="str">
            <v>Cyclist</v>
          </cell>
          <cell r="J90" t="str">
            <v>2032/33</v>
          </cell>
        </row>
        <row r="91">
          <cell r="A91" t="str">
            <v>02 AUCKLAND</v>
          </cell>
          <cell r="B91">
            <v>1</v>
          </cell>
          <cell r="C91">
            <v>2038</v>
          </cell>
          <cell r="D91">
            <v>49</v>
          </cell>
          <cell r="E91">
            <v>125</v>
          </cell>
          <cell r="F91">
            <v>9.7187032191</v>
          </cell>
          <cell r="G91">
            <v>86.924678517999993</v>
          </cell>
          <cell r="H91">
            <v>6.5796398320999998</v>
          </cell>
          <cell r="I91" t="str">
            <v>Cyclist</v>
          </cell>
          <cell r="J91" t="str">
            <v>2037/38</v>
          </cell>
        </row>
        <row r="92">
          <cell r="A92" t="str">
            <v>02 AUCKLAND</v>
          </cell>
          <cell r="B92">
            <v>1</v>
          </cell>
          <cell r="C92">
            <v>2043</v>
          </cell>
          <cell r="D92">
            <v>49</v>
          </cell>
          <cell r="E92">
            <v>125</v>
          </cell>
          <cell r="F92">
            <v>10.233804469000001</v>
          </cell>
          <cell r="G92">
            <v>94.903238408000007</v>
          </cell>
          <cell r="H92">
            <v>7.1283229733000004</v>
          </cell>
          <cell r="I92" t="str">
            <v>Cyclist</v>
          </cell>
          <cell r="J92" t="str">
            <v>2042/43</v>
          </cell>
        </row>
        <row r="93">
          <cell r="A93" t="str">
            <v>02 AUCKLAND</v>
          </cell>
          <cell r="B93">
            <v>2</v>
          </cell>
          <cell r="C93">
            <v>2013</v>
          </cell>
          <cell r="D93">
            <v>2765</v>
          </cell>
          <cell r="E93">
            <v>18286</v>
          </cell>
          <cell r="F93">
            <v>981.24355252999999</v>
          </cell>
          <cell r="G93">
            <v>9374.4733825999992</v>
          </cell>
          <cell r="H93">
            <v>295.36669345000001</v>
          </cell>
          <cell r="I93" t="str">
            <v>Light Vehicle Driver</v>
          </cell>
          <cell r="J93" t="str">
            <v>2012/13</v>
          </cell>
        </row>
        <row r="94">
          <cell r="A94" t="str">
            <v>02 AUCKLAND</v>
          </cell>
          <cell r="B94">
            <v>2</v>
          </cell>
          <cell r="C94">
            <v>2018</v>
          </cell>
          <cell r="D94">
            <v>2765</v>
          </cell>
          <cell r="E94">
            <v>18286</v>
          </cell>
          <cell r="F94">
            <v>1101.4431067</v>
          </cell>
          <cell r="G94">
            <v>10561.901644</v>
          </cell>
          <cell r="H94">
            <v>332.59414728000002</v>
          </cell>
          <cell r="I94" t="str">
            <v>Light Vehicle Driver</v>
          </cell>
          <cell r="J94" t="str">
            <v>2017/18</v>
          </cell>
        </row>
        <row r="95">
          <cell r="A95" t="str">
            <v>02 AUCKLAND</v>
          </cell>
          <cell r="B95">
            <v>2</v>
          </cell>
          <cell r="C95">
            <v>2023</v>
          </cell>
          <cell r="D95">
            <v>2765</v>
          </cell>
          <cell r="E95">
            <v>18286</v>
          </cell>
          <cell r="F95">
            <v>1178.3826509999999</v>
          </cell>
          <cell r="G95">
            <v>11274.637494000001</v>
          </cell>
          <cell r="H95">
            <v>355.24456429000003</v>
          </cell>
          <cell r="I95" t="str">
            <v>Light Vehicle Driver</v>
          </cell>
          <cell r="J95" t="str">
            <v>2022/23</v>
          </cell>
        </row>
        <row r="96">
          <cell r="A96" t="str">
            <v>02 AUCKLAND</v>
          </cell>
          <cell r="B96">
            <v>2</v>
          </cell>
          <cell r="C96">
            <v>2028</v>
          </cell>
          <cell r="D96">
            <v>2765</v>
          </cell>
          <cell r="E96">
            <v>18286</v>
          </cell>
          <cell r="F96">
            <v>1252.1048714999999</v>
          </cell>
          <cell r="G96">
            <v>11985.832232999999</v>
          </cell>
          <cell r="H96">
            <v>376.76705083000002</v>
          </cell>
          <cell r="I96" t="str">
            <v>Light Vehicle Driver</v>
          </cell>
          <cell r="J96" t="str">
            <v>2027/28</v>
          </cell>
        </row>
        <row r="97">
          <cell r="A97" t="str">
            <v>02 AUCKLAND</v>
          </cell>
          <cell r="B97">
            <v>2</v>
          </cell>
          <cell r="C97">
            <v>2033</v>
          </cell>
          <cell r="D97">
            <v>2765</v>
          </cell>
          <cell r="E97">
            <v>18286</v>
          </cell>
          <cell r="F97">
            <v>1326.9719379000001</v>
          </cell>
          <cell r="G97">
            <v>12718.284267000001</v>
          </cell>
          <cell r="H97">
            <v>399.08079777</v>
          </cell>
          <cell r="I97" t="str">
            <v>Light Vehicle Driver</v>
          </cell>
          <cell r="J97" t="str">
            <v>2032/33</v>
          </cell>
        </row>
        <row r="98">
          <cell r="A98" t="str">
            <v>02 AUCKLAND</v>
          </cell>
          <cell r="B98">
            <v>2</v>
          </cell>
          <cell r="C98">
            <v>2038</v>
          </cell>
          <cell r="D98">
            <v>2765</v>
          </cell>
          <cell r="E98">
            <v>18286</v>
          </cell>
          <cell r="F98">
            <v>1394.5386391</v>
          </cell>
          <cell r="G98">
            <v>13361.369712</v>
          </cell>
          <cell r="H98">
            <v>419.34631352000002</v>
          </cell>
          <cell r="I98" t="str">
            <v>Light Vehicle Driver</v>
          </cell>
          <cell r="J98" t="str">
            <v>2037/38</v>
          </cell>
        </row>
        <row r="99">
          <cell r="A99" t="str">
            <v>02 AUCKLAND</v>
          </cell>
          <cell r="B99">
            <v>2</v>
          </cell>
          <cell r="C99">
            <v>2043</v>
          </cell>
          <cell r="D99">
            <v>2765</v>
          </cell>
          <cell r="E99">
            <v>18286</v>
          </cell>
          <cell r="F99">
            <v>1454.5793063000001</v>
          </cell>
          <cell r="G99">
            <v>13936.592035</v>
          </cell>
          <cell r="H99">
            <v>437.41301440000001</v>
          </cell>
          <cell r="I99" t="str">
            <v>Light Vehicle Driver</v>
          </cell>
          <cell r="J99" t="str">
            <v>2042/43</v>
          </cell>
        </row>
        <row r="100">
          <cell r="A100" t="str">
            <v>02 AUCKLAND</v>
          </cell>
          <cell r="B100">
            <v>3</v>
          </cell>
          <cell r="C100">
            <v>2013</v>
          </cell>
          <cell r="D100">
            <v>2092</v>
          </cell>
          <cell r="E100">
            <v>9587</v>
          </cell>
          <cell r="F100">
            <v>488.06073574999999</v>
          </cell>
          <cell r="G100">
            <v>4814.6436660999998</v>
          </cell>
          <cell r="H100">
            <v>145.42645436999999</v>
          </cell>
          <cell r="I100" t="str">
            <v>Light Vehicle Passenger</v>
          </cell>
          <cell r="J100" t="str">
            <v>2012/13</v>
          </cell>
        </row>
        <row r="101">
          <cell r="A101" t="str">
            <v>02 AUCKLAND</v>
          </cell>
          <cell r="B101">
            <v>3</v>
          </cell>
          <cell r="C101">
            <v>2018</v>
          </cell>
          <cell r="D101">
            <v>2092</v>
          </cell>
          <cell r="E101">
            <v>9587</v>
          </cell>
          <cell r="F101">
            <v>524.99204458999998</v>
          </cell>
          <cell r="G101">
            <v>5252.5287291000004</v>
          </cell>
          <cell r="H101">
            <v>157.55915060999999</v>
          </cell>
          <cell r="I101" t="str">
            <v>Light Vehicle Passenger</v>
          </cell>
          <cell r="J101" t="str">
            <v>2017/18</v>
          </cell>
        </row>
        <row r="102">
          <cell r="A102" t="str">
            <v>02 AUCKLAND</v>
          </cell>
          <cell r="B102">
            <v>3</v>
          </cell>
          <cell r="C102">
            <v>2023</v>
          </cell>
          <cell r="D102">
            <v>2092</v>
          </cell>
          <cell r="E102">
            <v>9587</v>
          </cell>
          <cell r="F102">
            <v>552.75275709000005</v>
          </cell>
          <cell r="G102">
            <v>5569.3224726999997</v>
          </cell>
          <cell r="H102">
            <v>166.15393943999999</v>
          </cell>
          <cell r="I102" t="str">
            <v>Light Vehicle Passenger</v>
          </cell>
          <cell r="J102" t="str">
            <v>2022/23</v>
          </cell>
        </row>
        <row r="103">
          <cell r="A103" t="str">
            <v>02 AUCKLAND</v>
          </cell>
          <cell r="B103">
            <v>3</v>
          </cell>
          <cell r="C103">
            <v>2028</v>
          </cell>
          <cell r="D103">
            <v>2092</v>
          </cell>
          <cell r="E103">
            <v>9587</v>
          </cell>
          <cell r="F103">
            <v>578.03229285999998</v>
          </cell>
          <cell r="G103">
            <v>5879.0933020000002</v>
          </cell>
          <cell r="H103">
            <v>173.98645334</v>
          </cell>
          <cell r="I103" t="str">
            <v>Light Vehicle Passenger</v>
          </cell>
          <cell r="J103" t="str">
            <v>2027/28</v>
          </cell>
        </row>
        <row r="104">
          <cell r="A104" t="str">
            <v>02 AUCKLAND</v>
          </cell>
          <cell r="B104">
            <v>3</v>
          </cell>
          <cell r="C104">
            <v>2033</v>
          </cell>
          <cell r="D104">
            <v>2092</v>
          </cell>
          <cell r="E104">
            <v>9587</v>
          </cell>
          <cell r="F104">
            <v>601.07709752999995</v>
          </cell>
          <cell r="G104">
            <v>6140.4497775</v>
          </cell>
          <cell r="H104">
            <v>180.77922267</v>
          </cell>
          <cell r="I104" t="str">
            <v>Light Vehicle Passenger</v>
          </cell>
          <cell r="J104" t="str">
            <v>2032/33</v>
          </cell>
        </row>
        <row r="105">
          <cell r="A105" t="str">
            <v>02 AUCKLAND</v>
          </cell>
          <cell r="B105">
            <v>3</v>
          </cell>
          <cell r="C105">
            <v>2038</v>
          </cell>
          <cell r="D105">
            <v>2092</v>
          </cell>
          <cell r="E105">
            <v>9587</v>
          </cell>
          <cell r="F105">
            <v>619.48626358000001</v>
          </cell>
          <cell r="G105">
            <v>6373.4716152999999</v>
          </cell>
          <cell r="H105">
            <v>186.59708268</v>
          </cell>
          <cell r="I105" t="str">
            <v>Light Vehicle Passenger</v>
          </cell>
          <cell r="J105" t="str">
            <v>2037/38</v>
          </cell>
        </row>
        <row r="106">
          <cell r="A106" t="str">
            <v>02 AUCKLAND</v>
          </cell>
          <cell r="B106">
            <v>3</v>
          </cell>
          <cell r="C106">
            <v>2043</v>
          </cell>
          <cell r="D106">
            <v>2092</v>
          </cell>
          <cell r="E106">
            <v>9587</v>
          </cell>
          <cell r="F106">
            <v>633.56556293000006</v>
          </cell>
          <cell r="G106">
            <v>6564.0998227</v>
          </cell>
          <cell r="H106">
            <v>191.16581729999999</v>
          </cell>
          <cell r="I106" t="str">
            <v>Light Vehicle Passenger</v>
          </cell>
          <cell r="J106" t="str">
            <v>2042/43</v>
          </cell>
        </row>
        <row r="107">
          <cell r="A107" t="str">
            <v>02 AUCKLAND</v>
          </cell>
          <cell r="B107">
            <v>4</v>
          </cell>
          <cell r="C107">
            <v>2013</v>
          </cell>
          <cell r="D107">
            <v>54</v>
          </cell>
          <cell r="E107">
            <v>94</v>
          </cell>
          <cell r="F107">
            <v>6.0232688673999997</v>
          </cell>
          <cell r="G107">
            <v>41.157157814999998</v>
          </cell>
          <cell r="H107">
            <v>1.9131795197999999</v>
          </cell>
          <cell r="J107" t="str">
            <v>2012/13</v>
          </cell>
        </row>
        <row r="108">
          <cell r="A108" t="str">
            <v>02 AUCKLAND</v>
          </cell>
          <cell r="B108">
            <v>4</v>
          </cell>
          <cell r="C108">
            <v>2018</v>
          </cell>
          <cell r="D108">
            <v>54</v>
          </cell>
          <cell r="E108">
            <v>94</v>
          </cell>
          <cell r="F108">
            <v>7.1539202692000003</v>
          </cell>
          <cell r="G108">
            <v>49.470833216000003</v>
          </cell>
          <cell r="H108">
            <v>2.2700725880000001</v>
          </cell>
          <cell r="J108" t="str">
            <v>2017/18</v>
          </cell>
        </row>
        <row r="109">
          <cell r="A109" t="str">
            <v>02 AUCKLAND</v>
          </cell>
          <cell r="B109">
            <v>4</v>
          </cell>
          <cell r="C109">
            <v>2023</v>
          </cell>
          <cell r="D109">
            <v>54</v>
          </cell>
          <cell r="E109">
            <v>94</v>
          </cell>
          <cell r="F109">
            <v>8.1768000226000002</v>
          </cell>
          <cell r="G109">
            <v>57.866944635999999</v>
          </cell>
          <cell r="H109">
            <v>2.5969226477</v>
          </cell>
          <cell r="J109" t="str">
            <v>2022/23</v>
          </cell>
        </row>
        <row r="110">
          <cell r="A110" t="str">
            <v>02 AUCKLAND</v>
          </cell>
          <cell r="B110">
            <v>4</v>
          </cell>
          <cell r="C110">
            <v>2028</v>
          </cell>
          <cell r="D110">
            <v>54</v>
          </cell>
          <cell r="E110">
            <v>94</v>
          </cell>
          <cell r="F110">
            <v>9.1127637114999995</v>
          </cell>
          <cell r="G110">
            <v>66.605562336000006</v>
          </cell>
          <cell r="H110">
            <v>2.9130666788999999</v>
          </cell>
          <cell r="J110" t="str">
            <v>2027/28</v>
          </cell>
        </row>
        <row r="111">
          <cell r="A111" t="str">
            <v>02 AUCKLAND</v>
          </cell>
          <cell r="B111">
            <v>4</v>
          </cell>
          <cell r="C111">
            <v>2033</v>
          </cell>
          <cell r="D111">
            <v>54</v>
          </cell>
          <cell r="E111">
            <v>94</v>
          </cell>
          <cell r="F111">
            <v>9.9924814856000008</v>
          </cell>
          <cell r="G111">
            <v>74.628617242000004</v>
          </cell>
          <cell r="H111">
            <v>3.2119957585000001</v>
          </cell>
          <cell r="J111" t="str">
            <v>2032/33</v>
          </cell>
        </row>
        <row r="112">
          <cell r="A112" t="str">
            <v>02 AUCKLAND</v>
          </cell>
          <cell r="B112">
            <v>4</v>
          </cell>
          <cell r="C112">
            <v>2038</v>
          </cell>
          <cell r="D112">
            <v>54</v>
          </cell>
          <cell r="E112">
            <v>94</v>
          </cell>
          <cell r="F112">
            <v>10.714214554</v>
          </cell>
          <cell r="G112">
            <v>81.385333059000004</v>
          </cell>
          <cell r="H112">
            <v>3.4575040337999998</v>
          </cell>
          <cell r="J112" t="str">
            <v>2037/38</v>
          </cell>
        </row>
        <row r="113">
          <cell r="A113" t="str">
            <v>02 AUCKLAND</v>
          </cell>
          <cell r="B113">
            <v>4</v>
          </cell>
          <cell r="C113">
            <v>2043</v>
          </cell>
          <cell r="D113">
            <v>54</v>
          </cell>
          <cell r="E113">
            <v>94</v>
          </cell>
          <cell r="F113">
            <v>11.427583651000001</v>
          </cell>
          <cell r="G113">
            <v>88.076069412999999</v>
          </cell>
          <cell r="H113">
            <v>3.6974417935999999</v>
          </cell>
          <cell r="J113" t="str">
            <v>2042/43</v>
          </cell>
        </row>
        <row r="114">
          <cell r="A114" t="str">
            <v>02 AUCKLAND</v>
          </cell>
          <cell r="B114">
            <v>5</v>
          </cell>
          <cell r="C114">
            <v>2013</v>
          </cell>
          <cell r="D114">
            <v>15</v>
          </cell>
          <cell r="E114">
            <v>69</v>
          </cell>
          <cell r="F114">
            <v>4.1170216905999997</v>
          </cell>
          <cell r="G114">
            <v>43.570185572</v>
          </cell>
          <cell r="H114">
            <v>1.5334409518000001</v>
          </cell>
          <cell r="I114" t="str">
            <v>Motorcyclist</v>
          </cell>
          <cell r="J114" t="str">
            <v>2012/13</v>
          </cell>
        </row>
        <row r="115">
          <cell r="A115" t="str">
            <v>02 AUCKLAND</v>
          </cell>
          <cell r="B115">
            <v>5</v>
          </cell>
          <cell r="C115">
            <v>2018</v>
          </cell>
          <cell r="D115">
            <v>15</v>
          </cell>
          <cell r="E115">
            <v>69</v>
          </cell>
          <cell r="F115">
            <v>4.6680632031</v>
          </cell>
          <cell r="G115">
            <v>49.254398813999998</v>
          </cell>
          <cell r="H115">
            <v>1.7517811457000001</v>
          </cell>
          <cell r="I115" t="str">
            <v>Motorcyclist</v>
          </cell>
          <cell r="J115" t="str">
            <v>2017/18</v>
          </cell>
        </row>
        <row r="116">
          <cell r="A116" t="str">
            <v>02 AUCKLAND</v>
          </cell>
          <cell r="B116">
            <v>5</v>
          </cell>
          <cell r="C116">
            <v>2023</v>
          </cell>
          <cell r="D116">
            <v>15</v>
          </cell>
          <cell r="E116">
            <v>69</v>
          </cell>
          <cell r="F116">
            <v>5.1577772319999999</v>
          </cell>
          <cell r="G116">
            <v>52.666048691</v>
          </cell>
          <cell r="H116">
            <v>1.908512478</v>
          </cell>
          <cell r="I116" t="str">
            <v>Motorcyclist</v>
          </cell>
          <cell r="J116" t="str">
            <v>2022/23</v>
          </cell>
        </row>
        <row r="117">
          <cell r="A117" t="str">
            <v>02 AUCKLAND</v>
          </cell>
          <cell r="B117">
            <v>5</v>
          </cell>
          <cell r="C117">
            <v>2028</v>
          </cell>
          <cell r="D117">
            <v>15</v>
          </cell>
          <cell r="E117">
            <v>69</v>
          </cell>
          <cell r="F117">
            <v>5.7890965128999996</v>
          </cell>
          <cell r="G117">
            <v>56.260513623999998</v>
          </cell>
          <cell r="H117">
            <v>2.0802298845</v>
          </cell>
          <cell r="I117" t="str">
            <v>Motorcyclist</v>
          </cell>
          <cell r="J117" t="str">
            <v>2027/28</v>
          </cell>
        </row>
        <row r="118">
          <cell r="A118" t="str">
            <v>02 AUCKLAND</v>
          </cell>
          <cell r="B118">
            <v>5</v>
          </cell>
          <cell r="C118">
            <v>2033</v>
          </cell>
          <cell r="D118">
            <v>15</v>
          </cell>
          <cell r="E118">
            <v>69</v>
          </cell>
          <cell r="F118">
            <v>6.3308758220000003</v>
          </cell>
          <cell r="G118">
            <v>60.020809297</v>
          </cell>
          <cell r="H118">
            <v>2.2500069091000001</v>
          </cell>
          <cell r="I118" t="str">
            <v>Motorcyclist</v>
          </cell>
          <cell r="J118" t="str">
            <v>2032/33</v>
          </cell>
        </row>
        <row r="119">
          <cell r="A119" t="str">
            <v>02 AUCKLAND</v>
          </cell>
          <cell r="B119">
            <v>5</v>
          </cell>
          <cell r="C119">
            <v>2038</v>
          </cell>
          <cell r="D119">
            <v>15</v>
          </cell>
          <cell r="E119">
            <v>69</v>
          </cell>
          <cell r="F119">
            <v>6.5466259148999999</v>
          </cell>
          <cell r="G119">
            <v>62.158337666000001</v>
          </cell>
          <cell r="H119">
            <v>2.3556532342000001</v>
          </cell>
          <cell r="I119" t="str">
            <v>Motorcyclist</v>
          </cell>
          <cell r="J119" t="str">
            <v>2037/38</v>
          </cell>
        </row>
        <row r="120">
          <cell r="A120" t="str">
            <v>02 AUCKLAND</v>
          </cell>
          <cell r="B120">
            <v>5</v>
          </cell>
          <cell r="C120">
            <v>2043</v>
          </cell>
          <cell r="D120">
            <v>15</v>
          </cell>
          <cell r="E120">
            <v>69</v>
          </cell>
          <cell r="F120">
            <v>6.7158455575999998</v>
          </cell>
          <cell r="G120">
            <v>64.098417706999996</v>
          </cell>
          <cell r="H120">
            <v>2.4510354534999998</v>
          </cell>
          <cell r="I120" t="str">
            <v>Motorcyclist</v>
          </cell>
          <cell r="J120" t="str">
            <v>2042/43</v>
          </cell>
        </row>
        <row r="121">
          <cell r="A121" t="str">
            <v>02 AUCKLAND</v>
          </cell>
          <cell r="B121">
            <v>6</v>
          </cell>
          <cell r="C121">
            <v>2013</v>
          </cell>
          <cell r="D121">
            <v>83</v>
          </cell>
          <cell r="E121">
            <v>197</v>
          </cell>
          <cell r="F121">
            <v>10.588451037</v>
          </cell>
          <cell r="G121">
            <v>126.27968744</v>
          </cell>
          <cell r="H121">
            <v>4.2843438359999997</v>
          </cell>
          <cell r="I121" t="str">
            <v>Local Train</v>
          </cell>
          <cell r="J121" t="str">
            <v>2012/13</v>
          </cell>
        </row>
        <row r="122">
          <cell r="A122" t="str">
            <v>02 AUCKLAND</v>
          </cell>
          <cell r="B122">
            <v>6</v>
          </cell>
          <cell r="C122">
            <v>2018</v>
          </cell>
          <cell r="D122">
            <v>83</v>
          </cell>
          <cell r="E122">
            <v>197</v>
          </cell>
          <cell r="F122">
            <v>11.772808704999999</v>
          </cell>
          <cell r="G122">
            <v>142.28315175</v>
          </cell>
          <cell r="H122">
            <v>4.8306178031</v>
          </cell>
          <cell r="I122" t="str">
            <v>Local Train</v>
          </cell>
          <cell r="J122" t="str">
            <v>2017/18</v>
          </cell>
        </row>
        <row r="123">
          <cell r="A123" t="str">
            <v>02 AUCKLAND</v>
          </cell>
          <cell r="B123">
            <v>6</v>
          </cell>
          <cell r="C123">
            <v>2023</v>
          </cell>
          <cell r="D123">
            <v>83</v>
          </cell>
          <cell r="E123">
            <v>197</v>
          </cell>
          <cell r="F123">
            <v>12.518159804</v>
          </cell>
          <cell r="G123">
            <v>151.9895195</v>
          </cell>
          <cell r="H123">
            <v>5.1741002469000001</v>
          </cell>
          <cell r="I123" t="str">
            <v>Local Train</v>
          </cell>
          <cell r="J123" t="str">
            <v>2022/23</v>
          </cell>
        </row>
        <row r="124">
          <cell r="A124" t="str">
            <v>02 AUCKLAND</v>
          </cell>
          <cell r="B124">
            <v>6</v>
          </cell>
          <cell r="C124">
            <v>2028</v>
          </cell>
          <cell r="D124">
            <v>83</v>
          </cell>
          <cell r="E124">
            <v>197</v>
          </cell>
          <cell r="F124">
            <v>13.117502877</v>
          </cell>
          <cell r="G124">
            <v>159.40260860999999</v>
          </cell>
          <cell r="H124">
            <v>5.4176460397000001</v>
          </cell>
          <cell r="I124" t="str">
            <v>Local Train</v>
          </cell>
          <cell r="J124" t="str">
            <v>2027/28</v>
          </cell>
        </row>
        <row r="125">
          <cell r="A125" t="str">
            <v>02 AUCKLAND</v>
          </cell>
          <cell r="B125">
            <v>6</v>
          </cell>
          <cell r="C125">
            <v>2033</v>
          </cell>
          <cell r="D125">
            <v>83</v>
          </cell>
          <cell r="E125">
            <v>197</v>
          </cell>
          <cell r="F125">
            <v>13.542770880999999</v>
          </cell>
          <cell r="G125">
            <v>165.52680409000001</v>
          </cell>
          <cell r="H125">
            <v>5.5975750165000004</v>
          </cell>
          <cell r="I125" t="str">
            <v>Local Train</v>
          </cell>
          <cell r="J125" t="str">
            <v>2032/33</v>
          </cell>
        </row>
        <row r="126">
          <cell r="A126" t="str">
            <v>02 AUCKLAND</v>
          </cell>
          <cell r="B126">
            <v>6</v>
          </cell>
          <cell r="C126">
            <v>2038</v>
          </cell>
          <cell r="D126">
            <v>83</v>
          </cell>
          <cell r="E126">
            <v>197</v>
          </cell>
          <cell r="F126">
            <v>13.739815186</v>
          </cell>
          <cell r="G126">
            <v>169.11231931</v>
          </cell>
          <cell r="H126">
            <v>5.7109897118999999</v>
          </cell>
          <cell r="I126" t="str">
            <v>Local Train</v>
          </cell>
          <cell r="J126" t="str">
            <v>2037/38</v>
          </cell>
        </row>
        <row r="127">
          <cell r="A127" t="str">
            <v>02 AUCKLAND</v>
          </cell>
          <cell r="B127">
            <v>6</v>
          </cell>
          <cell r="C127">
            <v>2043</v>
          </cell>
          <cell r="D127">
            <v>83</v>
          </cell>
          <cell r="E127">
            <v>197</v>
          </cell>
          <cell r="F127">
            <v>13.822090773999999</v>
          </cell>
          <cell r="G127">
            <v>171.32241389000001</v>
          </cell>
          <cell r="H127">
            <v>5.7749043458999996</v>
          </cell>
          <cell r="I127" t="str">
            <v>Local Train</v>
          </cell>
          <cell r="J127" t="str">
            <v>2042/43</v>
          </cell>
        </row>
        <row r="128">
          <cell r="A128" t="str">
            <v>02 AUCKLAND</v>
          </cell>
          <cell r="B128">
            <v>7</v>
          </cell>
          <cell r="C128">
            <v>2013</v>
          </cell>
          <cell r="D128">
            <v>334</v>
          </cell>
          <cell r="E128">
            <v>882</v>
          </cell>
          <cell r="F128">
            <v>54.403429504999998</v>
          </cell>
          <cell r="G128">
            <v>439.27566032999999</v>
          </cell>
          <cell r="H128">
            <v>22.622672496</v>
          </cell>
          <cell r="I128" t="str">
            <v>Local Bus</v>
          </cell>
          <cell r="J128" t="str">
            <v>2012/13</v>
          </cell>
        </row>
        <row r="129">
          <cell r="A129" t="str">
            <v>02 AUCKLAND</v>
          </cell>
          <cell r="B129">
            <v>7</v>
          </cell>
          <cell r="C129">
            <v>2018</v>
          </cell>
          <cell r="D129">
            <v>334</v>
          </cell>
          <cell r="E129">
            <v>882</v>
          </cell>
          <cell r="F129">
            <v>58.696895283000003</v>
          </cell>
          <cell r="G129">
            <v>478.77990081000002</v>
          </cell>
          <cell r="H129">
            <v>24.62897491</v>
          </cell>
          <cell r="I129" t="str">
            <v>Local Bus</v>
          </cell>
          <cell r="J129" t="str">
            <v>2017/18</v>
          </cell>
        </row>
        <row r="130">
          <cell r="A130" t="str">
            <v>02 AUCKLAND</v>
          </cell>
          <cell r="B130">
            <v>7</v>
          </cell>
          <cell r="C130">
            <v>2023</v>
          </cell>
          <cell r="D130">
            <v>334</v>
          </cell>
          <cell r="E130">
            <v>882</v>
          </cell>
          <cell r="F130">
            <v>60.869013830999997</v>
          </cell>
          <cell r="G130">
            <v>499.04930562999999</v>
          </cell>
          <cell r="H130">
            <v>25.587975165</v>
          </cell>
          <cell r="I130" t="str">
            <v>Local Bus</v>
          </cell>
          <cell r="J130" t="str">
            <v>2022/23</v>
          </cell>
        </row>
        <row r="131">
          <cell r="A131" t="str">
            <v>02 AUCKLAND</v>
          </cell>
          <cell r="B131">
            <v>7</v>
          </cell>
          <cell r="C131">
            <v>2028</v>
          </cell>
          <cell r="D131">
            <v>334</v>
          </cell>
          <cell r="E131">
            <v>882</v>
          </cell>
          <cell r="F131">
            <v>61.567793471999998</v>
          </cell>
          <cell r="G131">
            <v>509.52359158000002</v>
          </cell>
          <cell r="H131">
            <v>25.9615078</v>
          </cell>
          <cell r="I131" t="str">
            <v>Local Bus</v>
          </cell>
          <cell r="J131" t="str">
            <v>2027/28</v>
          </cell>
        </row>
        <row r="132">
          <cell r="A132" t="str">
            <v>02 AUCKLAND</v>
          </cell>
          <cell r="B132">
            <v>7</v>
          </cell>
          <cell r="C132">
            <v>2033</v>
          </cell>
          <cell r="D132">
            <v>334</v>
          </cell>
          <cell r="E132">
            <v>882</v>
          </cell>
          <cell r="F132">
            <v>61.040067092999998</v>
          </cell>
          <cell r="G132">
            <v>508.78029996999999</v>
          </cell>
          <cell r="H132">
            <v>25.794363546</v>
          </cell>
          <cell r="I132" t="str">
            <v>Local Bus</v>
          </cell>
          <cell r="J132" t="str">
            <v>2032/33</v>
          </cell>
        </row>
        <row r="133">
          <cell r="A133" t="str">
            <v>02 AUCKLAND</v>
          </cell>
          <cell r="B133">
            <v>7</v>
          </cell>
          <cell r="C133">
            <v>2038</v>
          </cell>
          <cell r="D133">
            <v>334</v>
          </cell>
          <cell r="E133">
            <v>882</v>
          </cell>
          <cell r="F133">
            <v>60.164320037000003</v>
          </cell>
          <cell r="G133">
            <v>506.05434568999999</v>
          </cell>
          <cell r="H133">
            <v>25.516570415</v>
          </cell>
          <cell r="I133" t="str">
            <v>Local Bus</v>
          </cell>
          <cell r="J133" t="str">
            <v>2037/38</v>
          </cell>
        </row>
        <row r="134">
          <cell r="A134" t="str">
            <v>02 AUCKLAND</v>
          </cell>
          <cell r="B134">
            <v>7</v>
          </cell>
          <cell r="C134">
            <v>2043</v>
          </cell>
          <cell r="D134">
            <v>334</v>
          </cell>
          <cell r="E134">
            <v>882</v>
          </cell>
          <cell r="F134">
            <v>58.737581425000002</v>
          </cell>
          <cell r="G134">
            <v>498.97802371</v>
          </cell>
          <cell r="H134">
            <v>25.018416195</v>
          </cell>
          <cell r="I134" t="str">
            <v>Local Bus</v>
          </cell>
          <cell r="J134" t="str">
            <v>2042/43</v>
          </cell>
        </row>
        <row r="135">
          <cell r="A135" t="str">
            <v>02 AUCKLAND</v>
          </cell>
          <cell r="B135">
            <v>8</v>
          </cell>
          <cell r="C135">
            <v>2013</v>
          </cell>
          <cell r="D135">
            <v>33</v>
          </cell>
          <cell r="E135">
            <v>75</v>
          </cell>
          <cell r="F135">
            <v>4.3086283299000003</v>
          </cell>
          <cell r="G135">
            <v>0</v>
          </cell>
          <cell r="H135">
            <v>1.2124045342000001</v>
          </cell>
          <cell r="I135" t="str">
            <v>Local Ferry</v>
          </cell>
          <cell r="J135" t="str">
            <v>2012/13</v>
          </cell>
        </row>
        <row r="136">
          <cell r="A136" t="str">
            <v>02 AUCKLAND</v>
          </cell>
          <cell r="B136">
            <v>8</v>
          </cell>
          <cell r="C136">
            <v>2018</v>
          </cell>
          <cell r="D136">
            <v>33</v>
          </cell>
          <cell r="E136">
            <v>75</v>
          </cell>
          <cell r="F136">
            <v>4.8955005111999998</v>
          </cell>
          <cell r="G136">
            <v>0</v>
          </cell>
          <cell r="H136">
            <v>1.3848572970999999</v>
          </cell>
          <cell r="I136" t="str">
            <v>Local Ferry</v>
          </cell>
          <cell r="J136" t="str">
            <v>2017/18</v>
          </cell>
        </row>
        <row r="137">
          <cell r="A137" t="str">
            <v>02 AUCKLAND</v>
          </cell>
          <cell r="B137">
            <v>8</v>
          </cell>
          <cell r="C137">
            <v>2023</v>
          </cell>
          <cell r="D137">
            <v>33</v>
          </cell>
          <cell r="E137">
            <v>75</v>
          </cell>
          <cell r="F137">
            <v>5.3672243265999997</v>
          </cell>
          <cell r="G137">
            <v>0</v>
          </cell>
          <cell r="H137">
            <v>1.5098688897999999</v>
          </cell>
          <cell r="I137" t="str">
            <v>Local Ferry</v>
          </cell>
          <cell r="J137" t="str">
            <v>2022/23</v>
          </cell>
        </row>
        <row r="138">
          <cell r="A138" t="str">
            <v>02 AUCKLAND</v>
          </cell>
          <cell r="B138">
            <v>8</v>
          </cell>
          <cell r="C138">
            <v>2028</v>
          </cell>
          <cell r="D138">
            <v>33</v>
          </cell>
          <cell r="E138">
            <v>75</v>
          </cell>
          <cell r="F138">
            <v>5.6606843005999998</v>
          </cell>
          <cell r="G138">
            <v>0</v>
          </cell>
          <cell r="H138">
            <v>1.5959026862000001</v>
          </cell>
          <cell r="I138" t="str">
            <v>Local Ferry</v>
          </cell>
          <cell r="J138" t="str">
            <v>2027/28</v>
          </cell>
        </row>
        <row r="139">
          <cell r="A139" t="str">
            <v>02 AUCKLAND</v>
          </cell>
          <cell r="B139">
            <v>8</v>
          </cell>
          <cell r="C139">
            <v>2033</v>
          </cell>
          <cell r="D139">
            <v>33</v>
          </cell>
          <cell r="E139">
            <v>75</v>
          </cell>
          <cell r="F139">
            <v>5.8834432655000004</v>
          </cell>
          <cell r="G139">
            <v>0</v>
          </cell>
          <cell r="H139">
            <v>1.6664531492000001</v>
          </cell>
          <cell r="I139" t="str">
            <v>Local Ferry</v>
          </cell>
          <cell r="J139" t="str">
            <v>2032/33</v>
          </cell>
        </row>
        <row r="140">
          <cell r="A140" t="str">
            <v>02 AUCKLAND</v>
          </cell>
          <cell r="B140">
            <v>8</v>
          </cell>
          <cell r="C140">
            <v>2038</v>
          </cell>
          <cell r="D140">
            <v>33</v>
          </cell>
          <cell r="E140">
            <v>75</v>
          </cell>
          <cell r="F140">
            <v>6.2514925118000004</v>
          </cell>
          <cell r="G140">
            <v>0</v>
          </cell>
          <cell r="H140">
            <v>1.7738648131000001</v>
          </cell>
          <cell r="I140" t="str">
            <v>Local Ferry</v>
          </cell>
          <cell r="J140" t="str">
            <v>2037/38</v>
          </cell>
        </row>
        <row r="141">
          <cell r="A141" t="str">
            <v>02 AUCKLAND</v>
          </cell>
          <cell r="B141">
            <v>8</v>
          </cell>
          <cell r="C141">
            <v>2043</v>
          </cell>
          <cell r="D141">
            <v>33</v>
          </cell>
          <cell r="E141">
            <v>75</v>
          </cell>
          <cell r="F141">
            <v>6.5596065067999998</v>
          </cell>
          <cell r="G141">
            <v>0</v>
          </cell>
          <cell r="H141">
            <v>1.865466879</v>
          </cell>
          <cell r="I141" t="str">
            <v>Local Ferry</v>
          </cell>
          <cell r="J141" t="str">
            <v>2042/43</v>
          </cell>
        </row>
        <row r="142">
          <cell r="A142" t="str">
            <v>02 AUCKLAND</v>
          </cell>
          <cell r="B142">
            <v>9</v>
          </cell>
          <cell r="C142">
            <v>2013</v>
          </cell>
          <cell r="D142">
            <v>21</v>
          </cell>
          <cell r="E142">
            <v>52</v>
          </cell>
          <cell r="F142">
            <v>2.2145179384000002</v>
          </cell>
          <cell r="G142">
            <v>1.8241938706</v>
          </cell>
          <cell r="H142">
            <v>2.4325058500000001</v>
          </cell>
          <cell r="I142" t="str">
            <v>Other Household Travel</v>
          </cell>
          <cell r="J142" t="str">
            <v>2012/13</v>
          </cell>
        </row>
        <row r="143">
          <cell r="A143" t="str">
            <v>02 AUCKLAND</v>
          </cell>
          <cell r="B143">
            <v>9</v>
          </cell>
          <cell r="C143">
            <v>2018</v>
          </cell>
          <cell r="D143">
            <v>21</v>
          </cell>
          <cell r="E143">
            <v>52</v>
          </cell>
          <cell r="F143">
            <v>2.4819497302000002</v>
          </cell>
          <cell r="G143">
            <v>1.8142999209999999</v>
          </cell>
          <cell r="H143">
            <v>2.8478125609</v>
          </cell>
          <cell r="I143" t="str">
            <v>Other Household Travel</v>
          </cell>
          <cell r="J143" t="str">
            <v>2017/18</v>
          </cell>
        </row>
        <row r="144">
          <cell r="A144" t="str">
            <v>02 AUCKLAND</v>
          </cell>
          <cell r="B144">
            <v>9</v>
          </cell>
          <cell r="C144">
            <v>2023</v>
          </cell>
          <cell r="D144">
            <v>21</v>
          </cell>
          <cell r="E144">
            <v>52</v>
          </cell>
          <cell r="F144">
            <v>2.6817686563000001</v>
          </cell>
          <cell r="G144">
            <v>1.7346656834</v>
          </cell>
          <cell r="H144">
            <v>3.0745168120000002</v>
          </cell>
          <cell r="I144" t="str">
            <v>Other Household Travel</v>
          </cell>
          <cell r="J144" t="str">
            <v>2022/23</v>
          </cell>
        </row>
        <row r="145">
          <cell r="A145" t="str">
            <v>02 AUCKLAND</v>
          </cell>
          <cell r="B145">
            <v>9</v>
          </cell>
          <cell r="C145">
            <v>2028</v>
          </cell>
          <cell r="D145">
            <v>21</v>
          </cell>
          <cell r="E145">
            <v>52</v>
          </cell>
          <cell r="F145">
            <v>2.8748728911999999</v>
          </cell>
          <cell r="G145">
            <v>2.0092229745000001</v>
          </cell>
          <cell r="H145">
            <v>3.1512956763000002</v>
          </cell>
          <cell r="I145" t="str">
            <v>Other Household Travel</v>
          </cell>
          <cell r="J145" t="str">
            <v>2027/28</v>
          </cell>
        </row>
        <row r="146">
          <cell r="A146" t="str">
            <v>02 AUCKLAND</v>
          </cell>
          <cell r="B146">
            <v>9</v>
          </cell>
          <cell r="C146">
            <v>2033</v>
          </cell>
          <cell r="D146">
            <v>21</v>
          </cell>
          <cell r="E146">
            <v>52</v>
          </cell>
          <cell r="F146">
            <v>3.0554872954999999</v>
          </cell>
          <cell r="G146">
            <v>2.1640008936999999</v>
          </cell>
          <cell r="H146">
            <v>3.2519987989999999</v>
          </cell>
          <cell r="I146" t="str">
            <v>Other Household Travel</v>
          </cell>
          <cell r="J146" t="str">
            <v>2032/33</v>
          </cell>
        </row>
        <row r="147">
          <cell r="A147" t="str">
            <v>02 AUCKLAND</v>
          </cell>
          <cell r="B147">
            <v>9</v>
          </cell>
          <cell r="C147">
            <v>2038</v>
          </cell>
          <cell r="D147">
            <v>21</v>
          </cell>
          <cell r="E147">
            <v>52</v>
          </cell>
          <cell r="F147">
            <v>3.2539136363000001</v>
          </cell>
          <cell r="G147">
            <v>2.1748583427999999</v>
          </cell>
          <cell r="H147">
            <v>3.4261473482000002</v>
          </cell>
          <cell r="I147" t="str">
            <v>Other Household Travel</v>
          </cell>
          <cell r="J147" t="str">
            <v>2037/38</v>
          </cell>
        </row>
        <row r="148">
          <cell r="A148" t="str">
            <v>02 AUCKLAND</v>
          </cell>
          <cell r="B148">
            <v>9</v>
          </cell>
          <cell r="C148">
            <v>2043</v>
          </cell>
          <cell r="D148">
            <v>21</v>
          </cell>
          <cell r="E148">
            <v>52</v>
          </cell>
          <cell r="F148">
            <v>3.4451786977999999</v>
          </cell>
          <cell r="G148">
            <v>2.1361527591999998</v>
          </cell>
          <cell r="H148">
            <v>3.5962620317999998</v>
          </cell>
          <cell r="I148" t="str">
            <v>Other Household Travel</v>
          </cell>
          <cell r="J148" t="str">
            <v>2042/43</v>
          </cell>
        </row>
        <row r="149">
          <cell r="A149" t="str">
            <v>02 AUCKLAND</v>
          </cell>
          <cell r="B149">
            <v>10</v>
          </cell>
          <cell r="C149">
            <v>2013</v>
          </cell>
          <cell r="D149">
            <v>46</v>
          </cell>
          <cell r="E149">
            <v>52</v>
          </cell>
          <cell r="F149">
            <v>2.8879196329000001</v>
          </cell>
          <cell r="G149">
            <v>37.321781539</v>
          </cell>
          <cell r="H149">
            <v>5.1213278228999997</v>
          </cell>
          <cell r="I149" t="str">
            <v>Air/Non-Local PT</v>
          </cell>
          <cell r="J149" t="str">
            <v>2012/13</v>
          </cell>
        </row>
        <row r="150">
          <cell r="A150" t="str">
            <v>02 AUCKLAND</v>
          </cell>
          <cell r="B150">
            <v>10</v>
          </cell>
          <cell r="C150">
            <v>2018</v>
          </cell>
          <cell r="D150">
            <v>46</v>
          </cell>
          <cell r="E150">
            <v>52</v>
          </cell>
          <cell r="F150">
            <v>3.6253390777000001</v>
          </cell>
          <cell r="G150">
            <v>44.160615550999999</v>
          </cell>
          <cell r="H150">
            <v>6.3644454560000003</v>
          </cell>
          <cell r="I150" t="str">
            <v>Air/Non-Local PT</v>
          </cell>
          <cell r="J150" t="str">
            <v>2017/18</v>
          </cell>
        </row>
        <row r="151">
          <cell r="A151" t="str">
            <v>02 AUCKLAND</v>
          </cell>
          <cell r="B151">
            <v>10</v>
          </cell>
          <cell r="C151">
            <v>2023</v>
          </cell>
          <cell r="D151">
            <v>46</v>
          </cell>
          <cell r="E151">
            <v>52</v>
          </cell>
          <cell r="F151">
            <v>4.1760120080999998</v>
          </cell>
          <cell r="G151">
            <v>49.320631413000001</v>
          </cell>
          <cell r="H151">
            <v>7.2648962681000002</v>
          </cell>
          <cell r="I151" t="str">
            <v>Air/Non-Local PT</v>
          </cell>
          <cell r="J151" t="str">
            <v>2022/23</v>
          </cell>
        </row>
        <row r="152">
          <cell r="A152" t="str">
            <v>02 AUCKLAND</v>
          </cell>
          <cell r="B152">
            <v>10</v>
          </cell>
          <cell r="C152">
            <v>2028</v>
          </cell>
          <cell r="D152">
            <v>46</v>
          </cell>
          <cell r="E152">
            <v>52</v>
          </cell>
          <cell r="F152">
            <v>4.6437226107000003</v>
          </cell>
          <cell r="G152">
            <v>52.560538303000001</v>
          </cell>
          <cell r="H152">
            <v>7.9932608074999996</v>
          </cell>
          <cell r="I152" t="str">
            <v>Air/Non-Local PT</v>
          </cell>
          <cell r="J152" t="str">
            <v>2027/28</v>
          </cell>
        </row>
        <row r="153">
          <cell r="A153" t="str">
            <v>02 AUCKLAND</v>
          </cell>
          <cell r="B153">
            <v>10</v>
          </cell>
          <cell r="C153">
            <v>2033</v>
          </cell>
          <cell r="D153">
            <v>46</v>
          </cell>
          <cell r="E153">
            <v>52</v>
          </cell>
          <cell r="F153">
            <v>5.1620605131000001</v>
          </cell>
          <cell r="G153">
            <v>53.798778755999997</v>
          </cell>
          <cell r="H153">
            <v>8.8351298600000003</v>
          </cell>
          <cell r="I153" t="str">
            <v>Air/Non-Local PT</v>
          </cell>
          <cell r="J153" t="str">
            <v>2032/33</v>
          </cell>
        </row>
        <row r="154">
          <cell r="A154" t="str">
            <v>02 AUCKLAND</v>
          </cell>
          <cell r="B154">
            <v>10</v>
          </cell>
          <cell r="C154">
            <v>2038</v>
          </cell>
          <cell r="D154">
            <v>46</v>
          </cell>
          <cell r="E154">
            <v>52</v>
          </cell>
          <cell r="F154">
            <v>5.7355815082000001</v>
          </cell>
          <cell r="G154">
            <v>58.051037495000003</v>
          </cell>
          <cell r="H154">
            <v>9.8244199163000001</v>
          </cell>
          <cell r="I154" t="str">
            <v>Air/Non-Local PT</v>
          </cell>
          <cell r="J154" t="str">
            <v>2037/38</v>
          </cell>
        </row>
        <row r="155">
          <cell r="A155" t="str">
            <v>02 AUCKLAND</v>
          </cell>
          <cell r="B155">
            <v>10</v>
          </cell>
          <cell r="C155">
            <v>2043</v>
          </cell>
          <cell r="D155">
            <v>46</v>
          </cell>
          <cell r="E155">
            <v>52</v>
          </cell>
          <cell r="F155">
            <v>6.3163954517000001</v>
          </cell>
          <cell r="G155">
            <v>62.990539380999998</v>
          </cell>
          <cell r="H155">
            <v>10.829211659</v>
          </cell>
          <cell r="I155" t="str">
            <v>Air/Non-Local PT</v>
          </cell>
          <cell r="J155" t="str">
            <v>2042/43</v>
          </cell>
        </row>
        <row r="156">
          <cell r="A156" t="str">
            <v>02 AUCKLAND</v>
          </cell>
          <cell r="B156">
            <v>11</v>
          </cell>
          <cell r="C156">
            <v>2013</v>
          </cell>
          <cell r="D156">
            <v>49</v>
          </cell>
          <cell r="E156">
            <v>220</v>
          </cell>
          <cell r="F156">
            <v>12.895006201999999</v>
          </cell>
          <cell r="G156">
            <v>179.51641304</v>
          </cell>
          <cell r="H156">
            <v>5.2074041506000004</v>
          </cell>
          <cell r="I156" t="str">
            <v>Non-Household Travel</v>
          </cell>
          <cell r="J156" t="str">
            <v>2012/13</v>
          </cell>
        </row>
        <row r="157">
          <cell r="A157" t="str">
            <v>02 AUCKLAND</v>
          </cell>
          <cell r="B157">
            <v>11</v>
          </cell>
          <cell r="C157">
            <v>2018</v>
          </cell>
          <cell r="D157">
            <v>49</v>
          </cell>
          <cell r="E157">
            <v>220</v>
          </cell>
          <cell r="F157">
            <v>14.269898961999999</v>
          </cell>
          <cell r="G157">
            <v>195.53655961999999</v>
          </cell>
          <cell r="H157">
            <v>5.7255063754000002</v>
          </cell>
          <cell r="I157" t="str">
            <v>Non-Household Travel</v>
          </cell>
          <cell r="J157" t="str">
            <v>2017/18</v>
          </cell>
        </row>
        <row r="158">
          <cell r="A158" t="str">
            <v>02 AUCKLAND</v>
          </cell>
          <cell r="B158">
            <v>11</v>
          </cell>
          <cell r="C158">
            <v>2023</v>
          </cell>
          <cell r="D158">
            <v>49</v>
          </cell>
          <cell r="E158">
            <v>220</v>
          </cell>
          <cell r="F158">
            <v>15.119972141</v>
          </cell>
          <cell r="G158">
            <v>204.78646727</v>
          </cell>
          <cell r="H158">
            <v>6.0185847973</v>
          </cell>
          <cell r="I158" t="str">
            <v>Non-Household Travel</v>
          </cell>
          <cell r="J158" t="str">
            <v>2022/23</v>
          </cell>
        </row>
        <row r="159">
          <cell r="A159" t="str">
            <v>02 AUCKLAND</v>
          </cell>
          <cell r="B159">
            <v>11</v>
          </cell>
          <cell r="C159">
            <v>2028</v>
          </cell>
          <cell r="D159">
            <v>49</v>
          </cell>
          <cell r="E159">
            <v>220</v>
          </cell>
          <cell r="F159">
            <v>15.606446252</v>
          </cell>
          <cell r="G159">
            <v>208.93073869</v>
          </cell>
          <cell r="H159">
            <v>6.1488959158999998</v>
          </cell>
          <cell r="I159" t="str">
            <v>Non-Household Travel</v>
          </cell>
          <cell r="J159" t="str">
            <v>2027/28</v>
          </cell>
        </row>
        <row r="160">
          <cell r="A160" t="str">
            <v>02 AUCKLAND</v>
          </cell>
          <cell r="B160">
            <v>11</v>
          </cell>
          <cell r="C160">
            <v>2033</v>
          </cell>
          <cell r="D160">
            <v>49</v>
          </cell>
          <cell r="E160">
            <v>220</v>
          </cell>
          <cell r="F160">
            <v>16.282557100999998</v>
          </cell>
          <cell r="G160">
            <v>215.50164715</v>
          </cell>
          <cell r="H160">
            <v>6.3807271770999998</v>
          </cell>
          <cell r="I160" t="str">
            <v>Non-Household Travel</v>
          </cell>
          <cell r="J160" t="str">
            <v>2032/33</v>
          </cell>
        </row>
        <row r="161">
          <cell r="A161" t="str">
            <v>02 AUCKLAND</v>
          </cell>
          <cell r="B161">
            <v>11</v>
          </cell>
          <cell r="C161">
            <v>2038</v>
          </cell>
          <cell r="D161">
            <v>49</v>
          </cell>
          <cell r="E161">
            <v>220</v>
          </cell>
          <cell r="F161">
            <v>17.176481280000001</v>
          </cell>
          <cell r="G161">
            <v>225.52970877999999</v>
          </cell>
          <cell r="H161">
            <v>6.7040282923000003</v>
          </cell>
          <cell r="I161" t="str">
            <v>Non-Household Travel</v>
          </cell>
          <cell r="J161" t="str">
            <v>2037/38</v>
          </cell>
        </row>
        <row r="162">
          <cell r="A162" t="str">
            <v>02 AUCKLAND</v>
          </cell>
          <cell r="B162">
            <v>11</v>
          </cell>
          <cell r="C162">
            <v>2043</v>
          </cell>
          <cell r="D162">
            <v>49</v>
          </cell>
          <cell r="E162">
            <v>220</v>
          </cell>
          <cell r="F162">
            <v>17.955841285000002</v>
          </cell>
          <cell r="G162">
            <v>233.98925068</v>
          </cell>
          <cell r="H162">
            <v>6.9875755765000003</v>
          </cell>
          <cell r="I162" t="str">
            <v>Non-Household Travel</v>
          </cell>
          <cell r="J162" t="str">
            <v>2042/43</v>
          </cell>
        </row>
        <row r="163">
          <cell r="A163" t="str">
            <v>03 WAIKATO</v>
          </cell>
          <cell r="B163">
            <v>0</v>
          </cell>
          <cell r="C163">
            <v>2013</v>
          </cell>
          <cell r="D163">
            <v>628</v>
          </cell>
          <cell r="E163">
            <v>2089</v>
          </cell>
          <cell r="F163">
            <v>68.689195601999998</v>
          </cell>
          <cell r="G163">
            <v>52.675735545000002</v>
          </cell>
          <cell r="H163">
            <v>13.69170819</v>
          </cell>
          <cell r="I163" t="str">
            <v>Pedestrian</v>
          </cell>
          <cell r="J163" t="str">
            <v>2012/13</v>
          </cell>
        </row>
        <row r="164">
          <cell r="A164" t="str">
            <v>03 WAIKATO</v>
          </cell>
          <cell r="B164">
            <v>0</v>
          </cell>
          <cell r="C164">
            <v>2018</v>
          </cell>
          <cell r="D164">
            <v>628</v>
          </cell>
          <cell r="E164">
            <v>2089</v>
          </cell>
          <cell r="F164">
            <v>72.506485991000005</v>
          </cell>
          <cell r="G164">
            <v>55.406616696</v>
          </cell>
          <cell r="H164">
            <v>14.357342766</v>
          </cell>
          <cell r="I164" t="str">
            <v>Pedestrian</v>
          </cell>
          <cell r="J164" t="str">
            <v>2017/18</v>
          </cell>
        </row>
        <row r="165">
          <cell r="A165" t="str">
            <v>03 WAIKATO</v>
          </cell>
          <cell r="B165">
            <v>0</v>
          </cell>
          <cell r="C165">
            <v>2023</v>
          </cell>
          <cell r="D165">
            <v>628</v>
          </cell>
          <cell r="E165">
            <v>2089</v>
          </cell>
          <cell r="F165">
            <v>74.751320499000002</v>
          </cell>
          <cell r="G165">
            <v>57.085431043</v>
          </cell>
          <cell r="H165">
            <v>14.771664960000001</v>
          </cell>
          <cell r="I165" t="str">
            <v>Pedestrian</v>
          </cell>
          <cell r="J165" t="str">
            <v>2022/23</v>
          </cell>
        </row>
        <row r="166">
          <cell r="A166" t="str">
            <v>03 WAIKATO</v>
          </cell>
          <cell r="B166">
            <v>0</v>
          </cell>
          <cell r="C166">
            <v>2028</v>
          </cell>
          <cell r="D166">
            <v>628</v>
          </cell>
          <cell r="E166">
            <v>2089</v>
          </cell>
          <cell r="F166">
            <v>76.641057734</v>
          </cell>
          <cell r="G166">
            <v>58.031914768</v>
          </cell>
          <cell r="H166">
            <v>14.987517242999999</v>
          </cell>
          <cell r="I166" t="str">
            <v>Pedestrian</v>
          </cell>
          <cell r="J166" t="str">
            <v>2027/28</v>
          </cell>
        </row>
        <row r="167">
          <cell r="A167" t="str">
            <v>03 WAIKATO</v>
          </cell>
          <cell r="B167">
            <v>0</v>
          </cell>
          <cell r="C167">
            <v>2033</v>
          </cell>
          <cell r="D167">
            <v>628</v>
          </cell>
          <cell r="E167">
            <v>2089</v>
          </cell>
          <cell r="F167">
            <v>77.794420815999999</v>
          </cell>
          <cell r="G167">
            <v>58.309579812999999</v>
          </cell>
          <cell r="H167">
            <v>15.066862043</v>
          </cell>
          <cell r="I167" t="str">
            <v>Pedestrian</v>
          </cell>
          <cell r="J167" t="str">
            <v>2032/33</v>
          </cell>
        </row>
        <row r="168">
          <cell r="A168" t="str">
            <v>03 WAIKATO</v>
          </cell>
          <cell r="B168">
            <v>0</v>
          </cell>
          <cell r="C168">
            <v>2038</v>
          </cell>
          <cell r="D168">
            <v>628</v>
          </cell>
          <cell r="E168">
            <v>2089</v>
          </cell>
          <cell r="F168">
            <v>78.090368112999997</v>
          </cell>
          <cell r="G168">
            <v>58.300039781000002</v>
          </cell>
          <cell r="H168">
            <v>15.025476077</v>
          </cell>
          <cell r="I168" t="str">
            <v>Pedestrian</v>
          </cell>
          <cell r="J168" t="str">
            <v>2037/38</v>
          </cell>
        </row>
        <row r="169">
          <cell r="A169" t="str">
            <v>03 WAIKATO</v>
          </cell>
          <cell r="B169">
            <v>0</v>
          </cell>
          <cell r="C169">
            <v>2043</v>
          </cell>
          <cell r="D169">
            <v>628</v>
          </cell>
          <cell r="E169">
            <v>2089</v>
          </cell>
          <cell r="F169">
            <v>78.092554774999996</v>
          </cell>
          <cell r="G169">
            <v>58.104213882000003</v>
          </cell>
          <cell r="H169">
            <v>14.928543499</v>
          </cell>
          <cell r="I169" t="str">
            <v>Pedestrian</v>
          </cell>
          <cell r="J169" t="str">
            <v>2042/43</v>
          </cell>
        </row>
        <row r="170">
          <cell r="A170" t="str">
            <v>03 WAIKATO</v>
          </cell>
          <cell r="B170">
            <v>1</v>
          </cell>
          <cell r="C170">
            <v>2013</v>
          </cell>
          <cell r="D170">
            <v>60</v>
          </cell>
          <cell r="E170">
            <v>183</v>
          </cell>
          <cell r="F170">
            <v>5.8956498267999997</v>
          </cell>
          <cell r="G170">
            <v>21.829422874999999</v>
          </cell>
          <cell r="H170">
            <v>1.7805943500000001</v>
          </cell>
          <cell r="I170" t="str">
            <v>Cyclist</v>
          </cell>
          <cell r="J170" t="str">
            <v>2012/13</v>
          </cell>
        </row>
        <row r="171">
          <cell r="A171" t="str">
            <v>03 WAIKATO</v>
          </cell>
          <cell r="B171">
            <v>1</v>
          </cell>
          <cell r="C171">
            <v>2018</v>
          </cell>
          <cell r="D171">
            <v>60</v>
          </cell>
          <cell r="E171">
            <v>183</v>
          </cell>
          <cell r="F171">
            <v>6.2103844125999998</v>
          </cell>
          <cell r="G171">
            <v>22.705936718</v>
          </cell>
          <cell r="H171">
            <v>1.8936220923</v>
          </cell>
          <cell r="I171" t="str">
            <v>Cyclist</v>
          </cell>
          <cell r="J171" t="str">
            <v>2017/18</v>
          </cell>
        </row>
        <row r="172">
          <cell r="A172" t="str">
            <v>03 WAIKATO</v>
          </cell>
          <cell r="B172">
            <v>1</v>
          </cell>
          <cell r="C172">
            <v>2023</v>
          </cell>
          <cell r="D172">
            <v>60</v>
          </cell>
          <cell r="E172">
            <v>183</v>
          </cell>
          <cell r="F172">
            <v>6.5298013027000001</v>
          </cell>
          <cell r="G172">
            <v>23.418774751000001</v>
          </cell>
          <cell r="H172">
            <v>1.9994453813999999</v>
          </cell>
          <cell r="I172" t="str">
            <v>Cyclist</v>
          </cell>
          <cell r="J172" t="str">
            <v>2022/23</v>
          </cell>
        </row>
        <row r="173">
          <cell r="A173" t="str">
            <v>03 WAIKATO</v>
          </cell>
          <cell r="B173">
            <v>1</v>
          </cell>
          <cell r="C173">
            <v>2028</v>
          </cell>
          <cell r="D173">
            <v>60</v>
          </cell>
          <cell r="E173">
            <v>183</v>
          </cell>
          <cell r="F173">
            <v>6.7146378758000003</v>
          </cell>
          <cell r="G173">
            <v>23.612433871</v>
          </cell>
          <cell r="H173">
            <v>2.0528644739000002</v>
          </cell>
          <cell r="I173" t="str">
            <v>Cyclist</v>
          </cell>
          <cell r="J173" t="str">
            <v>2027/28</v>
          </cell>
        </row>
        <row r="174">
          <cell r="A174" t="str">
            <v>03 WAIKATO</v>
          </cell>
          <cell r="B174">
            <v>1</v>
          </cell>
          <cell r="C174">
            <v>2033</v>
          </cell>
          <cell r="D174">
            <v>60</v>
          </cell>
          <cell r="E174">
            <v>183</v>
          </cell>
          <cell r="F174">
            <v>6.9362837576</v>
          </cell>
          <cell r="G174">
            <v>23.862754649999999</v>
          </cell>
          <cell r="H174">
            <v>2.1156244746000001</v>
          </cell>
          <cell r="I174" t="str">
            <v>Cyclist</v>
          </cell>
          <cell r="J174" t="str">
            <v>2032/33</v>
          </cell>
        </row>
        <row r="175">
          <cell r="A175" t="str">
            <v>03 WAIKATO</v>
          </cell>
          <cell r="B175">
            <v>1</v>
          </cell>
          <cell r="C175">
            <v>2038</v>
          </cell>
          <cell r="D175">
            <v>60</v>
          </cell>
          <cell r="E175">
            <v>183</v>
          </cell>
          <cell r="F175">
            <v>7.2248806103999996</v>
          </cell>
          <cell r="G175">
            <v>24.122131498000002</v>
          </cell>
          <cell r="H175">
            <v>2.2083565195000001</v>
          </cell>
          <cell r="I175" t="str">
            <v>Cyclist</v>
          </cell>
          <cell r="J175" t="str">
            <v>2037/38</v>
          </cell>
        </row>
        <row r="176">
          <cell r="A176" t="str">
            <v>03 WAIKATO</v>
          </cell>
          <cell r="B176">
            <v>1</v>
          </cell>
          <cell r="C176">
            <v>2043</v>
          </cell>
          <cell r="D176">
            <v>60</v>
          </cell>
          <cell r="E176">
            <v>183</v>
          </cell>
          <cell r="F176">
            <v>7.5234553713999999</v>
          </cell>
          <cell r="G176">
            <v>24.277213420999999</v>
          </cell>
          <cell r="H176">
            <v>2.3056362991000001</v>
          </cell>
          <cell r="I176" t="str">
            <v>Cyclist</v>
          </cell>
          <cell r="J176" t="str">
            <v>2042/43</v>
          </cell>
        </row>
        <row r="177">
          <cell r="A177" t="str">
            <v>03 WAIKATO</v>
          </cell>
          <cell r="B177">
            <v>2</v>
          </cell>
          <cell r="C177">
            <v>2013</v>
          </cell>
          <cell r="D177">
            <v>1302</v>
          </cell>
          <cell r="E177">
            <v>9074</v>
          </cell>
          <cell r="F177">
            <v>305.41478153000003</v>
          </cell>
          <cell r="G177">
            <v>3709.9843593000001</v>
          </cell>
          <cell r="H177">
            <v>82.274552721999996</v>
          </cell>
          <cell r="I177" t="str">
            <v>Light Vehicle Driver</v>
          </cell>
          <cell r="J177" t="str">
            <v>2012/13</v>
          </cell>
        </row>
        <row r="178">
          <cell r="A178" t="str">
            <v>03 WAIKATO</v>
          </cell>
          <cell r="B178">
            <v>2</v>
          </cell>
          <cell r="C178">
            <v>2018</v>
          </cell>
          <cell r="D178">
            <v>1302</v>
          </cell>
          <cell r="E178">
            <v>9074</v>
          </cell>
          <cell r="F178">
            <v>331.15084179000002</v>
          </cell>
          <cell r="G178">
            <v>4013.2956181999998</v>
          </cell>
          <cell r="H178">
            <v>89.121473596000001</v>
          </cell>
          <cell r="I178" t="str">
            <v>Light Vehicle Driver</v>
          </cell>
          <cell r="J178" t="str">
            <v>2017/18</v>
          </cell>
        </row>
        <row r="179">
          <cell r="A179" t="str">
            <v>03 WAIKATO</v>
          </cell>
          <cell r="B179">
            <v>2</v>
          </cell>
          <cell r="C179">
            <v>2023</v>
          </cell>
          <cell r="D179">
            <v>1302</v>
          </cell>
          <cell r="E179">
            <v>9074</v>
          </cell>
          <cell r="F179">
            <v>346.18657646000003</v>
          </cell>
          <cell r="G179">
            <v>4195.2758505000002</v>
          </cell>
          <cell r="H179">
            <v>93.102029618000003</v>
          </cell>
          <cell r="I179" t="str">
            <v>Light Vehicle Driver</v>
          </cell>
          <cell r="J179" t="str">
            <v>2022/23</v>
          </cell>
        </row>
        <row r="180">
          <cell r="A180" t="str">
            <v>03 WAIKATO</v>
          </cell>
          <cell r="B180">
            <v>2</v>
          </cell>
          <cell r="C180">
            <v>2028</v>
          </cell>
          <cell r="D180">
            <v>1302</v>
          </cell>
          <cell r="E180">
            <v>9074</v>
          </cell>
          <cell r="F180">
            <v>362.39235446999999</v>
          </cell>
          <cell r="G180">
            <v>4390.7886171999999</v>
          </cell>
          <cell r="H180">
            <v>97.391877526000002</v>
          </cell>
          <cell r="I180" t="str">
            <v>Light Vehicle Driver</v>
          </cell>
          <cell r="J180" t="str">
            <v>2027/28</v>
          </cell>
        </row>
        <row r="181">
          <cell r="A181" t="str">
            <v>03 WAIKATO</v>
          </cell>
          <cell r="B181">
            <v>2</v>
          </cell>
          <cell r="C181">
            <v>2033</v>
          </cell>
          <cell r="D181">
            <v>1302</v>
          </cell>
          <cell r="E181">
            <v>9074</v>
          </cell>
          <cell r="F181">
            <v>376.69663960000003</v>
          </cell>
          <cell r="G181">
            <v>4562.0400353000005</v>
          </cell>
          <cell r="H181">
            <v>101.12728018</v>
          </cell>
          <cell r="I181" t="str">
            <v>Light Vehicle Driver</v>
          </cell>
          <cell r="J181" t="str">
            <v>2032/33</v>
          </cell>
        </row>
        <row r="182">
          <cell r="A182" t="str">
            <v>03 WAIKATO</v>
          </cell>
          <cell r="B182">
            <v>2</v>
          </cell>
          <cell r="C182">
            <v>2038</v>
          </cell>
          <cell r="D182">
            <v>1302</v>
          </cell>
          <cell r="E182">
            <v>9074</v>
          </cell>
          <cell r="F182">
            <v>386.07724008000002</v>
          </cell>
          <cell r="G182">
            <v>4675.8292522000002</v>
          </cell>
          <cell r="H182">
            <v>103.5606624</v>
          </cell>
          <cell r="I182" t="str">
            <v>Light Vehicle Driver</v>
          </cell>
          <cell r="J182" t="str">
            <v>2037/38</v>
          </cell>
        </row>
        <row r="183">
          <cell r="A183" t="str">
            <v>03 WAIKATO</v>
          </cell>
          <cell r="B183">
            <v>2</v>
          </cell>
          <cell r="C183">
            <v>2043</v>
          </cell>
          <cell r="D183">
            <v>1302</v>
          </cell>
          <cell r="E183">
            <v>9074</v>
          </cell>
          <cell r="F183">
            <v>393.77809801000001</v>
          </cell>
          <cell r="G183">
            <v>4768.8117980999996</v>
          </cell>
          <cell r="H183">
            <v>105.54500254</v>
          </cell>
          <cell r="I183" t="str">
            <v>Light Vehicle Driver</v>
          </cell>
          <cell r="J183" t="str">
            <v>2042/43</v>
          </cell>
        </row>
        <row r="184">
          <cell r="A184" t="str">
            <v>03 WAIKATO</v>
          </cell>
          <cell r="B184">
            <v>3</v>
          </cell>
          <cell r="C184">
            <v>2013</v>
          </cell>
          <cell r="D184">
            <v>931</v>
          </cell>
          <cell r="E184">
            <v>4349</v>
          </cell>
          <cell r="F184">
            <v>139.07206360000001</v>
          </cell>
          <cell r="G184">
            <v>1955.0668243</v>
          </cell>
          <cell r="H184">
            <v>42.037273755000001</v>
          </cell>
          <cell r="I184" t="str">
            <v>Light Vehicle Passenger</v>
          </cell>
          <cell r="J184" t="str">
            <v>2012/13</v>
          </cell>
        </row>
        <row r="185">
          <cell r="A185" t="str">
            <v>03 WAIKATO</v>
          </cell>
          <cell r="B185">
            <v>3</v>
          </cell>
          <cell r="C185">
            <v>2018</v>
          </cell>
          <cell r="D185">
            <v>931</v>
          </cell>
          <cell r="E185">
            <v>4349</v>
          </cell>
          <cell r="F185">
            <v>142.73073375999999</v>
          </cell>
          <cell r="G185">
            <v>2041.696876</v>
          </cell>
          <cell r="H185">
            <v>43.693956821999997</v>
          </cell>
          <cell r="I185" t="str">
            <v>Light Vehicle Passenger</v>
          </cell>
          <cell r="J185" t="str">
            <v>2017/18</v>
          </cell>
        </row>
        <row r="186">
          <cell r="A186" t="str">
            <v>03 WAIKATO</v>
          </cell>
          <cell r="B186">
            <v>3</v>
          </cell>
          <cell r="C186">
            <v>2023</v>
          </cell>
          <cell r="D186">
            <v>931</v>
          </cell>
          <cell r="E186">
            <v>4349</v>
          </cell>
          <cell r="F186">
            <v>144.55903326000001</v>
          </cell>
          <cell r="G186">
            <v>2086.5942933000001</v>
          </cell>
          <cell r="H186">
            <v>44.554208862000003</v>
          </cell>
          <cell r="I186" t="str">
            <v>Light Vehicle Passenger</v>
          </cell>
          <cell r="J186" t="str">
            <v>2022/23</v>
          </cell>
        </row>
        <row r="187">
          <cell r="A187" t="str">
            <v>03 WAIKATO</v>
          </cell>
          <cell r="B187">
            <v>3</v>
          </cell>
          <cell r="C187">
            <v>2028</v>
          </cell>
          <cell r="D187">
            <v>931</v>
          </cell>
          <cell r="E187">
            <v>4349</v>
          </cell>
          <cell r="F187">
            <v>145.90861473000001</v>
          </cell>
          <cell r="G187">
            <v>2121.4940228999999</v>
          </cell>
          <cell r="H187">
            <v>45.221079297999999</v>
          </cell>
          <cell r="I187" t="str">
            <v>Light Vehicle Passenger</v>
          </cell>
          <cell r="J187" t="str">
            <v>2027/28</v>
          </cell>
        </row>
        <row r="188">
          <cell r="A188" t="str">
            <v>03 WAIKATO</v>
          </cell>
          <cell r="B188">
            <v>3</v>
          </cell>
          <cell r="C188">
            <v>2033</v>
          </cell>
          <cell r="D188">
            <v>931</v>
          </cell>
          <cell r="E188">
            <v>4349</v>
          </cell>
          <cell r="F188">
            <v>147.55463560999999</v>
          </cell>
          <cell r="G188">
            <v>2156.5981864</v>
          </cell>
          <cell r="H188">
            <v>45.901635280999997</v>
          </cell>
          <cell r="I188" t="str">
            <v>Light Vehicle Passenger</v>
          </cell>
          <cell r="J188" t="str">
            <v>2032/33</v>
          </cell>
        </row>
        <row r="189">
          <cell r="A189" t="str">
            <v>03 WAIKATO</v>
          </cell>
          <cell r="B189">
            <v>3</v>
          </cell>
          <cell r="C189">
            <v>2038</v>
          </cell>
          <cell r="D189">
            <v>931</v>
          </cell>
          <cell r="E189">
            <v>4349</v>
          </cell>
          <cell r="F189">
            <v>147.76696043999999</v>
          </cell>
          <cell r="G189">
            <v>2167.1804321999998</v>
          </cell>
          <cell r="H189">
            <v>46.086564989000003</v>
          </cell>
          <cell r="I189" t="str">
            <v>Light Vehicle Passenger</v>
          </cell>
          <cell r="J189" t="str">
            <v>2037/38</v>
          </cell>
        </row>
        <row r="190">
          <cell r="A190" t="str">
            <v>03 WAIKATO</v>
          </cell>
          <cell r="B190">
            <v>3</v>
          </cell>
          <cell r="C190">
            <v>2043</v>
          </cell>
          <cell r="D190">
            <v>931</v>
          </cell>
          <cell r="E190">
            <v>4349</v>
          </cell>
          <cell r="F190">
            <v>147.05574106</v>
          </cell>
          <cell r="G190">
            <v>2163.1720759999998</v>
          </cell>
          <cell r="H190">
            <v>45.972284184000003</v>
          </cell>
          <cell r="I190" t="str">
            <v>Light Vehicle Passenger</v>
          </cell>
          <cell r="J190" t="str">
            <v>2042/43</v>
          </cell>
        </row>
        <row r="191">
          <cell r="A191" t="str">
            <v>03 WAIKATO</v>
          </cell>
          <cell r="B191">
            <v>4</v>
          </cell>
          <cell r="C191">
            <v>2013</v>
          </cell>
          <cell r="D191">
            <v>13</v>
          </cell>
          <cell r="E191">
            <v>20</v>
          </cell>
          <cell r="F191">
            <v>0.69122996950000004</v>
          </cell>
          <cell r="G191">
            <v>2.4426175743999998</v>
          </cell>
          <cell r="H191">
            <v>0.1633822556</v>
          </cell>
          <cell r="J191" t="str">
            <v>2012/13</v>
          </cell>
        </row>
        <row r="192">
          <cell r="A192" t="str">
            <v>03 WAIKATO</v>
          </cell>
          <cell r="B192">
            <v>4</v>
          </cell>
          <cell r="C192">
            <v>2018</v>
          </cell>
          <cell r="D192">
            <v>13</v>
          </cell>
          <cell r="E192">
            <v>20</v>
          </cell>
          <cell r="F192">
            <v>0.8158209126</v>
          </cell>
          <cell r="G192">
            <v>2.991471953</v>
          </cell>
          <cell r="H192">
            <v>0.1956792976</v>
          </cell>
          <cell r="J192" t="str">
            <v>2017/18</v>
          </cell>
        </row>
        <row r="193">
          <cell r="A193" t="str">
            <v>03 WAIKATO</v>
          </cell>
          <cell r="B193">
            <v>4</v>
          </cell>
          <cell r="C193">
            <v>2023</v>
          </cell>
          <cell r="D193">
            <v>13</v>
          </cell>
          <cell r="E193">
            <v>20</v>
          </cell>
          <cell r="F193">
            <v>0.89022969669999996</v>
          </cell>
          <cell r="G193">
            <v>3.3637285608999998</v>
          </cell>
          <cell r="H193">
            <v>0.21635814959999999</v>
          </cell>
          <cell r="J193" t="str">
            <v>2022/23</v>
          </cell>
        </row>
        <row r="194">
          <cell r="A194" t="str">
            <v>03 WAIKATO</v>
          </cell>
          <cell r="B194">
            <v>4</v>
          </cell>
          <cell r="C194">
            <v>2028</v>
          </cell>
          <cell r="D194">
            <v>13</v>
          </cell>
          <cell r="E194">
            <v>20</v>
          </cell>
          <cell r="F194">
            <v>0.93777434879999999</v>
          </cell>
          <cell r="G194">
            <v>3.6855221157</v>
          </cell>
          <cell r="H194">
            <v>0.23283442109999999</v>
          </cell>
          <cell r="J194" t="str">
            <v>2027/28</v>
          </cell>
        </row>
        <row r="195">
          <cell r="A195" t="str">
            <v>03 WAIKATO</v>
          </cell>
          <cell r="B195">
            <v>4</v>
          </cell>
          <cell r="C195">
            <v>2033</v>
          </cell>
          <cell r="D195">
            <v>13</v>
          </cell>
          <cell r="E195">
            <v>20</v>
          </cell>
          <cell r="F195">
            <v>0.97002382279999999</v>
          </cell>
          <cell r="G195">
            <v>3.9306320826999999</v>
          </cell>
          <cell r="H195">
            <v>0.2445269313</v>
          </cell>
          <cell r="J195" t="str">
            <v>2032/33</v>
          </cell>
        </row>
        <row r="196">
          <cell r="A196" t="str">
            <v>03 WAIKATO</v>
          </cell>
          <cell r="B196">
            <v>4</v>
          </cell>
          <cell r="C196">
            <v>2038</v>
          </cell>
          <cell r="D196">
            <v>13</v>
          </cell>
          <cell r="E196">
            <v>20</v>
          </cell>
          <cell r="F196">
            <v>0.97440302649999999</v>
          </cell>
          <cell r="G196">
            <v>4.0521869135999999</v>
          </cell>
          <cell r="H196">
            <v>0.24653400080000001</v>
          </cell>
          <cell r="J196" t="str">
            <v>2037/38</v>
          </cell>
        </row>
        <row r="197">
          <cell r="A197" t="str">
            <v>03 WAIKATO</v>
          </cell>
          <cell r="B197">
            <v>4</v>
          </cell>
          <cell r="C197">
            <v>2043</v>
          </cell>
          <cell r="D197">
            <v>13</v>
          </cell>
          <cell r="E197">
            <v>20</v>
          </cell>
          <cell r="F197">
            <v>0.97650828430000003</v>
          </cell>
          <cell r="G197">
            <v>4.1760819771</v>
          </cell>
          <cell r="H197">
            <v>0.2482403765</v>
          </cell>
          <cell r="J197" t="str">
            <v>2042/43</v>
          </cell>
        </row>
        <row r="198">
          <cell r="A198" t="str">
            <v>03 WAIKATO</v>
          </cell>
          <cell r="B198">
            <v>5</v>
          </cell>
          <cell r="C198">
            <v>2013</v>
          </cell>
          <cell r="D198">
            <v>16</v>
          </cell>
          <cell r="E198">
            <v>51</v>
          </cell>
          <cell r="F198">
            <v>1.8680965575999999</v>
          </cell>
          <cell r="G198">
            <v>38.030338682999997</v>
          </cell>
          <cell r="H198">
            <v>0.60639269429999998</v>
          </cell>
          <cell r="I198" t="str">
            <v>Motorcyclist</v>
          </cell>
          <cell r="J198" t="str">
            <v>2012/13</v>
          </cell>
        </row>
        <row r="199">
          <cell r="A199" t="str">
            <v>03 WAIKATO</v>
          </cell>
          <cell r="B199">
            <v>5</v>
          </cell>
          <cell r="C199">
            <v>2018</v>
          </cell>
          <cell r="D199">
            <v>16</v>
          </cell>
          <cell r="E199">
            <v>51</v>
          </cell>
          <cell r="F199">
            <v>1.8169065424999999</v>
          </cell>
          <cell r="G199">
            <v>39.204316693000003</v>
          </cell>
          <cell r="H199">
            <v>0.60691783379999997</v>
          </cell>
          <cell r="I199" t="str">
            <v>Motorcyclist</v>
          </cell>
          <cell r="J199" t="str">
            <v>2017/18</v>
          </cell>
        </row>
        <row r="200">
          <cell r="A200" t="str">
            <v>03 WAIKATO</v>
          </cell>
          <cell r="B200">
            <v>5</v>
          </cell>
          <cell r="C200">
            <v>2023</v>
          </cell>
          <cell r="D200">
            <v>16</v>
          </cell>
          <cell r="E200">
            <v>51</v>
          </cell>
          <cell r="F200">
            <v>1.7665100045</v>
          </cell>
          <cell r="G200">
            <v>39.575297321000001</v>
          </cell>
          <cell r="H200">
            <v>0.60467174670000001</v>
          </cell>
          <cell r="I200" t="str">
            <v>Motorcyclist</v>
          </cell>
          <cell r="J200" t="str">
            <v>2022/23</v>
          </cell>
        </row>
        <row r="201">
          <cell r="A201" t="str">
            <v>03 WAIKATO</v>
          </cell>
          <cell r="B201">
            <v>5</v>
          </cell>
          <cell r="C201">
            <v>2028</v>
          </cell>
          <cell r="D201">
            <v>16</v>
          </cell>
          <cell r="E201">
            <v>51</v>
          </cell>
          <cell r="F201">
            <v>1.7149340781</v>
          </cell>
          <cell r="G201">
            <v>38.572059703000001</v>
          </cell>
          <cell r="H201">
            <v>0.59109798499999999</v>
          </cell>
          <cell r="I201" t="str">
            <v>Motorcyclist</v>
          </cell>
          <cell r="J201" t="str">
            <v>2027/28</v>
          </cell>
        </row>
        <row r="202">
          <cell r="A202" t="str">
            <v>03 WAIKATO</v>
          </cell>
          <cell r="B202">
            <v>5</v>
          </cell>
          <cell r="C202">
            <v>2033</v>
          </cell>
          <cell r="D202">
            <v>16</v>
          </cell>
          <cell r="E202">
            <v>51</v>
          </cell>
          <cell r="F202">
            <v>1.6577707763</v>
          </cell>
          <cell r="G202">
            <v>36.359309543000002</v>
          </cell>
          <cell r="H202">
            <v>0.56378002179999998</v>
          </cell>
          <cell r="I202" t="str">
            <v>Motorcyclist</v>
          </cell>
          <cell r="J202" t="str">
            <v>2032/33</v>
          </cell>
        </row>
        <row r="203">
          <cell r="A203" t="str">
            <v>03 WAIKATO</v>
          </cell>
          <cell r="B203">
            <v>5</v>
          </cell>
          <cell r="C203">
            <v>2038</v>
          </cell>
          <cell r="D203">
            <v>16</v>
          </cell>
          <cell r="E203">
            <v>51</v>
          </cell>
          <cell r="F203">
            <v>1.5462133363999999</v>
          </cell>
          <cell r="G203">
            <v>32.700616771</v>
          </cell>
          <cell r="H203">
            <v>0.51272053409999996</v>
          </cell>
          <cell r="I203" t="str">
            <v>Motorcyclist</v>
          </cell>
          <cell r="J203" t="str">
            <v>2037/38</v>
          </cell>
        </row>
        <row r="204">
          <cell r="A204" t="str">
            <v>03 WAIKATO</v>
          </cell>
          <cell r="B204">
            <v>5</v>
          </cell>
          <cell r="C204">
            <v>2043</v>
          </cell>
          <cell r="D204">
            <v>16</v>
          </cell>
          <cell r="E204">
            <v>51</v>
          </cell>
          <cell r="F204">
            <v>1.4348425339999999</v>
          </cell>
          <cell r="G204">
            <v>29.047686304999999</v>
          </cell>
          <cell r="H204">
            <v>0.46171781989999999</v>
          </cell>
          <cell r="I204" t="str">
            <v>Motorcyclist</v>
          </cell>
          <cell r="J204" t="str">
            <v>2042/43</v>
          </cell>
        </row>
        <row r="205">
          <cell r="A205" t="str">
            <v>03 WAIKATO</v>
          </cell>
          <cell r="B205">
            <v>6</v>
          </cell>
          <cell r="C205">
            <v>2013</v>
          </cell>
          <cell r="D205">
            <v>2</v>
          </cell>
          <cell r="E205">
            <v>5</v>
          </cell>
          <cell r="F205">
            <v>0.12019006359999999</v>
          </cell>
          <cell r="G205">
            <v>2.9773519310999998</v>
          </cell>
          <cell r="H205">
            <v>7.0969514100000006E-2</v>
          </cell>
          <cell r="I205" t="str">
            <v>Local Train</v>
          </cell>
          <cell r="J205" t="str">
            <v>2012/13</v>
          </cell>
        </row>
        <row r="206">
          <cell r="A206" t="str">
            <v>03 WAIKATO</v>
          </cell>
          <cell r="B206">
            <v>6</v>
          </cell>
          <cell r="C206">
            <v>2018</v>
          </cell>
          <cell r="D206">
            <v>2</v>
          </cell>
          <cell r="E206">
            <v>5</v>
          </cell>
          <cell r="F206">
            <v>0.12626891809999999</v>
          </cell>
          <cell r="G206">
            <v>3.2314632346000001</v>
          </cell>
          <cell r="H206">
            <v>7.6984046700000003E-2</v>
          </cell>
          <cell r="I206" t="str">
            <v>Local Train</v>
          </cell>
          <cell r="J206" t="str">
            <v>2017/18</v>
          </cell>
        </row>
        <row r="207">
          <cell r="A207" t="str">
            <v>03 WAIKATO</v>
          </cell>
          <cell r="B207">
            <v>6</v>
          </cell>
          <cell r="C207">
            <v>2023</v>
          </cell>
          <cell r="D207">
            <v>2</v>
          </cell>
          <cell r="E207">
            <v>5</v>
          </cell>
          <cell r="F207">
            <v>0.13921474180000001</v>
          </cell>
          <cell r="G207">
            <v>3.8027785731999999</v>
          </cell>
          <cell r="H207">
            <v>9.0499098900000005E-2</v>
          </cell>
          <cell r="I207" t="str">
            <v>Local Train</v>
          </cell>
          <cell r="J207" t="str">
            <v>2022/23</v>
          </cell>
        </row>
        <row r="208">
          <cell r="A208" t="str">
            <v>03 WAIKATO</v>
          </cell>
          <cell r="B208">
            <v>6</v>
          </cell>
          <cell r="C208">
            <v>2028</v>
          </cell>
          <cell r="D208">
            <v>2</v>
          </cell>
          <cell r="E208">
            <v>5</v>
          </cell>
          <cell r="F208">
            <v>0.15409828389999999</v>
          </cell>
          <cell r="G208">
            <v>4.3010200814999999</v>
          </cell>
          <cell r="H208">
            <v>0.1023221279</v>
          </cell>
          <cell r="I208" t="str">
            <v>Local Train</v>
          </cell>
          <cell r="J208" t="str">
            <v>2027/28</v>
          </cell>
        </row>
        <row r="209">
          <cell r="A209" t="str">
            <v>03 WAIKATO</v>
          </cell>
          <cell r="B209">
            <v>6</v>
          </cell>
          <cell r="C209">
            <v>2033</v>
          </cell>
          <cell r="D209">
            <v>2</v>
          </cell>
          <cell r="E209">
            <v>5</v>
          </cell>
          <cell r="F209">
            <v>0.16489572150000001</v>
          </cell>
          <cell r="G209">
            <v>4.6298650450999999</v>
          </cell>
          <cell r="H209">
            <v>0.11013538439999999</v>
          </cell>
          <cell r="I209" t="str">
            <v>Local Train</v>
          </cell>
          <cell r="J209" t="str">
            <v>2032/33</v>
          </cell>
        </row>
        <row r="210">
          <cell r="A210" t="str">
            <v>03 WAIKATO</v>
          </cell>
          <cell r="B210">
            <v>6</v>
          </cell>
          <cell r="C210">
            <v>2038</v>
          </cell>
          <cell r="D210">
            <v>2</v>
          </cell>
          <cell r="E210">
            <v>5</v>
          </cell>
          <cell r="F210">
            <v>0.1711877373</v>
          </cell>
          <cell r="G210">
            <v>4.9172725539000002</v>
          </cell>
          <cell r="H210">
            <v>0.11693205769999999</v>
          </cell>
          <cell r="I210" t="str">
            <v>Local Train</v>
          </cell>
          <cell r="J210" t="str">
            <v>2037/38</v>
          </cell>
        </row>
        <row r="211">
          <cell r="A211" t="str">
            <v>03 WAIKATO</v>
          </cell>
          <cell r="B211">
            <v>6</v>
          </cell>
          <cell r="C211">
            <v>2043</v>
          </cell>
          <cell r="D211">
            <v>2</v>
          </cell>
          <cell r="E211">
            <v>5</v>
          </cell>
          <cell r="F211">
            <v>0.175620156</v>
          </cell>
          <cell r="G211">
            <v>5.1503396770999998</v>
          </cell>
          <cell r="H211">
            <v>0.122436852</v>
          </cell>
          <cell r="I211" t="str">
            <v>Local Train</v>
          </cell>
          <cell r="J211" t="str">
            <v>2042/43</v>
          </cell>
        </row>
        <row r="212">
          <cell r="A212" t="str">
            <v>03 WAIKATO</v>
          </cell>
          <cell r="B212">
            <v>7</v>
          </cell>
          <cell r="C212">
            <v>2013</v>
          </cell>
          <cell r="D212">
            <v>81</v>
          </cell>
          <cell r="E212">
            <v>183</v>
          </cell>
          <cell r="F212">
            <v>5.7199103379</v>
          </cell>
          <cell r="G212">
            <v>54.303948532</v>
          </cell>
          <cell r="H212">
            <v>2.2088814398999999</v>
          </cell>
          <cell r="I212" t="str">
            <v>Local Bus</v>
          </cell>
          <cell r="J212" t="str">
            <v>2012/13</v>
          </cell>
        </row>
        <row r="213">
          <cell r="A213" t="str">
            <v>03 WAIKATO</v>
          </cell>
          <cell r="B213">
            <v>7</v>
          </cell>
          <cell r="C213">
            <v>2018</v>
          </cell>
          <cell r="D213">
            <v>81</v>
          </cell>
          <cell r="E213">
            <v>183</v>
          </cell>
          <cell r="F213">
            <v>5.7461459003000002</v>
          </cell>
          <cell r="G213">
            <v>51.763012885000002</v>
          </cell>
          <cell r="H213">
            <v>2.1869187666999998</v>
          </cell>
          <cell r="I213" t="str">
            <v>Local Bus</v>
          </cell>
          <cell r="J213" t="str">
            <v>2017/18</v>
          </cell>
        </row>
        <row r="214">
          <cell r="A214" t="str">
            <v>03 WAIKATO</v>
          </cell>
          <cell r="B214">
            <v>7</v>
          </cell>
          <cell r="C214">
            <v>2023</v>
          </cell>
          <cell r="D214">
            <v>81</v>
          </cell>
          <cell r="E214">
            <v>183</v>
          </cell>
          <cell r="F214">
            <v>5.6862867502999999</v>
          </cell>
          <cell r="G214">
            <v>50.418689811999997</v>
          </cell>
          <cell r="H214">
            <v>2.1520139730999999</v>
          </cell>
          <cell r="I214" t="str">
            <v>Local Bus</v>
          </cell>
          <cell r="J214" t="str">
            <v>2022/23</v>
          </cell>
        </row>
        <row r="215">
          <cell r="A215" t="str">
            <v>03 WAIKATO</v>
          </cell>
          <cell r="B215">
            <v>7</v>
          </cell>
          <cell r="C215">
            <v>2028</v>
          </cell>
          <cell r="D215">
            <v>81</v>
          </cell>
          <cell r="E215">
            <v>183</v>
          </cell>
          <cell r="F215">
            <v>5.7386824849</v>
          </cell>
          <cell r="G215">
            <v>49.843693670999997</v>
          </cell>
          <cell r="H215">
            <v>2.1675429332</v>
          </cell>
          <cell r="I215" t="str">
            <v>Local Bus</v>
          </cell>
          <cell r="J215" t="str">
            <v>2027/28</v>
          </cell>
        </row>
        <row r="216">
          <cell r="A216" t="str">
            <v>03 WAIKATO</v>
          </cell>
          <cell r="B216">
            <v>7</v>
          </cell>
          <cell r="C216">
            <v>2033</v>
          </cell>
          <cell r="D216">
            <v>81</v>
          </cell>
          <cell r="E216">
            <v>183</v>
          </cell>
          <cell r="F216">
            <v>5.7654870465999997</v>
          </cell>
          <cell r="G216">
            <v>48.979427686000001</v>
          </cell>
          <cell r="H216">
            <v>2.1696934758999999</v>
          </cell>
          <cell r="I216" t="str">
            <v>Local Bus</v>
          </cell>
          <cell r="J216" t="str">
            <v>2032/33</v>
          </cell>
        </row>
        <row r="217">
          <cell r="A217" t="str">
            <v>03 WAIKATO</v>
          </cell>
          <cell r="B217">
            <v>7</v>
          </cell>
          <cell r="C217">
            <v>2038</v>
          </cell>
          <cell r="D217">
            <v>81</v>
          </cell>
          <cell r="E217">
            <v>183</v>
          </cell>
          <cell r="F217">
            <v>5.7454560841999998</v>
          </cell>
          <cell r="G217">
            <v>48.203982576999998</v>
          </cell>
          <cell r="H217">
            <v>2.1588323475000002</v>
          </cell>
          <cell r="I217" t="str">
            <v>Local Bus</v>
          </cell>
          <cell r="J217" t="str">
            <v>2037/38</v>
          </cell>
        </row>
        <row r="218">
          <cell r="A218" t="str">
            <v>03 WAIKATO</v>
          </cell>
          <cell r="B218">
            <v>7</v>
          </cell>
          <cell r="C218">
            <v>2043</v>
          </cell>
          <cell r="D218">
            <v>81</v>
          </cell>
          <cell r="E218">
            <v>183</v>
          </cell>
          <cell r="F218">
            <v>5.6752577720000001</v>
          </cell>
          <cell r="G218">
            <v>47.224436009000001</v>
          </cell>
          <cell r="H218">
            <v>2.1343226210999999</v>
          </cell>
          <cell r="I218" t="str">
            <v>Local Bus</v>
          </cell>
          <cell r="J218" t="str">
            <v>2042/43</v>
          </cell>
        </row>
        <row r="219">
          <cell r="A219" t="str">
            <v>03 WAIKATO</v>
          </cell>
          <cell r="B219">
            <v>8</v>
          </cell>
          <cell r="C219">
            <v>2013</v>
          </cell>
          <cell r="D219">
            <v>3</v>
          </cell>
          <cell r="E219">
            <v>7</v>
          </cell>
          <cell r="F219">
            <v>0.2446181519</v>
          </cell>
          <cell r="G219">
            <v>0</v>
          </cell>
          <cell r="H219">
            <v>9.3342661800000004E-2</v>
          </cell>
          <cell r="I219" t="str">
            <v>Local Ferry</v>
          </cell>
          <cell r="J219" t="str">
            <v>2012/13</v>
          </cell>
        </row>
        <row r="220">
          <cell r="A220" t="str">
            <v>03 WAIKATO</v>
          </cell>
          <cell r="B220">
            <v>8</v>
          </cell>
          <cell r="C220">
            <v>2018</v>
          </cell>
          <cell r="D220">
            <v>3</v>
          </cell>
          <cell r="E220">
            <v>7</v>
          </cell>
          <cell r="F220">
            <v>0.2673120779</v>
          </cell>
          <cell r="G220">
            <v>0</v>
          </cell>
          <cell r="H220">
            <v>0.104861736</v>
          </cell>
          <cell r="I220" t="str">
            <v>Local Ferry</v>
          </cell>
          <cell r="J220" t="str">
            <v>2017/18</v>
          </cell>
        </row>
        <row r="221">
          <cell r="A221" t="str">
            <v>03 WAIKATO</v>
          </cell>
          <cell r="B221">
            <v>8</v>
          </cell>
          <cell r="C221">
            <v>2023</v>
          </cell>
          <cell r="D221">
            <v>3</v>
          </cell>
          <cell r="E221">
            <v>7</v>
          </cell>
          <cell r="F221">
            <v>0.2806473391</v>
          </cell>
          <cell r="G221">
            <v>0</v>
          </cell>
          <cell r="H221">
            <v>0.1116998555</v>
          </cell>
          <cell r="I221" t="str">
            <v>Local Ferry</v>
          </cell>
          <cell r="J221" t="str">
            <v>2022/23</v>
          </cell>
        </row>
        <row r="222">
          <cell r="A222" t="str">
            <v>03 WAIKATO</v>
          </cell>
          <cell r="B222">
            <v>8</v>
          </cell>
          <cell r="C222">
            <v>2028</v>
          </cell>
          <cell r="D222">
            <v>3</v>
          </cell>
          <cell r="E222">
            <v>7</v>
          </cell>
          <cell r="F222">
            <v>0.30273286830000001</v>
          </cell>
          <cell r="G222">
            <v>0</v>
          </cell>
          <cell r="H222">
            <v>0.1234257163</v>
          </cell>
          <cell r="I222" t="str">
            <v>Local Ferry</v>
          </cell>
          <cell r="J222" t="str">
            <v>2027/28</v>
          </cell>
        </row>
        <row r="223">
          <cell r="A223" t="str">
            <v>03 WAIKATO</v>
          </cell>
          <cell r="B223">
            <v>8</v>
          </cell>
          <cell r="C223">
            <v>2033</v>
          </cell>
          <cell r="D223">
            <v>3</v>
          </cell>
          <cell r="E223">
            <v>7</v>
          </cell>
          <cell r="F223">
            <v>0.31177955219999998</v>
          </cell>
          <cell r="G223">
            <v>0</v>
          </cell>
          <cell r="H223">
            <v>0.12781436430000001</v>
          </cell>
          <cell r="I223" t="str">
            <v>Local Ferry</v>
          </cell>
          <cell r="J223" t="str">
            <v>2032/33</v>
          </cell>
        </row>
        <row r="224">
          <cell r="A224" t="str">
            <v>03 WAIKATO</v>
          </cell>
          <cell r="B224">
            <v>8</v>
          </cell>
          <cell r="C224">
            <v>2038</v>
          </cell>
          <cell r="D224">
            <v>3</v>
          </cell>
          <cell r="E224">
            <v>7</v>
          </cell>
          <cell r="F224">
            <v>0.3054565018</v>
          </cell>
          <cell r="G224">
            <v>0</v>
          </cell>
          <cell r="H224">
            <v>0.1250733195</v>
          </cell>
          <cell r="I224" t="str">
            <v>Local Ferry</v>
          </cell>
          <cell r="J224" t="str">
            <v>2037/38</v>
          </cell>
        </row>
        <row r="225">
          <cell r="A225" t="str">
            <v>03 WAIKATO</v>
          </cell>
          <cell r="B225">
            <v>8</v>
          </cell>
          <cell r="C225">
            <v>2043</v>
          </cell>
          <cell r="D225">
            <v>3</v>
          </cell>
          <cell r="E225">
            <v>7</v>
          </cell>
          <cell r="F225">
            <v>0.29611963400000002</v>
          </cell>
          <cell r="G225">
            <v>0</v>
          </cell>
          <cell r="H225">
            <v>0.12098275830000001</v>
          </cell>
          <cell r="I225" t="str">
            <v>Local Ferry</v>
          </cell>
          <cell r="J225" t="str">
            <v>2042/43</v>
          </cell>
        </row>
        <row r="226">
          <cell r="A226" t="str">
            <v>03 WAIKATO</v>
          </cell>
          <cell r="B226">
            <v>9</v>
          </cell>
          <cell r="C226">
            <v>2013</v>
          </cell>
          <cell r="D226">
            <v>17</v>
          </cell>
          <cell r="E226">
            <v>46</v>
          </cell>
          <cell r="F226">
            <v>1.8854250596</v>
          </cell>
          <cell r="G226">
            <v>0</v>
          </cell>
          <cell r="H226">
            <v>0.63404452519999999</v>
          </cell>
          <cell r="I226" t="str">
            <v>Other Household Travel</v>
          </cell>
          <cell r="J226" t="str">
            <v>2012/13</v>
          </cell>
        </row>
        <row r="227">
          <cell r="A227" t="str">
            <v>03 WAIKATO</v>
          </cell>
          <cell r="B227">
            <v>9</v>
          </cell>
          <cell r="C227">
            <v>2018</v>
          </cell>
          <cell r="D227">
            <v>17</v>
          </cell>
          <cell r="E227">
            <v>46</v>
          </cell>
          <cell r="F227">
            <v>2.0135229020000001</v>
          </cell>
          <cell r="G227">
            <v>0</v>
          </cell>
          <cell r="H227">
            <v>0.65864474080000002</v>
          </cell>
          <cell r="I227" t="str">
            <v>Other Household Travel</v>
          </cell>
          <cell r="J227" t="str">
            <v>2017/18</v>
          </cell>
        </row>
        <row r="228">
          <cell r="A228" t="str">
            <v>03 WAIKATO</v>
          </cell>
          <cell r="B228">
            <v>9</v>
          </cell>
          <cell r="C228">
            <v>2023</v>
          </cell>
          <cell r="D228">
            <v>17</v>
          </cell>
          <cell r="E228">
            <v>46</v>
          </cell>
          <cell r="F228">
            <v>2.1248313519000002</v>
          </cell>
          <cell r="G228">
            <v>0</v>
          </cell>
          <cell r="H228">
            <v>0.67759649519999998</v>
          </cell>
          <cell r="I228" t="str">
            <v>Other Household Travel</v>
          </cell>
          <cell r="J228" t="str">
            <v>2022/23</v>
          </cell>
        </row>
        <row r="229">
          <cell r="A229" t="str">
            <v>03 WAIKATO</v>
          </cell>
          <cell r="B229">
            <v>9</v>
          </cell>
          <cell r="C229">
            <v>2028</v>
          </cell>
          <cell r="D229">
            <v>17</v>
          </cell>
          <cell r="E229">
            <v>46</v>
          </cell>
          <cell r="F229">
            <v>2.2213623219</v>
          </cell>
          <cell r="G229">
            <v>0</v>
          </cell>
          <cell r="H229">
            <v>0.67909130390000005</v>
          </cell>
          <cell r="I229" t="str">
            <v>Other Household Travel</v>
          </cell>
          <cell r="J229" t="str">
            <v>2027/28</v>
          </cell>
        </row>
        <row r="230">
          <cell r="A230" t="str">
            <v>03 WAIKATO</v>
          </cell>
          <cell r="B230">
            <v>9</v>
          </cell>
          <cell r="C230">
            <v>2033</v>
          </cell>
          <cell r="D230">
            <v>17</v>
          </cell>
          <cell r="E230">
            <v>46</v>
          </cell>
          <cell r="F230">
            <v>2.3544325535000001</v>
          </cell>
          <cell r="G230">
            <v>0</v>
          </cell>
          <cell r="H230">
            <v>0.67869345110000001</v>
          </cell>
          <cell r="I230" t="str">
            <v>Other Household Travel</v>
          </cell>
          <cell r="J230" t="str">
            <v>2032/33</v>
          </cell>
        </row>
        <row r="231">
          <cell r="A231" t="str">
            <v>03 WAIKATO</v>
          </cell>
          <cell r="B231">
            <v>9</v>
          </cell>
          <cell r="C231">
            <v>2038</v>
          </cell>
          <cell r="D231">
            <v>17</v>
          </cell>
          <cell r="E231">
            <v>46</v>
          </cell>
          <cell r="F231">
            <v>2.4175919336999998</v>
          </cell>
          <cell r="G231">
            <v>0</v>
          </cell>
          <cell r="H231">
            <v>0.67244219790000004</v>
          </cell>
          <cell r="I231" t="str">
            <v>Other Household Travel</v>
          </cell>
          <cell r="J231" t="str">
            <v>2037/38</v>
          </cell>
        </row>
        <row r="232">
          <cell r="A232" t="str">
            <v>03 WAIKATO</v>
          </cell>
          <cell r="B232">
            <v>9</v>
          </cell>
          <cell r="C232">
            <v>2043</v>
          </cell>
          <cell r="D232">
            <v>17</v>
          </cell>
          <cell r="E232">
            <v>46</v>
          </cell>
          <cell r="F232">
            <v>2.3887015695999998</v>
          </cell>
          <cell r="G232">
            <v>0</v>
          </cell>
          <cell r="H232">
            <v>0.65020723209999998</v>
          </cell>
          <cell r="I232" t="str">
            <v>Other Household Travel</v>
          </cell>
          <cell r="J232" t="str">
            <v>2042/43</v>
          </cell>
        </row>
        <row r="233">
          <cell r="A233" t="str">
            <v>03 WAIKATO</v>
          </cell>
          <cell r="B233">
            <v>10</v>
          </cell>
          <cell r="C233">
            <v>2013</v>
          </cell>
          <cell r="D233">
            <v>18</v>
          </cell>
          <cell r="E233">
            <v>32</v>
          </cell>
          <cell r="F233">
            <v>0.92406733060000001</v>
          </cell>
          <cell r="G233">
            <v>54.768337629999998</v>
          </cell>
          <cell r="H233">
            <v>2.3234459650999999</v>
          </cell>
          <cell r="I233" t="str">
            <v>Air/Non-Local PT</v>
          </cell>
          <cell r="J233" t="str">
            <v>2012/13</v>
          </cell>
        </row>
        <row r="234">
          <cell r="A234" t="str">
            <v>03 WAIKATO</v>
          </cell>
          <cell r="B234">
            <v>10</v>
          </cell>
          <cell r="C234">
            <v>2018</v>
          </cell>
          <cell r="D234">
            <v>18</v>
          </cell>
          <cell r="E234">
            <v>32</v>
          </cell>
          <cell r="F234">
            <v>1.0254001501000001</v>
          </cell>
          <cell r="G234">
            <v>58.519535152000003</v>
          </cell>
          <cell r="H234">
            <v>2.5897311071</v>
          </cell>
          <cell r="I234" t="str">
            <v>Air/Non-Local PT</v>
          </cell>
          <cell r="J234" t="str">
            <v>2017/18</v>
          </cell>
        </row>
        <row r="235">
          <cell r="A235" t="str">
            <v>03 WAIKATO</v>
          </cell>
          <cell r="B235">
            <v>10</v>
          </cell>
          <cell r="C235">
            <v>2023</v>
          </cell>
          <cell r="D235">
            <v>18</v>
          </cell>
          <cell r="E235">
            <v>32</v>
          </cell>
          <cell r="F235">
            <v>1.1433761354</v>
          </cell>
          <cell r="G235">
            <v>61.705591978000001</v>
          </cell>
          <cell r="H235">
            <v>2.8340951893000002</v>
          </cell>
          <cell r="I235" t="str">
            <v>Air/Non-Local PT</v>
          </cell>
          <cell r="J235" t="str">
            <v>2022/23</v>
          </cell>
        </row>
        <row r="236">
          <cell r="A236" t="str">
            <v>03 WAIKATO</v>
          </cell>
          <cell r="B236">
            <v>10</v>
          </cell>
          <cell r="C236">
            <v>2028</v>
          </cell>
          <cell r="D236">
            <v>18</v>
          </cell>
          <cell r="E236">
            <v>32</v>
          </cell>
          <cell r="F236">
            <v>1.2775157846</v>
          </cell>
          <cell r="G236">
            <v>64.965502806000003</v>
          </cell>
          <cell r="H236">
            <v>3.2056210942000001</v>
          </cell>
          <cell r="I236" t="str">
            <v>Air/Non-Local PT</v>
          </cell>
          <cell r="J236" t="str">
            <v>2027/28</v>
          </cell>
        </row>
        <row r="237">
          <cell r="A237" t="str">
            <v>03 WAIKATO</v>
          </cell>
          <cell r="B237">
            <v>10</v>
          </cell>
          <cell r="C237">
            <v>2033</v>
          </cell>
          <cell r="D237">
            <v>18</v>
          </cell>
          <cell r="E237">
            <v>32</v>
          </cell>
          <cell r="F237">
            <v>1.3868558708000001</v>
          </cell>
          <cell r="G237">
            <v>69.262692997000002</v>
          </cell>
          <cell r="H237">
            <v>3.5058490554000001</v>
          </cell>
          <cell r="I237" t="str">
            <v>Air/Non-Local PT</v>
          </cell>
          <cell r="J237" t="str">
            <v>2032/33</v>
          </cell>
        </row>
        <row r="238">
          <cell r="A238" t="str">
            <v>03 WAIKATO</v>
          </cell>
          <cell r="B238">
            <v>10</v>
          </cell>
          <cell r="C238">
            <v>2038</v>
          </cell>
          <cell r="D238">
            <v>18</v>
          </cell>
          <cell r="E238">
            <v>32</v>
          </cell>
          <cell r="F238">
            <v>1.4652633698999999</v>
          </cell>
          <cell r="G238">
            <v>74.434476169000007</v>
          </cell>
          <cell r="H238">
            <v>3.5945635465999999</v>
          </cell>
          <cell r="I238" t="str">
            <v>Air/Non-Local PT</v>
          </cell>
          <cell r="J238" t="str">
            <v>2037/38</v>
          </cell>
        </row>
        <row r="239">
          <cell r="A239" t="str">
            <v>03 WAIKATO</v>
          </cell>
          <cell r="B239">
            <v>10</v>
          </cell>
          <cell r="C239">
            <v>2043</v>
          </cell>
          <cell r="D239">
            <v>18</v>
          </cell>
          <cell r="E239">
            <v>32</v>
          </cell>
          <cell r="F239">
            <v>1.542700964</v>
          </cell>
          <cell r="G239">
            <v>80.12679369</v>
          </cell>
          <cell r="H239">
            <v>3.6718965058999999</v>
          </cell>
          <cell r="I239" t="str">
            <v>Air/Non-Local PT</v>
          </cell>
          <cell r="J239" t="str">
            <v>2042/43</v>
          </cell>
        </row>
        <row r="240">
          <cell r="A240" t="str">
            <v>03 WAIKATO</v>
          </cell>
          <cell r="B240">
            <v>11</v>
          </cell>
          <cell r="C240">
            <v>2013</v>
          </cell>
          <cell r="D240">
            <v>52</v>
          </cell>
          <cell r="E240">
            <v>244</v>
          </cell>
          <cell r="F240">
            <v>8.7527428694000005</v>
          </cell>
          <cell r="G240">
            <v>166.86894676</v>
          </cell>
          <cell r="H240">
            <v>3.3327759721999999</v>
          </cell>
          <cell r="I240" t="str">
            <v>Non-Household Travel</v>
          </cell>
          <cell r="J240" t="str">
            <v>2012/13</v>
          </cell>
        </row>
        <row r="241">
          <cell r="A241" t="str">
            <v>03 WAIKATO</v>
          </cell>
          <cell r="B241">
            <v>11</v>
          </cell>
          <cell r="C241">
            <v>2018</v>
          </cell>
          <cell r="D241">
            <v>52</v>
          </cell>
          <cell r="E241">
            <v>244</v>
          </cell>
          <cell r="F241">
            <v>9.1104739896000009</v>
          </cell>
          <cell r="G241">
            <v>171.16717632000001</v>
          </cell>
          <cell r="H241">
            <v>3.4369504678</v>
          </cell>
          <cell r="I241" t="str">
            <v>Non-Household Travel</v>
          </cell>
          <cell r="J241" t="str">
            <v>2017/18</v>
          </cell>
        </row>
        <row r="242">
          <cell r="A242" t="str">
            <v>03 WAIKATO</v>
          </cell>
          <cell r="B242">
            <v>11</v>
          </cell>
          <cell r="C242">
            <v>2023</v>
          </cell>
          <cell r="D242">
            <v>52</v>
          </cell>
          <cell r="E242">
            <v>244</v>
          </cell>
          <cell r="F242">
            <v>9.2178153900000002</v>
          </cell>
          <cell r="G242">
            <v>172.85319709999999</v>
          </cell>
          <cell r="H242">
            <v>3.4740804974000001</v>
          </cell>
          <cell r="I242" t="str">
            <v>Non-Household Travel</v>
          </cell>
          <cell r="J242" t="str">
            <v>2022/23</v>
          </cell>
        </row>
        <row r="243">
          <cell r="A243" t="str">
            <v>03 WAIKATO</v>
          </cell>
          <cell r="B243">
            <v>11</v>
          </cell>
          <cell r="C243">
            <v>2028</v>
          </cell>
          <cell r="D243">
            <v>52</v>
          </cell>
          <cell r="E243">
            <v>244</v>
          </cell>
          <cell r="F243">
            <v>9.3626850333</v>
          </cell>
          <cell r="G243">
            <v>178.29019266</v>
          </cell>
          <cell r="H243">
            <v>3.5690151241999999</v>
          </cell>
          <cell r="I243" t="str">
            <v>Non-Household Travel</v>
          </cell>
          <cell r="J243" t="str">
            <v>2027/28</v>
          </cell>
        </row>
        <row r="244">
          <cell r="A244" t="str">
            <v>03 WAIKATO</v>
          </cell>
          <cell r="B244">
            <v>11</v>
          </cell>
          <cell r="C244">
            <v>2033</v>
          </cell>
          <cell r="D244">
            <v>52</v>
          </cell>
          <cell r="E244">
            <v>244</v>
          </cell>
          <cell r="F244">
            <v>9.5189366662000001</v>
          </cell>
          <cell r="G244">
            <v>185.33342224</v>
          </cell>
          <cell r="H244">
            <v>3.6856464273</v>
          </cell>
          <cell r="I244" t="str">
            <v>Non-Household Travel</v>
          </cell>
          <cell r="J244" t="str">
            <v>2032/33</v>
          </cell>
        </row>
        <row r="245">
          <cell r="A245" t="str">
            <v>03 WAIKATO</v>
          </cell>
          <cell r="B245">
            <v>11</v>
          </cell>
          <cell r="C245">
            <v>2038</v>
          </cell>
          <cell r="D245">
            <v>52</v>
          </cell>
          <cell r="E245">
            <v>244</v>
          </cell>
          <cell r="F245">
            <v>9.7155234560999997</v>
          </cell>
          <cell r="G245">
            <v>192.10237180999999</v>
          </cell>
          <cell r="H245">
            <v>3.8078684053999998</v>
          </cell>
          <cell r="I245" t="str">
            <v>Non-Household Travel</v>
          </cell>
          <cell r="J245" t="str">
            <v>2037/38</v>
          </cell>
        </row>
        <row r="246">
          <cell r="A246" t="str">
            <v>03 WAIKATO</v>
          </cell>
          <cell r="B246">
            <v>11</v>
          </cell>
          <cell r="C246">
            <v>2043</v>
          </cell>
          <cell r="D246">
            <v>52</v>
          </cell>
          <cell r="E246">
            <v>244</v>
          </cell>
          <cell r="F246">
            <v>9.8602518520999993</v>
          </cell>
          <cell r="G246">
            <v>197.93015933999999</v>
          </cell>
          <cell r="H246">
            <v>3.9103839455</v>
          </cell>
          <cell r="I246" t="str">
            <v>Non-Household Travel</v>
          </cell>
          <cell r="J246" t="str">
            <v>2042/43</v>
          </cell>
        </row>
        <row r="247">
          <cell r="A247" t="str">
            <v>04 BAY OF PLENTY</v>
          </cell>
          <cell r="B247">
            <v>0</v>
          </cell>
          <cell r="C247">
            <v>2013</v>
          </cell>
          <cell r="D247">
            <v>436</v>
          </cell>
          <cell r="E247">
            <v>1419</v>
          </cell>
          <cell r="F247">
            <v>43.402809341999998</v>
          </cell>
          <cell r="G247">
            <v>35.579183637</v>
          </cell>
          <cell r="H247">
            <v>9.1706746114000008</v>
          </cell>
          <cell r="I247" t="str">
            <v>Pedestrian</v>
          </cell>
          <cell r="J247" t="str">
            <v>2012/13</v>
          </cell>
        </row>
        <row r="248">
          <cell r="A248" t="str">
            <v>04 BAY OF PLENTY</v>
          </cell>
          <cell r="B248">
            <v>0</v>
          </cell>
          <cell r="C248">
            <v>2018</v>
          </cell>
          <cell r="D248">
            <v>436</v>
          </cell>
          <cell r="E248">
            <v>1419</v>
          </cell>
          <cell r="F248">
            <v>43.372110368999998</v>
          </cell>
          <cell r="G248">
            <v>34.790992879000001</v>
          </cell>
          <cell r="H248">
            <v>9.1231368286999999</v>
          </cell>
          <cell r="I248" t="str">
            <v>Pedestrian</v>
          </cell>
          <cell r="J248" t="str">
            <v>2017/18</v>
          </cell>
        </row>
        <row r="249">
          <cell r="A249" t="str">
            <v>04 BAY OF PLENTY</v>
          </cell>
          <cell r="B249">
            <v>0</v>
          </cell>
          <cell r="C249">
            <v>2023</v>
          </cell>
          <cell r="D249">
            <v>436</v>
          </cell>
          <cell r="E249">
            <v>1419</v>
          </cell>
          <cell r="F249">
            <v>43.995149914999999</v>
          </cell>
          <cell r="G249">
            <v>34.740502710000001</v>
          </cell>
          <cell r="H249">
            <v>9.2253754374000003</v>
          </cell>
          <cell r="I249" t="str">
            <v>Pedestrian</v>
          </cell>
          <cell r="J249" t="str">
            <v>2022/23</v>
          </cell>
        </row>
        <row r="250">
          <cell r="A250" t="str">
            <v>04 BAY OF PLENTY</v>
          </cell>
          <cell r="B250">
            <v>0</v>
          </cell>
          <cell r="C250">
            <v>2028</v>
          </cell>
          <cell r="D250">
            <v>436</v>
          </cell>
          <cell r="E250">
            <v>1419</v>
          </cell>
          <cell r="F250">
            <v>45.152885740999999</v>
          </cell>
          <cell r="G250">
            <v>34.816979435999997</v>
          </cell>
          <cell r="H250">
            <v>9.3384111796999996</v>
          </cell>
          <cell r="I250" t="str">
            <v>Pedestrian</v>
          </cell>
          <cell r="J250" t="str">
            <v>2027/28</v>
          </cell>
        </row>
        <row r="251">
          <cell r="A251" t="str">
            <v>04 BAY OF PLENTY</v>
          </cell>
          <cell r="B251">
            <v>0</v>
          </cell>
          <cell r="C251">
            <v>2033</v>
          </cell>
          <cell r="D251">
            <v>436</v>
          </cell>
          <cell r="E251">
            <v>1419</v>
          </cell>
          <cell r="F251">
            <v>45.919451062</v>
          </cell>
          <cell r="G251">
            <v>34.448423263999999</v>
          </cell>
          <cell r="H251">
            <v>9.3299146004000004</v>
          </cell>
          <cell r="I251" t="str">
            <v>Pedestrian</v>
          </cell>
          <cell r="J251" t="str">
            <v>2032/33</v>
          </cell>
        </row>
        <row r="252">
          <cell r="A252" t="str">
            <v>04 BAY OF PLENTY</v>
          </cell>
          <cell r="B252">
            <v>0</v>
          </cell>
          <cell r="C252">
            <v>2038</v>
          </cell>
          <cell r="D252">
            <v>436</v>
          </cell>
          <cell r="E252">
            <v>1419</v>
          </cell>
          <cell r="F252">
            <v>46.561837576000002</v>
          </cell>
          <cell r="G252">
            <v>34.190260559000002</v>
          </cell>
          <cell r="H252">
            <v>9.3014655286999997</v>
          </cell>
          <cell r="I252" t="str">
            <v>Pedestrian</v>
          </cell>
          <cell r="J252" t="str">
            <v>2037/38</v>
          </cell>
        </row>
        <row r="253">
          <cell r="A253" t="str">
            <v>04 BAY OF PLENTY</v>
          </cell>
          <cell r="B253">
            <v>0</v>
          </cell>
          <cell r="C253">
            <v>2043</v>
          </cell>
          <cell r="D253">
            <v>436</v>
          </cell>
          <cell r="E253">
            <v>1419</v>
          </cell>
          <cell r="F253">
            <v>47.068287372</v>
          </cell>
          <cell r="G253">
            <v>33.855235813</v>
          </cell>
          <cell r="H253">
            <v>9.2469032937000009</v>
          </cell>
          <cell r="I253" t="str">
            <v>Pedestrian</v>
          </cell>
          <cell r="J253" t="str">
            <v>2042/43</v>
          </cell>
        </row>
        <row r="254">
          <cell r="A254" t="str">
            <v>04 BAY OF PLENTY</v>
          </cell>
          <cell r="B254">
            <v>1</v>
          </cell>
          <cell r="C254">
            <v>2013</v>
          </cell>
          <cell r="D254">
            <v>53</v>
          </cell>
          <cell r="E254">
            <v>183</v>
          </cell>
          <cell r="F254">
            <v>5.1579391552000002</v>
          </cell>
          <cell r="G254">
            <v>8.5028812633000008</v>
          </cell>
          <cell r="H254">
            <v>0.91801276549999999</v>
          </cell>
          <cell r="I254" t="str">
            <v>Cyclist</v>
          </cell>
          <cell r="J254" t="str">
            <v>2012/13</v>
          </cell>
        </row>
        <row r="255">
          <cell r="A255" t="str">
            <v>04 BAY OF PLENTY</v>
          </cell>
          <cell r="B255">
            <v>1</v>
          </cell>
          <cell r="C255">
            <v>2018</v>
          </cell>
          <cell r="D255">
            <v>53</v>
          </cell>
          <cell r="E255">
            <v>183</v>
          </cell>
          <cell r="F255">
            <v>4.9444556304000002</v>
          </cell>
          <cell r="G255">
            <v>8.1634751249999997</v>
          </cell>
          <cell r="H255">
            <v>0.87246196180000002</v>
          </cell>
          <cell r="I255" t="str">
            <v>Cyclist</v>
          </cell>
          <cell r="J255" t="str">
            <v>2017/18</v>
          </cell>
        </row>
        <row r="256">
          <cell r="A256" t="str">
            <v>04 BAY OF PLENTY</v>
          </cell>
          <cell r="B256">
            <v>1</v>
          </cell>
          <cell r="C256">
            <v>2023</v>
          </cell>
          <cell r="D256">
            <v>53</v>
          </cell>
          <cell r="E256">
            <v>183</v>
          </cell>
          <cell r="F256">
            <v>4.8500432681000003</v>
          </cell>
          <cell r="G256">
            <v>8.0152527414999994</v>
          </cell>
          <cell r="H256">
            <v>0.85065460429999995</v>
          </cell>
          <cell r="I256" t="str">
            <v>Cyclist</v>
          </cell>
          <cell r="J256" t="str">
            <v>2022/23</v>
          </cell>
        </row>
        <row r="257">
          <cell r="A257" t="str">
            <v>04 BAY OF PLENTY</v>
          </cell>
          <cell r="B257">
            <v>1</v>
          </cell>
          <cell r="C257">
            <v>2028</v>
          </cell>
          <cell r="D257">
            <v>53</v>
          </cell>
          <cell r="E257">
            <v>183</v>
          </cell>
          <cell r="F257">
            <v>4.9282689907000004</v>
          </cell>
          <cell r="G257">
            <v>8.1177348283999997</v>
          </cell>
          <cell r="H257">
            <v>0.85599727280000004</v>
          </cell>
          <cell r="I257" t="str">
            <v>Cyclist</v>
          </cell>
          <cell r="J257" t="str">
            <v>2027/28</v>
          </cell>
        </row>
        <row r="258">
          <cell r="A258" t="str">
            <v>04 BAY OF PLENTY</v>
          </cell>
          <cell r="B258">
            <v>1</v>
          </cell>
          <cell r="C258">
            <v>2033</v>
          </cell>
          <cell r="D258">
            <v>53</v>
          </cell>
          <cell r="E258">
            <v>183</v>
          </cell>
          <cell r="F258">
            <v>4.9497597988999997</v>
          </cell>
          <cell r="G258">
            <v>8.0581097381000006</v>
          </cell>
          <cell r="H258">
            <v>0.84902615749999999</v>
          </cell>
          <cell r="I258" t="str">
            <v>Cyclist</v>
          </cell>
          <cell r="J258" t="str">
            <v>2032/33</v>
          </cell>
        </row>
        <row r="259">
          <cell r="A259" t="str">
            <v>04 BAY OF PLENTY</v>
          </cell>
          <cell r="B259">
            <v>1</v>
          </cell>
          <cell r="C259">
            <v>2038</v>
          </cell>
          <cell r="D259">
            <v>53</v>
          </cell>
          <cell r="E259">
            <v>183</v>
          </cell>
          <cell r="F259">
            <v>4.9417954130000004</v>
          </cell>
          <cell r="G259">
            <v>8.0842583906000005</v>
          </cell>
          <cell r="H259">
            <v>0.84240488530000002</v>
          </cell>
          <cell r="I259" t="str">
            <v>Cyclist</v>
          </cell>
          <cell r="J259" t="str">
            <v>2037/38</v>
          </cell>
        </row>
        <row r="260">
          <cell r="A260" t="str">
            <v>04 BAY OF PLENTY</v>
          </cell>
          <cell r="B260">
            <v>1</v>
          </cell>
          <cell r="C260">
            <v>2043</v>
          </cell>
          <cell r="D260">
            <v>53</v>
          </cell>
          <cell r="E260">
            <v>183</v>
          </cell>
          <cell r="F260">
            <v>4.9165953797000004</v>
          </cell>
          <cell r="G260">
            <v>8.0943519877999996</v>
          </cell>
          <cell r="H260">
            <v>0.83391520279999998</v>
          </cell>
          <cell r="I260" t="str">
            <v>Cyclist</v>
          </cell>
          <cell r="J260" t="str">
            <v>2042/43</v>
          </cell>
        </row>
        <row r="261">
          <cell r="A261" t="str">
            <v>04 BAY OF PLENTY</v>
          </cell>
          <cell r="B261">
            <v>2</v>
          </cell>
          <cell r="C261">
            <v>2013</v>
          </cell>
          <cell r="D261">
            <v>777</v>
          </cell>
          <cell r="E261">
            <v>5260</v>
          </cell>
          <cell r="F261">
            <v>178.59124365</v>
          </cell>
          <cell r="G261">
            <v>1972.0747595</v>
          </cell>
          <cell r="H261">
            <v>45.59682093</v>
          </cell>
          <cell r="I261" t="str">
            <v>Light Vehicle Driver</v>
          </cell>
          <cell r="J261" t="str">
            <v>2012/13</v>
          </cell>
        </row>
        <row r="262">
          <cell r="A262" t="str">
            <v>04 BAY OF PLENTY</v>
          </cell>
          <cell r="B262">
            <v>2</v>
          </cell>
          <cell r="C262">
            <v>2018</v>
          </cell>
          <cell r="D262">
            <v>777</v>
          </cell>
          <cell r="E262">
            <v>5260</v>
          </cell>
          <cell r="F262">
            <v>182.18770501</v>
          </cell>
          <cell r="G262">
            <v>2042.3257997999999</v>
          </cell>
          <cell r="H262">
            <v>46.924778840000002</v>
          </cell>
          <cell r="I262" t="str">
            <v>Light Vehicle Driver</v>
          </cell>
          <cell r="J262" t="str">
            <v>2017/18</v>
          </cell>
        </row>
        <row r="263">
          <cell r="A263" t="str">
            <v>04 BAY OF PLENTY</v>
          </cell>
          <cell r="B263">
            <v>2</v>
          </cell>
          <cell r="C263">
            <v>2023</v>
          </cell>
          <cell r="D263">
            <v>777</v>
          </cell>
          <cell r="E263">
            <v>5260</v>
          </cell>
          <cell r="F263">
            <v>188.84163054000001</v>
          </cell>
          <cell r="G263">
            <v>2141.3896730000001</v>
          </cell>
          <cell r="H263">
            <v>48.980642240000002</v>
          </cell>
          <cell r="I263" t="str">
            <v>Light Vehicle Driver</v>
          </cell>
          <cell r="J263" t="str">
            <v>2022/23</v>
          </cell>
        </row>
        <row r="264">
          <cell r="A264" t="str">
            <v>04 BAY OF PLENTY</v>
          </cell>
          <cell r="B264">
            <v>2</v>
          </cell>
          <cell r="C264">
            <v>2028</v>
          </cell>
          <cell r="D264">
            <v>777</v>
          </cell>
          <cell r="E264">
            <v>5260</v>
          </cell>
          <cell r="F264">
            <v>198.75493283</v>
          </cell>
          <cell r="G264">
            <v>2278.1616451999998</v>
          </cell>
          <cell r="H264">
            <v>51.924729636999999</v>
          </cell>
          <cell r="I264" t="str">
            <v>Light Vehicle Driver</v>
          </cell>
          <cell r="J264" t="str">
            <v>2027/28</v>
          </cell>
        </row>
        <row r="265">
          <cell r="A265" t="str">
            <v>04 BAY OF PLENTY</v>
          </cell>
          <cell r="B265">
            <v>2</v>
          </cell>
          <cell r="C265">
            <v>2033</v>
          </cell>
          <cell r="D265">
            <v>777</v>
          </cell>
          <cell r="E265">
            <v>5260</v>
          </cell>
          <cell r="F265">
            <v>205.77851817000001</v>
          </cell>
          <cell r="G265">
            <v>2374.3043545999999</v>
          </cell>
          <cell r="H265">
            <v>54.023771197999999</v>
          </cell>
          <cell r="I265" t="str">
            <v>Light Vehicle Driver</v>
          </cell>
          <cell r="J265" t="str">
            <v>2032/33</v>
          </cell>
        </row>
        <row r="266">
          <cell r="A266" t="str">
            <v>04 BAY OF PLENTY</v>
          </cell>
          <cell r="B266">
            <v>2</v>
          </cell>
          <cell r="C266">
            <v>2038</v>
          </cell>
          <cell r="D266">
            <v>777</v>
          </cell>
          <cell r="E266">
            <v>5260</v>
          </cell>
          <cell r="F266">
            <v>208.99509796000001</v>
          </cell>
          <cell r="G266">
            <v>2420.4336051</v>
          </cell>
          <cell r="H266">
            <v>55.089980236999999</v>
          </cell>
          <cell r="I266" t="str">
            <v>Light Vehicle Driver</v>
          </cell>
          <cell r="J266" t="str">
            <v>2037/38</v>
          </cell>
        </row>
        <row r="267">
          <cell r="A267" t="str">
            <v>04 BAY OF PLENTY</v>
          </cell>
          <cell r="B267">
            <v>2</v>
          </cell>
          <cell r="C267">
            <v>2043</v>
          </cell>
          <cell r="D267">
            <v>777</v>
          </cell>
          <cell r="E267">
            <v>5260</v>
          </cell>
          <cell r="F267">
            <v>211.30127001</v>
          </cell>
          <cell r="G267">
            <v>2455.6110985</v>
          </cell>
          <cell r="H267">
            <v>55.933187685</v>
          </cell>
          <cell r="I267" t="str">
            <v>Light Vehicle Driver</v>
          </cell>
          <cell r="J267" t="str">
            <v>2042/43</v>
          </cell>
        </row>
        <row r="268">
          <cell r="A268" t="str">
            <v>04 BAY OF PLENTY</v>
          </cell>
          <cell r="B268">
            <v>3</v>
          </cell>
          <cell r="C268">
            <v>2013</v>
          </cell>
          <cell r="D268">
            <v>591</v>
          </cell>
          <cell r="E268">
            <v>2668</v>
          </cell>
          <cell r="F268">
            <v>98.719582360000004</v>
          </cell>
          <cell r="G268">
            <v>1385.2330090999999</v>
          </cell>
          <cell r="H268">
            <v>28.895615969000001</v>
          </cell>
          <cell r="I268" t="str">
            <v>Light Vehicle Passenger</v>
          </cell>
          <cell r="J268" t="str">
            <v>2012/13</v>
          </cell>
        </row>
        <row r="269">
          <cell r="A269" t="str">
            <v>04 BAY OF PLENTY</v>
          </cell>
          <cell r="B269">
            <v>3</v>
          </cell>
          <cell r="C269">
            <v>2018</v>
          </cell>
          <cell r="D269">
            <v>591</v>
          </cell>
          <cell r="E269">
            <v>2668</v>
          </cell>
          <cell r="F269">
            <v>96.854488774999993</v>
          </cell>
          <cell r="G269">
            <v>1434.7632172000001</v>
          </cell>
          <cell r="H269">
            <v>29.389756508000001</v>
          </cell>
          <cell r="I269" t="str">
            <v>Light Vehicle Passenger</v>
          </cell>
          <cell r="J269" t="str">
            <v>2017/18</v>
          </cell>
        </row>
        <row r="270">
          <cell r="A270" t="str">
            <v>04 BAY OF PLENTY</v>
          </cell>
          <cell r="B270">
            <v>3</v>
          </cell>
          <cell r="C270">
            <v>2023</v>
          </cell>
          <cell r="D270">
            <v>591</v>
          </cell>
          <cell r="E270">
            <v>2668</v>
          </cell>
          <cell r="F270">
            <v>96.308968105000005</v>
          </cell>
          <cell r="G270">
            <v>1486.2109055000001</v>
          </cell>
          <cell r="H270">
            <v>30.100385065000001</v>
          </cell>
          <cell r="I270" t="str">
            <v>Light Vehicle Passenger</v>
          </cell>
          <cell r="J270" t="str">
            <v>2022/23</v>
          </cell>
        </row>
        <row r="271">
          <cell r="A271" t="str">
            <v>04 BAY OF PLENTY</v>
          </cell>
          <cell r="B271">
            <v>3</v>
          </cell>
          <cell r="C271">
            <v>2028</v>
          </cell>
          <cell r="D271">
            <v>591</v>
          </cell>
          <cell r="E271">
            <v>2668</v>
          </cell>
          <cell r="F271">
            <v>97.190953843000003</v>
          </cell>
          <cell r="G271">
            <v>1545.3871498999999</v>
          </cell>
          <cell r="H271">
            <v>31.045389652000001</v>
          </cell>
          <cell r="I271" t="str">
            <v>Light Vehicle Passenger</v>
          </cell>
          <cell r="J271" t="str">
            <v>2027/28</v>
          </cell>
        </row>
        <row r="272">
          <cell r="A272" t="str">
            <v>04 BAY OF PLENTY</v>
          </cell>
          <cell r="B272">
            <v>3</v>
          </cell>
          <cell r="C272">
            <v>2033</v>
          </cell>
          <cell r="D272">
            <v>591</v>
          </cell>
          <cell r="E272">
            <v>2668</v>
          </cell>
          <cell r="F272">
            <v>97.427187984</v>
          </cell>
          <cell r="G272">
            <v>1575.3837180999999</v>
          </cell>
          <cell r="H272">
            <v>31.493922194</v>
          </cell>
          <cell r="I272" t="str">
            <v>Light Vehicle Passenger</v>
          </cell>
          <cell r="J272" t="str">
            <v>2032/33</v>
          </cell>
        </row>
        <row r="273">
          <cell r="A273" t="str">
            <v>04 BAY OF PLENTY</v>
          </cell>
          <cell r="B273">
            <v>3</v>
          </cell>
          <cell r="C273">
            <v>2038</v>
          </cell>
          <cell r="D273">
            <v>591</v>
          </cell>
          <cell r="E273">
            <v>2668</v>
          </cell>
          <cell r="F273">
            <v>97.174843167000006</v>
          </cell>
          <cell r="G273">
            <v>1592.4646315</v>
          </cell>
          <cell r="H273">
            <v>31.720440298</v>
          </cell>
          <cell r="I273" t="str">
            <v>Light Vehicle Passenger</v>
          </cell>
          <cell r="J273" t="str">
            <v>2037/38</v>
          </cell>
        </row>
        <row r="274">
          <cell r="A274" t="str">
            <v>04 BAY OF PLENTY</v>
          </cell>
          <cell r="B274">
            <v>3</v>
          </cell>
          <cell r="C274">
            <v>2043</v>
          </cell>
          <cell r="D274">
            <v>591</v>
          </cell>
          <cell r="E274">
            <v>2668</v>
          </cell>
          <cell r="F274">
            <v>96.611828657000004</v>
          </cell>
          <cell r="G274">
            <v>1603.5248200999999</v>
          </cell>
          <cell r="H274">
            <v>31.835575307999999</v>
          </cell>
          <cell r="I274" t="str">
            <v>Light Vehicle Passenger</v>
          </cell>
          <cell r="J274" t="str">
            <v>2042/43</v>
          </cell>
        </row>
        <row r="275">
          <cell r="A275" t="str">
            <v>04 BAY OF PLENTY</v>
          </cell>
          <cell r="B275">
            <v>4</v>
          </cell>
          <cell r="C275">
            <v>2013</v>
          </cell>
          <cell r="D275">
            <v>4</v>
          </cell>
          <cell r="E275">
            <v>8</v>
          </cell>
          <cell r="F275">
            <v>0.15552198610000001</v>
          </cell>
          <cell r="G275">
            <v>0.98369936449999995</v>
          </cell>
          <cell r="H275">
            <v>7.3048454499999999E-2</v>
          </cell>
          <cell r="J275" t="str">
            <v>2012/13</v>
          </cell>
        </row>
        <row r="276">
          <cell r="A276" t="str">
            <v>04 BAY OF PLENTY</v>
          </cell>
          <cell r="B276">
            <v>4</v>
          </cell>
          <cell r="C276">
            <v>2018</v>
          </cell>
          <cell r="D276">
            <v>4</v>
          </cell>
          <cell r="E276">
            <v>8</v>
          </cell>
          <cell r="F276">
            <v>0.1405204562</v>
          </cell>
          <cell r="G276">
            <v>0.88961446099999997</v>
          </cell>
          <cell r="H276">
            <v>6.6186346500000007E-2</v>
          </cell>
          <cell r="J276" t="str">
            <v>2017/18</v>
          </cell>
        </row>
        <row r="277">
          <cell r="A277" t="str">
            <v>04 BAY OF PLENTY</v>
          </cell>
          <cell r="B277">
            <v>4</v>
          </cell>
          <cell r="C277">
            <v>2023</v>
          </cell>
          <cell r="D277">
            <v>4</v>
          </cell>
          <cell r="E277">
            <v>8</v>
          </cell>
          <cell r="F277">
            <v>0.13009125229999999</v>
          </cell>
          <cell r="G277">
            <v>0.85643251509999996</v>
          </cell>
          <cell r="H277">
            <v>6.3705255500000002E-2</v>
          </cell>
          <cell r="J277" t="str">
            <v>2022/23</v>
          </cell>
        </row>
        <row r="278">
          <cell r="A278" t="str">
            <v>04 BAY OF PLENTY</v>
          </cell>
          <cell r="B278">
            <v>4</v>
          </cell>
          <cell r="C278">
            <v>2028</v>
          </cell>
          <cell r="D278">
            <v>4</v>
          </cell>
          <cell r="E278">
            <v>8</v>
          </cell>
          <cell r="F278">
            <v>0.1243562644</v>
          </cell>
          <cell r="G278">
            <v>0.86840002230000002</v>
          </cell>
          <cell r="H278">
            <v>6.4323127300000005E-2</v>
          </cell>
          <cell r="J278" t="str">
            <v>2027/28</v>
          </cell>
        </row>
        <row r="279">
          <cell r="A279" t="str">
            <v>04 BAY OF PLENTY</v>
          </cell>
          <cell r="B279">
            <v>4</v>
          </cell>
          <cell r="C279">
            <v>2033</v>
          </cell>
          <cell r="D279">
            <v>4</v>
          </cell>
          <cell r="E279">
            <v>8</v>
          </cell>
          <cell r="F279">
            <v>0.1188904566</v>
          </cell>
          <cell r="G279">
            <v>0.83907297010000004</v>
          </cell>
          <cell r="H279">
            <v>6.1791671300000003E-2</v>
          </cell>
          <cell r="J279" t="str">
            <v>2032/33</v>
          </cell>
        </row>
        <row r="280">
          <cell r="A280" t="str">
            <v>04 BAY OF PLENTY</v>
          </cell>
          <cell r="B280">
            <v>4</v>
          </cell>
          <cell r="C280">
            <v>2038</v>
          </cell>
          <cell r="D280">
            <v>4</v>
          </cell>
          <cell r="E280">
            <v>8</v>
          </cell>
          <cell r="F280">
            <v>0.115249093</v>
          </cell>
          <cell r="G280">
            <v>0.81564620629999995</v>
          </cell>
          <cell r="H280">
            <v>6.0084388699999998E-2</v>
          </cell>
          <cell r="J280" t="str">
            <v>2037/38</v>
          </cell>
        </row>
        <row r="281">
          <cell r="A281" t="str">
            <v>04 BAY OF PLENTY</v>
          </cell>
          <cell r="B281">
            <v>4</v>
          </cell>
          <cell r="C281">
            <v>2043</v>
          </cell>
          <cell r="D281">
            <v>4</v>
          </cell>
          <cell r="E281">
            <v>8</v>
          </cell>
          <cell r="F281">
            <v>0.1106888572</v>
          </cell>
          <cell r="G281">
            <v>0.78788008840000001</v>
          </cell>
          <cell r="H281">
            <v>5.8129013200000003E-2</v>
          </cell>
          <cell r="J281" t="str">
            <v>2042/43</v>
          </cell>
        </row>
        <row r="282">
          <cell r="A282" t="str">
            <v>04 BAY OF PLENTY</v>
          </cell>
          <cell r="B282">
            <v>5</v>
          </cell>
          <cell r="C282">
            <v>2013</v>
          </cell>
          <cell r="D282">
            <v>10</v>
          </cell>
          <cell r="E282">
            <v>40</v>
          </cell>
          <cell r="F282">
            <v>0.90641599910000004</v>
          </cell>
          <cell r="G282">
            <v>35.608960758999999</v>
          </cell>
          <cell r="H282">
            <v>0.60409197079999999</v>
          </cell>
          <cell r="I282" t="str">
            <v>Motorcyclist</v>
          </cell>
          <cell r="J282" t="str">
            <v>2012/13</v>
          </cell>
        </row>
        <row r="283">
          <cell r="A283" t="str">
            <v>04 BAY OF PLENTY</v>
          </cell>
          <cell r="B283">
            <v>5</v>
          </cell>
          <cell r="C283">
            <v>2018</v>
          </cell>
          <cell r="D283">
            <v>10</v>
          </cell>
          <cell r="E283">
            <v>40</v>
          </cell>
          <cell r="F283">
            <v>0.95061612230000003</v>
          </cell>
          <cell r="G283">
            <v>37.997833892999999</v>
          </cell>
          <cell r="H283">
            <v>0.64185001230000005</v>
          </cell>
          <cell r="I283" t="str">
            <v>Motorcyclist</v>
          </cell>
          <cell r="J283" t="str">
            <v>2017/18</v>
          </cell>
        </row>
        <row r="284">
          <cell r="A284" t="str">
            <v>04 BAY OF PLENTY</v>
          </cell>
          <cell r="B284">
            <v>5</v>
          </cell>
          <cell r="C284">
            <v>2023</v>
          </cell>
          <cell r="D284">
            <v>10</v>
          </cell>
          <cell r="E284">
            <v>40</v>
          </cell>
          <cell r="F284">
            <v>0.98734330370000001</v>
          </cell>
          <cell r="G284">
            <v>39.257677358999999</v>
          </cell>
          <cell r="H284">
            <v>0.66243605240000003</v>
          </cell>
          <cell r="I284" t="str">
            <v>Motorcyclist</v>
          </cell>
          <cell r="J284" t="str">
            <v>2022/23</v>
          </cell>
        </row>
        <row r="285">
          <cell r="A285" t="str">
            <v>04 BAY OF PLENTY</v>
          </cell>
          <cell r="B285">
            <v>5</v>
          </cell>
          <cell r="C285">
            <v>2028</v>
          </cell>
          <cell r="D285">
            <v>10</v>
          </cell>
          <cell r="E285">
            <v>40</v>
          </cell>
          <cell r="F285">
            <v>1.0275184917</v>
          </cell>
          <cell r="G285">
            <v>40.819015200999999</v>
          </cell>
          <cell r="H285">
            <v>0.68699899230000006</v>
          </cell>
          <cell r="I285" t="str">
            <v>Motorcyclist</v>
          </cell>
          <cell r="J285" t="str">
            <v>2027/28</v>
          </cell>
        </row>
        <row r="286">
          <cell r="A286" t="str">
            <v>04 BAY OF PLENTY</v>
          </cell>
          <cell r="B286">
            <v>5</v>
          </cell>
          <cell r="C286">
            <v>2033</v>
          </cell>
          <cell r="D286">
            <v>10</v>
          </cell>
          <cell r="E286">
            <v>40</v>
          </cell>
          <cell r="F286">
            <v>1.0397784501</v>
          </cell>
          <cell r="G286">
            <v>41.178987313999997</v>
          </cell>
          <cell r="H286">
            <v>0.69348004870000002</v>
          </cell>
          <cell r="I286" t="str">
            <v>Motorcyclist</v>
          </cell>
          <cell r="J286" t="str">
            <v>2032/33</v>
          </cell>
        </row>
        <row r="287">
          <cell r="A287" t="str">
            <v>04 BAY OF PLENTY</v>
          </cell>
          <cell r="B287">
            <v>5</v>
          </cell>
          <cell r="C287">
            <v>2038</v>
          </cell>
          <cell r="D287">
            <v>10</v>
          </cell>
          <cell r="E287">
            <v>40</v>
          </cell>
          <cell r="F287">
            <v>1.0238844961</v>
          </cell>
          <cell r="G287">
            <v>40.750946485</v>
          </cell>
          <cell r="H287">
            <v>0.68705663579999998</v>
          </cell>
          <cell r="I287" t="str">
            <v>Motorcyclist</v>
          </cell>
          <cell r="J287" t="str">
            <v>2037/38</v>
          </cell>
        </row>
        <row r="288">
          <cell r="A288" t="str">
            <v>04 BAY OF PLENTY</v>
          </cell>
          <cell r="B288">
            <v>5</v>
          </cell>
          <cell r="C288">
            <v>2043</v>
          </cell>
          <cell r="D288">
            <v>10</v>
          </cell>
          <cell r="E288">
            <v>40</v>
          </cell>
          <cell r="F288">
            <v>1.0004777245000001</v>
          </cell>
          <cell r="G288">
            <v>40.040919848000001</v>
          </cell>
          <cell r="H288">
            <v>0.67588049439999998</v>
          </cell>
          <cell r="I288" t="str">
            <v>Motorcyclist</v>
          </cell>
          <cell r="J288" t="str">
            <v>2042/43</v>
          </cell>
        </row>
        <row r="289">
          <cell r="A289" t="str">
            <v>04 BAY OF PLENTY</v>
          </cell>
          <cell r="B289">
            <v>7</v>
          </cell>
          <cell r="C289">
            <v>2013</v>
          </cell>
          <cell r="D289">
            <v>73</v>
          </cell>
          <cell r="E289">
            <v>194</v>
          </cell>
          <cell r="F289">
            <v>7.4672006229000001</v>
          </cell>
          <cell r="G289">
            <v>52.669440211999998</v>
          </cell>
          <cell r="H289">
            <v>2.9412276716000001</v>
          </cell>
          <cell r="I289" t="str">
            <v>Local Bus</v>
          </cell>
          <cell r="J289" t="str">
            <v>2012/13</v>
          </cell>
        </row>
        <row r="290">
          <cell r="A290" t="str">
            <v>04 BAY OF PLENTY</v>
          </cell>
          <cell r="B290">
            <v>7</v>
          </cell>
          <cell r="C290">
            <v>2018</v>
          </cell>
          <cell r="D290">
            <v>73</v>
          </cell>
          <cell r="E290">
            <v>194</v>
          </cell>
          <cell r="F290">
            <v>7.1614095521000003</v>
          </cell>
          <cell r="G290">
            <v>49.582888507</v>
          </cell>
          <cell r="H290">
            <v>2.7768122193</v>
          </cell>
          <cell r="I290" t="str">
            <v>Local Bus</v>
          </cell>
          <cell r="J290" t="str">
            <v>2017/18</v>
          </cell>
        </row>
        <row r="291">
          <cell r="A291" t="str">
            <v>04 BAY OF PLENTY</v>
          </cell>
          <cell r="B291">
            <v>7</v>
          </cell>
          <cell r="C291">
            <v>2023</v>
          </cell>
          <cell r="D291">
            <v>73</v>
          </cell>
          <cell r="E291">
            <v>194</v>
          </cell>
          <cell r="F291">
            <v>6.9729575610000003</v>
          </cell>
          <cell r="G291">
            <v>47.670083429999998</v>
          </cell>
          <cell r="H291">
            <v>2.6738167587000001</v>
          </cell>
          <cell r="I291" t="str">
            <v>Local Bus</v>
          </cell>
          <cell r="J291" t="str">
            <v>2022/23</v>
          </cell>
        </row>
        <row r="292">
          <cell r="A292" t="str">
            <v>04 BAY OF PLENTY</v>
          </cell>
          <cell r="B292">
            <v>7</v>
          </cell>
          <cell r="C292">
            <v>2028</v>
          </cell>
          <cell r="D292">
            <v>73</v>
          </cell>
          <cell r="E292">
            <v>194</v>
          </cell>
          <cell r="F292">
            <v>6.9442188356000001</v>
          </cell>
          <cell r="G292">
            <v>45.967398043999999</v>
          </cell>
          <cell r="H292">
            <v>2.6194087339999998</v>
          </cell>
          <cell r="I292" t="str">
            <v>Local Bus</v>
          </cell>
          <cell r="J292" t="str">
            <v>2027/28</v>
          </cell>
        </row>
        <row r="293">
          <cell r="A293" t="str">
            <v>04 BAY OF PLENTY</v>
          </cell>
          <cell r="B293">
            <v>7</v>
          </cell>
          <cell r="C293">
            <v>2033</v>
          </cell>
          <cell r="D293">
            <v>73</v>
          </cell>
          <cell r="E293">
            <v>194</v>
          </cell>
          <cell r="F293">
            <v>6.9026515985000003</v>
          </cell>
          <cell r="G293">
            <v>43.933462509000002</v>
          </cell>
          <cell r="H293">
            <v>2.5575959040999998</v>
          </cell>
          <cell r="I293" t="str">
            <v>Local Bus</v>
          </cell>
          <cell r="J293" t="str">
            <v>2032/33</v>
          </cell>
        </row>
        <row r="294">
          <cell r="A294" t="str">
            <v>04 BAY OF PLENTY</v>
          </cell>
          <cell r="B294">
            <v>7</v>
          </cell>
          <cell r="C294">
            <v>2038</v>
          </cell>
          <cell r="D294">
            <v>73</v>
          </cell>
          <cell r="E294">
            <v>194</v>
          </cell>
          <cell r="F294">
            <v>6.9038987928999997</v>
          </cell>
          <cell r="G294">
            <v>42.571029846000002</v>
          </cell>
          <cell r="H294">
            <v>2.5174347174</v>
          </cell>
          <cell r="I294" t="str">
            <v>Local Bus</v>
          </cell>
          <cell r="J294" t="str">
            <v>2037/38</v>
          </cell>
        </row>
        <row r="295">
          <cell r="A295" t="str">
            <v>04 BAY OF PLENTY</v>
          </cell>
          <cell r="B295">
            <v>7</v>
          </cell>
          <cell r="C295">
            <v>2043</v>
          </cell>
          <cell r="D295">
            <v>73</v>
          </cell>
          <cell r="E295">
            <v>194</v>
          </cell>
          <cell r="F295">
            <v>6.8770317354000001</v>
          </cell>
          <cell r="G295">
            <v>41.073932116999998</v>
          </cell>
          <cell r="H295">
            <v>2.4676767335999998</v>
          </cell>
          <cell r="I295" t="str">
            <v>Local Bus</v>
          </cell>
          <cell r="J295" t="str">
            <v>2042/43</v>
          </cell>
        </row>
        <row r="296">
          <cell r="A296" t="str">
            <v>04 BAY OF PLENTY</v>
          </cell>
          <cell r="B296">
            <v>9</v>
          </cell>
          <cell r="C296">
            <v>2013</v>
          </cell>
          <cell r="D296">
            <v>13</v>
          </cell>
          <cell r="E296">
            <v>34</v>
          </cell>
          <cell r="F296">
            <v>0.59853678389999998</v>
          </cell>
          <cell r="G296">
            <v>0</v>
          </cell>
          <cell r="H296">
            <v>0.21279540499999999</v>
          </cell>
          <cell r="I296" t="str">
            <v>Other Household Travel</v>
          </cell>
          <cell r="J296" t="str">
            <v>2012/13</v>
          </cell>
        </row>
        <row r="297">
          <cell r="A297" t="str">
            <v>04 BAY OF PLENTY</v>
          </cell>
          <cell r="B297">
            <v>9</v>
          </cell>
          <cell r="C297">
            <v>2018</v>
          </cell>
          <cell r="D297">
            <v>13</v>
          </cell>
          <cell r="E297">
            <v>34</v>
          </cell>
          <cell r="F297">
            <v>0.58026710999999997</v>
          </cell>
          <cell r="G297">
            <v>0</v>
          </cell>
          <cell r="H297">
            <v>0.21267646770000001</v>
          </cell>
          <cell r="I297" t="str">
            <v>Other Household Travel</v>
          </cell>
          <cell r="J297" t="str">
            <v>2017/18</v>
          </cell>
        </row>
        <row r="298">
          <cell r="A298" t="str">
            <v>04 BAY OF PLENTY</v>
          </cell>
          <cell r="B298">
            <v>9</v>
          </cell>
          <cell r="C298">
            <v>2023</v>
          </cell>
          <cell r="D298">
            <v>13</v>
          </cell>
          <cell r="E298">
            <v>34</v>
          </cell>
          <cell r="F298">
            <v>0.54579265690000001</v>
          </cell>
          <cell r="G298">
            <v>0</v>
          </cell>
          <cell r="H298">
            <v>0.20595571630000001</v>
          </cell>
          <cell r="I298" t="str">
            <v>Other Household Travel</v>
          </cell>
          <cell r="J298" t="str">
            <v>2022/23</v>
          </cell>
        </row>
        <row r="299">
          <cell r="A299" t="str">
            <v>04 BAY OF PLENTY</v>
          </cell>
          <cell r="B299">
            <v>9</v>
          </cell>
          <cell r="C299">
            <v>2028</v>
          </cell>
          <cell r="D299">
            <v>13</v>
          </cell>
          <cell r="E299">
            <v>34</v>
          </cell>
          <cell r="F299">
            <v>0.48802212379999999</v>
          </cell>
          <cell r="G299">
            <v>0</v>
          </cell>
          <cell r="H299">
            <v>0.18795076059999999</v>
          </cell>
          <cell r="I299" t="str">
            <v>Other Household Travel</v>
          </cell>
          <cell r="J299" t="str">
            <v>2027/28</v>
          </cell>
        </row>
        <row r="300">
          <cell r="A300" t="str">
            <v>04 BAY OF PLENTY</v>
          </cell>
          <cell r="B300">
            <v>9</v>
          </cell>
          <cell r="C300">
            <v>2033</v>
          </cell>
          <cell r="D300">
            <v>13</v>
          </cell>
          <cell r="E300">
            <v>34</v>
          </cell>
          <cell r="F300">
            <v>0.43866323229999998</v>
          </cell>
          <cell r="G300">
            <v>0</v>
          </cell>
          <cell r="H300">
            <v>0.16635084880000001</v>
          </cell>
          <cell r="I300" t="str">
            <v>Other Household Travel</v>
          </cell>
          <cell r="J300" t="str">
            <v>2032/33</v>
          </cell>
        </row>
        <row r="301">
          <cell r="A301" t="str">
            <v>04 BAY OF PLENTY</v>
          </cell>
          <cell r="B301">
            <v>9</v>
          </cell>
          <cell r="C301">
            <v>2038</v>
          </cell>
          <cell r="D301">
            <v>13</v>
          </cell>
          <cell r="E301">
            <v>34</v>
          </cell>
          <cell r="F301">
            <v>0.39988539899999997</v>
          </cell>
          <cell r="G301">
            <v>0</v>
          </cell>
          <cell r="H301">
            <v>0.1512496787</v>
          </cell>
          <cell r="I301" t="str">
            <v>Other Household Travel</v>
          </cell>
          <cell r="J301" t="str">
            <v>2037/38</v>
          </cell>
        </row>
        <row r="302">
          <cell r="A302" t="str">
            <v>04 BAY OF PLENTY</v>
          </cell>
          <cell r="B302">
            <v>9</v>
          </cell>
          <cell r="C302">
            <v>2043</v>
          </cell>
          <cell r="D302">
            <v>13</v>
          </cell>
          <cell r="E302">
            <v>34</v>
          </cell>
          <cell r="F302">
            <v>0.36400247390000001</v>
          </cell>
          <cell r="G302">
            <v>0</v>
          </cell>
          <cell r="H302">
            <v>0.13712991290000001</v>
          </cell>
          <cell r="I302" t="str">
            <v>Other Household Travel</v>
          </cell>
          <cell r="J302" t="str">
            <v>2042/43</v>
          </cell>
        </row>
        <row r="303">
          <cell r="A303" t="str">
            <v>04 BAY OF PLENTY</v>
          </cell>
          <cell r="B303">
            <v>10</v>
          </cell>
          <cell r="C303">
            <v>2013</v>
          </cell>
          <cell r="D303">
            <v>10</v>
          </cell>
          <cell r="E303">
            <v>20</v>
          </cell>
          <cell r="F303">
            <v>0.7132672793</v>
          </cell>
          <cell r="G303">
            <v>34.241381883000003</v>
          </cell>
          <cell r="H303">
            <v>1.7899343983</v>
          </cell>
          <cell r="I303" t="str">
            <v>Air/Non-Local PT</v>
          </cell>
          <cell r="J303" t="str">
            <v>2012/13</v>
          </cell>
        </row>
        <row r="304">
          <cell r="A304" t="str">
            <v>04 BAY OF PLENTY</v>
          </cell>
          <cell r="B304">
            <v>10</v>
          </cell>
          <cell r="C304">
            <v>2018</v>
          </cell>
          <cell r="D304">
            <v>10</v>
          </cell>
          <cell r="E304">
            <v>20</v>
          </cell>
          <cell r="F304">
            <v>0.74443794870000002</v>
          </cell>
          <cell r="G304">
            <v>36.605527549999998</v>
          </cell>
          <cell r="H304">
            <v>2.1315612314000001</v>
          </cell>
          <cell r="I304" t="str">
            <v>Air/Non-Local PT</v>
          </cell>
          <cell r="J304" t="str">
            <v>2017/18</v>
          </cell>
        </row>
        <row r="305">
          <cell r="A305" t="str">
            <v>04 BAY OF PLENTY</v>
          </cell>
          <cell r="B305">
            <v>10</v>
          </cell>
          <cell r="C305">
            <v>2023</v>
          </cell>
          <cell r="D305">
            <v>10</v>
          </cell>
          <cell r="E305">
            <v>20</v>
          </cell>
          <cell r="F305">
            <v>0.7790542265</v>
          </cell>
          <cell r="G305">
            <v>38.739281188</v>
          </cell>
          <cell r="H305">
            <v>2.4340122272000002</v>
          </cell>
          <cell r="I305" t="str">
            <v>Air/Non-Local PT</v>
          </cell>
          <cell r="J305" t="str">
            <v>2022/23</v>
          </cell>
        </row>
        <row r="306">
          <cell r="A306" t="str">
            <v>04 BAY OF PLENTY</v>
          </cell>
          <cell r="B306">
            <v>10</v>
          </cell>
          <cell r="C306">
            <v>2028</v>
          </cell>
          <cell r="D306">
            <v>10</v>
          </cell>
          <cell r="E306">
            <v>20</v>
          </cell>
          <cell r="F306">
            <v>0.80563002449999999</v>
          </cell>
          <cell r="G306">
            <v>40.701990647000002</v>
          </cell>
          <cell r="H306">
            <v>2.6170214948999999</v>
          </cell>
          <cell r="I306" t="str">
            <v>Air/Non-Local PT</v>
          </cell>
          <cell r="J306" t="str">
            <v>2027/28</v>
          </cell>
        </row>
        <row r="307">
          <cell r="A307" t="str">
            <v>04 BAY OF PLENTY</v>
          </cell>
          <cell r="B307">
            <v>10</v>
          </cell>
          <cell r="C307">
            <v>2033</v>
          </cell>
          <cell r="D307">
            <v>10</v>
          </cell>
          <cell r="E307">
            <v>20</v>
          </cell>
          <cell r="F307">
            <v>0.81690312639999996</v>
          </cell>
          <cell r="G307">
            <v>42.077485549999999</v>
          </cell>
          <cell r="H307">
            <v>2.6957184137999999</v>
          </cell>
          <cell r="I307" t="str">
            <v>Air/Non-Local PT</v>
          </cell>
          <cell r="J307" t="str">
            <v>2032/33</v>
          </cell>
        </row>
        <row r="308">
          <cell r="A308" t="str">
            <v>04 BAY OF PLENTY</v>
          </cell>
          <cell r="B308">
            <v>10</v>
          </cell>
          <cell r="C308">
            <v>2038</v>
          </cell>
          <cell r="D308">
            <v>10</v>
          </cell>
          <cell r="E308">
            <v>20</v>
          </cell>
          <cell r="F308">
            <v>0.85792493650000001</v>
          </cell>
          <cell r="G308">
            <v>46.830681435999999</v>
          </cell>
          <cell r="H308">
            <v>2.7792824808000001</v>
          </cell>
          <cell r="I308" t="str">
            <v>Air/Non-Local PT</v>
          </cell>
          <cell r="J308" t="str">
            <v>2037/38</v>
          </cell>
        </row>
        <row r="309">
          <cell r="A309" t="str">
            <v>04 BAY OF PLENTY</v>
          </cell>
          <cell r="B309">
            <v>10</v>
          </cell>
          <cell r="C309">
            <v>2043</v>
          </cell>
          <cell r="D309">
            <v>10</v>
          </cell>
          <cell r="E309">
            <v>20</v>
          </cell>
          <cell r="F309">
            <v>0.90061513770000001</v>
          </cell>
          <cell r="G309">
            <v>51.925700380000002</v>
          </cell>
          <cell r="H309">
            <v>2.8558188913000002</v>
          </cell>
          <cell r="I309" t="str">
            <v>Air/Non-Local PT</v>
          </cell>
          <cell r="J309" t="str">
            <v>2042/43</v>
          </cell>
        </row>
        <row r="310">
          <cell r="A310" t="str">
            <v>04 BAY OF PLENTY</v>
          </cell>
          <cell r="B310">
            <v>11</v>
          </cell>
          <cell r="C310">
            <v>2013</v>
          </cell>
          <cell r="D310">
            <v>6</v>
          </cell>
          <cell r="E310">
            <v>33</v>
          </cell>
          <cell r="F310">
            <v>1.4872690419000001</v>
          </cell>
          <cell r="G310">
            <v>13.901388431999999</v>
          </cell>
          <cell r="H310">
            <v>0.32958292379999998</v>
          </cell>
          <cell r="I310" t="str">
            <v>Non-Household Travel</v>
          </cell>
          <cell r="J310" t="str">
            <v>2012/13</v>
          </cell>
        </row>
        <row r="311">
          <cell r="A311" t="str">
            <v>04 BAY OF PLENTY</v>
          </cell>
          <cell r="B311">
            <v>11</v>
          </cell>
          <cell r="C311">
            <v>2018</v>
          </cell>
          <cell r="D311">
            <v>6</v>
          </cell>
          <cell r="E311">
            <v>33</v>
          </cell>
          <cell r="F311">
            <v>1.5864073910000001</v>
          </cell>
          <cell r="G311">
            <v>13.60787792</v>
          </cell>
          <cell r="H311">
            <v>0.33939279950000001</v>
          </cell>
          <cell r="I311" t="str">
            <v>Non-Household Travel</v>
          </cell>
          <cell r="J311" t="str">
            <v>2017/18</v>
          </cell>
        </row>
        <row r="312">
          <cell r="A312" t="str">
            <v>04 BAY OF PLENTY</v>
          </cell>
          <cell r="B312">
            <v>11</v>
          </cell>
          <cell r="C312">
            <v>2023</v>
          </cell>
          <cell r="D312">
            <v>6</v>
          </cell>
          <cell r="E312">
            <v>33</v>
          </cell>
          <cell r="F312">
            <v>1.6284751308000001</v>
          </cell>
          <cell r="G312">
            <v>13.062091462</v>
          </cell>
          <cell r="H312">
            <v>0.33925528510000003</v>
          </cell>
          <cell r="I312" t="str">
            <v>Non-Household Travel</v>
          </cell>
          <cell r="J312" t="str">
            <v>2022/23</v>
          </cell>
        </row>
        <row r="313">
          <cell r="A313" t="str">
            <v>04 BAY OF PLENTY</v>
          </cell>
          <cell r="B313">
            <v>11</v>
          </cell>
          <cell r="C313">
            <v>2028</v>
          </cell>
          <cell r="D313">
            <v>6</v>
          </cell>
          <cell r="E313">
            <v>33</v>
          </cell>
          <cell r="F313">
            <v>1.6633846364</v>
          </cell>
          <cell r="G313">
            <v>12.631686267999999</v>
          </cell>
          <cell r="H313">
            <v>0.33820705740000001</v>
          </cell>
          <cell r="I313" t="str">
            <v>Non-Household Travel</v>
          </cell>
          <cell r="J313" t="str">
            <v>2027/28</v>
          </cell>
        </row>
        <row r="314">
          <cell r="A314" t="str">
            <v>04 BAY OF PLENTY</v>
          </cell>
          <cell r="B314">
            <v>11</v>
          </cell>
          <cell r="C314">
            <v>2033</v>
          </cell>
          <cell r="D314">
            <v>6</v>
          </cell>
          <cell r="E314">
            <v>33</v>
          </cell>
          <cell r="F314">
            <v>1.6749065005999999</v>
          </cell>
          <cell r="G314">
            <v>12.412343742999999</v>
          </cell>
          <cell r="H314">
            <v>0.33646584550000003</v>
          </cell>
          <cell r="I314" t="str">
            <v>Non-Household Travel</v>
          </cell>
          <cell r="J314" t="str">
            <v>2032/33</v>
          </cell>
        </row>
        <row r="315">
          <cell r="A315" t="str">
            <v>04 BAY OF PLENTY</v>
          </cell>
          <cell r="B315">
            <v>11</v>
          </cell>
          <cell r="C315">
            <v>2038</v>
          </cell>
          <cell r="D315">
            <v>6</v>
          </cell>
          <cell r="E315">
            <v>33</v>
          </cell>
          <cell r="F315">
            <v>1.6841030782999999</v>
          </cell>
          <cell r="G315">
            <v>12.323303376</v>
          </cell>
          <cell r="H315">
            <v>0.33621020140000002</v>
          </cell>
          <cell r="I315" t="str">
            <v>Non-Household Travel</v>
          </cell>
          <cell r="J315" t="str">
            <v>2037/38</v>
          </cell>
        </row>
        <row r="316">
          <cell r="A316" t="str">
            <v>04 BAY OF PLENTY</v>
          </cell>
          <cell r="B316">
            <v>11</v>
          </cell>
          <cell r="C316">
            <v>2043</v>
          </cell>
          <cell r="D316">
            <v>6</v>
          </cell>
          <cell r="E316">
            <v>33</v>
          </cell>
          <cell r="F316">
            <v>1.6799741741000001</v>
          </cell>
          <cell r="G316">
            <v>12.079705097</v>
          </cell>
          <cell r="H316">
            <v>0.33275858740000003</v>
          </cell>
          <cell r="I316" t="str">
            <v>Non-Household Travel</v>
          </cell>
          <cell r="J316" t="str">
            <v>2042/43</v>
          </cell>
        </row>
        <row r="317">
          <cell r="A317" t="str">
            <v>05 GISBORNE</v>
          </cell>
          <cell r="B317">
            <v>0</v>
          </cell>
          <cell r="C317">
            <v>2013</v>
          </cell>
          <cell r="D317">
            <v>242</v>
          </cell>
          <cell r="E317">
            <v>910</v>
          </cell>
          <cell r="F317">
            <v>12.564280467</v>
          </cell>
          <cell r="G317">
            <v>7.5635235767999998</v>
          </cell>
          <cell r="H317">
            <v>2.2694063563000002</v>
          </cell>
          <cell r="I317" t="str">
            <v>Pedestrian</v>
          </cell>
          <cell r="J317" t="str">
            <v>2012/13</v>
          </cell>
        </row>
        <row r="318">
          <cell r="A318" t="str">
            <v>05 GISBORNE</v>
          </cell>
          <cell r="B318">
            <v>0</v>
          </cell>
          <cell r="C318">
            <v>2018</v>
          </cell>
          <cell r="D318">
            <v>242</v>
          </cell>
          <cell r="E318">
            <v>910</v>
          </cell>
          <cell r="F318">
            <v>12.027814319000001</v>
          </cell>
          <cell r="G318">
            <v>7.2552094140000003</v>
          </cell>
          <cell r="H318">
            <v>2.1452482674</v>
          </cell>
          <cell r="I318" t="str">
            <v>Pedestrian</v>
          </cell>
          <cell r="J318" t="str">
            <v>2017/18</v>
          </cell>
        </row>
        <row r="319">
          <cell r="A319" t="str">
            <v>05 GISBORNE</v>
          </cell>
          <cell r="B319">
            <v>0</v>
          </cell>
          <cell r="C319">
            <v>2023</v>
          </cell>
          <cell r="D319">
            <v>242</v>
          </cell>
          <cell r="E319">
            <v>910</v>
          </cell>
          <cell r="F319">
            <v>11.536277094000001</v>
          </cell>
          <cell r="G319">
            <v>7.0004881509999999</v>
          </cell>
          <cell r="H319">
            <v>2.0338131262000001</v>
          </cell>
          <cell r="I319" t="str">
            <v>Pedestrian</v>
          </cell>
          <cell r="J319" t="str">
            <v>2022/23</v>
          </cell>
        </row>
        <row r="320">
          <cell r="A320" t="str">
            <v>05 GISBORNE</v>
          </cell>
          <cell r="B320">
            <v>0</v>
          </cell>
          <cell r="C320">
            <v>2028</v>
          </cell>
          <cell r="D320">
            <v>242</v>
          </cell>
          <cell r="E320">
            <v>910</v>
          </cell>
          <cell r="F320">
            <v>11.208667079</v>
          </cell>
          <cell r="G320">
            <v>6.8967704684999998</v>
          </cell>
          <cell r="H320">
            <v>1.9720493110999999</v>
          </cell>
          <cell r="I320" t="str">
            <v>Pedestrian</v>
          </cell>
          <cell r="J320" t="str">
            <v>2027/28</v>
          </cell>
        </row>
        <row r="321">
          <cell r="A321" t="str">
            <v>05 GISBORNE</v>
          </cell>
          <cell r="B321">
            <v>0</v>
          </cell>
          <cell r="C321">
            <v>2033</v>
          </cell>
          <cell r="D321">
            <v>242</v>
          </cell>
          <cell r="E321">
            <v>910</v>
          </cell>
          <cell r="F321">
            <v>10.813413696</v>
          </cell>
          <cell r="G321">
            <v>6.7636561305000003</v>
          </cell>
          <cell r="H321">
            <v>1.9070143397999999</v>
          </cell>
          <cell r="I321" t="str">
            <v>Pedestrian</v>
          </cell>
          <cell r="J321" t="str">
            <v>2032/33</v>
          </cell>
        </row>
        <row r="322">
          <cell r="A322" t="str">
            <v>05 GISBORNE</v>
          </cell>
          <cell r="B322">
            <v>0</v>
          </cell>
          <cell r="C322">
            <v>2038</v>
          </cell>
          <cell r="D322">
            <v>242</v>
          </cell>
          <cell r="E322">
            <v>910</v>
          </cell>
          <cell r="F322">
            <v>10.397675804</v>
          </cell>
          <cell r="G322">
            <v>6.5489439032999996</v>
          </cell>
          <cell r="H322">
            <v>1.8349818942</v>
          </cell>
          <cell r="I322" t="str">
            <v>Pedestrian</v>
          </cell>
          <cell r="J322" t="str">
            <v>2037/38</v>
          </cell>
        </row>
        <row r="323">
          <cell r="A323" t="str">
            <v>05 GISBORNE</v>
          </cell>
          <cell r="B323">
            <v>0</v>
          </cell>
          <cell r="C323">
            <v>2043</v>
          </cell>
          <cell r="D323">
            <v>242</v>
          </cell>
          <cell r="E323">
            <v>910</v>
          </cell>
          <cell r="F323">
            <v>9.9906845094999994</v>
          </cell>
          <cell r="G323">
            <v>6.3600363009000001</v>
          </cell>
          <cell r="H323">
            <v>1.7654359237999999</v>
          </cell>
          <cell r="I323" t="str">
            <v>Pedestrian</v>
          </cell>
          <cell r="J323" t="str">
            <v>2042/43</v>
          </cell>
        </row>
        <row r="324">
          <cell r="A324" t="str">
            <v>05 GISBORNE</v>
          </cell>
          <cell r="B324">
            <v>1</v>
          </cell>
          <cell r="C324">
            <v>2013</v>
          </cell>
          <cell r="D324">
            <v>27</v>
          </cell>
          <cell r="E324">
            <v>100</v>
          </cell>
          <cell r="F324">
            <v>1.1119455742</v>
          </cell>
          <cell r="G324">
            <v>3.8031873472000002</v>
          </cell>
          <cell r="H324">
            <v>0.28046850410000002</v>
          </cell>
          <cell r="I324" t="str">
            <v>Cyclist</v>
          </cell>
          <cell r="J324" t="str">
            <v>2012/13</v>
          </cell>
        </row>
        <row r="325">
          <cell r="A325" t="str">
            <v>05 GISBORNE</v>
          </cell>
          <cell r="B325">
            <v>1</v>
          </cell>
          <cell r="C325">
            <v>2018</v>
          </cell>
          <cell r="D325">
            <v>27</v>
          </cell>
          <cell r="E325">
            <v>100</v>
          </cell>
          <cell r="F325">
            <v>1.0553586051999999</v>
          </cell>
          <cell r="G325">
            <v>3.4125129915999999</v>
          </cell>
          <cell r="H325">
            <v>0.25736887819999998</v>
          </cell>
          <cell r="I325" t="str">
            <v>Cyclist</v>
          </cell>
          <cell r="J325" t="str">
            <v>2017/18</v>
          </cell>
        </row>
        <row r="326">
          <cell r="A326" t="str">
            <v>05 GISBORNE</v>
          </cell>
          <cell r="B326">
            <v>1</v>
          </cell>
          <cell r="C326">
            <v>2023</v>
          </cell>
          <cell r="D326">
            <v>27</v>
          </cell>
          <cell r="E326">
            <v>100</v>
          </cell>
          <cell r="F326">
            <v>1.0209961311</v>
          </cell>
          <cell r="G326">
            <v>3.1860215773</v>
          </cell>
          <cell r="H326">
            <v>0.24146255380000001</v>
          </cell>
          <cell r="I326" t="str">
            <v>Cyclist</v>
          </cell>
          <cell r="J326" t="str">
            <v>2022/23</v>
          </cell>
        </row>
        <row r="327">
          <cell r="A327" t="str">
            <v>05 GISBORNE</v>
          </cell>
          <cell r="B327">
            <v>1</v>
          </cell>
          <cell r="C327">
            <v>2028</v>
          </cell>
          <cell r="D327">
            <v>27</v>
          </cell>
          <cell r="E327">
            <v>100</v>
          </cell>
          <cell r="F327">
            <v>0.95888166450000001</v>
          </cell>
          <cell r="G327">
            <v>2.8562106812999999</v>
          </cell>
          <cell r="H327">
            <v>0.21699228509999999</v>
          </cell>
          <cell r="I327" t="str">
            <v>Cyclist</v>
          </cell>
          <cell r="J327" t="str">
            <v>2027/28</v>
          </cell>
        </row>
        <row r="328">
          <cell r="A328" t="str">
            <v>05 GISBORNE</v>
          </cell>
          <cell r="B328">
            <v>1</v>
          </cell>
          <cell r="C328">
            <v>2033</v>
          </cell>
          <cell r="D328">
            <v>27</v>
          </cell>
          <cell r="E328">
            <v>100</v>
          </cell>
          <cell r="F328">
            <v>0.88622468060000004</v>
          </cell>
          <cell r="G328">
            <v>2.5182691677000002</v>
          </cell>
          <cell r="H328">
            <v>0.1942846631</v>
          </cell>
          <cell r="I328" t="str">
            <v>Cyclist</v>
          </cell>
          <cell r="J328" t="str">
            <v>2032/33</v>
          </cell>
        </row>
        <row r="329">
          <cell r="A329" t="str">
            <v>05 GISBORNE</v>
          </cell>
          <cell r="B329">
            <v>1</v>
          </cell>
          <cell r="C329">
            <v>2038</v>
          </cell>
          <cell r="D329">
            <v>27</v>
          </cell>
          <cell r="E329">
            <v>100</v>
          </cell>
          <cell r="F329">
            <v>0.81702453730000002</v>
          </cell>
          <cell r="G329">
            <v>2.1961050489999998</v>
          </cell>
          <cell r="H329">
            <v>0.1745637937</v>
          </cell>
          <cell r="I329" t="str">
            <v>Cyclist</v>
          </cell>
          <cell r="J329" t="str">
            <v>2037/38</v>
          </cell>
        </row>
        <row r="330">
          <cell r="A330" t="str">
            <v>05 GISBORNE</v>
          </cell>
          <cell r="B330">
            <v>1</v>
          </cell>
          <cell r="C330">
            <v>2043</v>
          </cell>
          <cell r="D330">
            <v>27</v>
          </cell>
          <cell r="E330">
            <v>100</v>
          </cell>
          <cell r="F330">
            <v>0.75471389649999998</v>
          </cell>
          <cell r="G330">
            <v>1.9231667240999999</v>
          </cell>
          <cell r="H330">
            <v>0.15752245919999999</v>
          </cell>
          <cell r="I330" t="str">
            <v>Cyclist</v>
          </cell>
          <cell r="J330" t="str">
            <v>2042/43</v>
          </cell>
        </row>
        <row r="331">
          <cell r="A331" t="str">
            <v>05 GISBORNE</v>
          </cell>
          <cell r="B331">
            <v>2</v>
          </cell>
          <cell r="C331">
            <v>2013</v>
          </cell>
          <cell r="D331">
            <v>319</v>
          </cell>
          <cell r="E331">
            <v>2307</v>
          </cell>
          <cell r="F331">
            <v>28.776347379000001</v>
          </cell>
          <cell r="G331">
            <v>241.40144318</v>
          </cell>
          <cell r="H331">
            <v>6.0182660548999998</v>
          </cell>
          <cell r="I331" t="str">
            <v>Light Vehicle Driver</v>
          </cell>
          <cell r="J331" t="str">
            <v>2012/13</v>
          </cell>
        </row>
        <row r="332">
          <cell r="A332" t="str">
            <v>05 GISBORNE</v>
          </cell>
          <cell r="B332">
            <v>2</v>
          </cell>
          <cell r="C332">
            <v>2018</v>
          </cell>
          <cell r="D332">
            <v>319</v>
          </cell>
          <cell r="E332">
            <v>2307</v>
          </cell>
          <cell r="F332">
            <v>29.136343494999998</v>
          </cell>
          <cell r="G332">
            <v>248.97396578999999</v>
          </cell>
          <cell r="H332">
            <v>6.1848439588000002</v>
          </cell>
          <cell r="I332" t="str">
            <v>Light Vehicle Driver</v>
          </cell>
          <cell r="J332" t="str">
            <v>2017/18</v>
          </cell>
        </row>
        <row r="333">
          <cell r="A333" t="str">
            <v>05 GISBORNE</v>
          </cell>
          <cell r="B333">
            <v>2</v>
          </cell>
          <cell r="C333">
            <v>2023</v>
          </cell>
          <cell r="D333">
            <v>319</v>
          </cell>
          <cell r="E333">
            <v>2307</v>
          </cell>
          <cell r="F333">
            <v>28.894610711999999</v>
          </cell>
          <cell r="G333">
            <v>248.88907699000001</v>
          </cell>
          <cell r="H333">
            <v>6.1917898603000001</v>
          </cell>
          <cell r="I333" t="str">
            <v>Light Vehicle Driver</v>
          </cell>
          <cell r="J333" t="str">
            <v>2022/23</v>
          </cell>
        </row>
        <row r="334">
          <cell r="A334" t="str">
            <v>05 GISBORNE</v>
          </cell>
          <cell r="B334">
            <v>2</v>
          </cell>
          <cell r="C334">
            <v>2028</v>
          </cell>
          <cell r="D334">
            <v>319</v>
          </cell>
          <cell r="E334">
            <v>2307</v>
          </cell>
          <cell r="F334">
            <v>28.589899851999999</v>
          </cell>
          <cell r="G334">
            <v>247.77314451000001</v>
          </cell>
          <cell r="H334">
            <v>6.1761674920000003</v>
          </cell>
          <cell r="I334" t="str">
            <v>Light Vehicle Driver</v>
          </cell>
          <cell r="J334" t="str">
            <v>2027/28</v>
          </cell>
        </row>
        <row r="335">
          <cell r="A335" t="str">
            <v>05 GISBORNE</v>
          </cell>
          <cell r="B335">
            <v>2</v>
          </cell>
          <cell r="C335">
            <v>2033</v>
          </cell>
          <cell r="D335">
            <v>319</v>
          </cell>
          <cell r="E335">
            <v>2307</v>
          </cell>
          <cell r="F335">
            <v>28.122597312</v>
          </cell>
          <cell r="G335">
            <v>245.72992592</v>
          </cell>
          <cell r="H335">
            <v>6.1245430435000001</v>
          </cell>
          <cell r="I335" t="str">
            <v>Light Vehicle Driver</v>
          </cell>
          <cell r="J335" t="str">
            <v>2032/33</v>
          </cell>
        </row>
        <row r="336">
          <cell r="A336" t="str">
            <v>05 GISBORNE</v>
          </cell>
          <cell r="B336">
            <v>2</v>
          </cell>
          <cell r="C336">
            <v>2038</v>
          </cell>
          <cell r="D336">
            <v>319</v>
          </cell>
          <cell r="E336">
            <v>2307</v>
          </cell>
          <cell r="F336">
            <v>27.647387493</v>
          </cell>
          <cell r="G336">
            <v>243.42898123000001</v>
          </cell>
          <cell r="H336">
            <v>6.0668537531000002</v>
          </cell>
          <cell r="I336" t="str">
            <v>Light Vehicle Driver</v>
          </cell>
          <cell r="J336" t="str">
            <v>2037/38</v>
          </cell>
        </row>
        <row r="337">
          <cell r="A337" t="str">
            <v>05 GISBORNE</v>
          </cell>
          <cell r="B337">
            <v>2</v>
          </cell>
          <cell r="C337">
            <v>2043</v>
          </cell>
          <cell r="D337">
            <v>319</v>
          </cell>
          <cell r="E337">
            <v>2307</v>
          </cell>
          <cell r="F337">
            <v>27.110034266</v>
          </cell>
          <cell r="G337">
            <v>240.35040748</v>
          </cell>
          <cell r="H337">
            <v>5.9957586016000004</v>
          </cell>
          <cell r="I337" t="str">
            <v>Light Vehicle Driver</v>
          </cell>
          <cell r="J337" t="str">
            <v>2042/43</v>
          </cell>
        </row>
        <row r="338">
          <cell r="A338" t="str">
            <v>05 GISBORNE</v>
          </cell>
          <cell r="B338">
            <v>3</v>
          </cell>
          <cell r="C338">
            <v>2013</v>
          </cell>
          <cell r="D338">
            <v>278</v>
          </cell>
          <cell r="E338">
            <v>1431</v>
          </cell>
          <cell r="F338">
            <v>18.791024854</v>
          </cell>
          <cell r="G338">
            <v>174.74236519999999</v>
          </cell>
          <cell r="H338">
            <v>4.5909579553000004</v>
          </cell>
          <cell r="I338" t="str">
            <v>Light Vehicle Passenger</v>
          </cell>
          <cell r="J338" t="str">
            <v>2012/13</v>
          </cell>
        </row>
        <row r="339">
          <cell r="A339" t="str">
            <v>05 GISBORNE</v>
          </cell>
          <cell r="B339">
            <v>3</v>
          </cell>
          <cell r="C339">
            <v>2018</v>
          </cell>
          <cell r="D339">
            <v>278</v>
          </cell>
          <cell r="E339">
            <v>1431</v>
          </cell>
          <cell r="F339">
            <v>17.520618199000001</v>
          </cell>
          <cell r="G339">
            <v>164.46782039000001</v>
          </cell>
          <cell r="H339">
            <v>4.3586438357999997</v>
          </cell>
          <cell r="I339" t="str">
            <v>Light Vehicle Passenger</v>
          </cell>
          <cell r="J339" t="str">
            <v>2017/18</v>
          </cell>
        </row>
        <row r="340">
          <cell r="A340" t="str">
            <v>05 GISBORNE</v>
          </cell>
          <cell r="B340">
            <v>3</v>
          </cell>
          <cell r="C340">
            <v>2023</v>
          </cell>
          <cell r="D340">
            <v>278</v>
          </cell>
          <cell r="E340">
            <v>1431</v>
          </cell>
          <cell r="F340">
            <v>16.409874857999998</v>
          </cell>
          <cell r="G340">
            <v>155.70298459</v>
          </cell>
          <cell r="H340">
            <v>4.1435630797999998</v>
          </cell>
          <cell r="I340" t="str">
            <v>Light Vehicle Passenger</v>
          </cell>
          <cell r="J340" t="str">
            <v>2022/23</v>
          </cell>
        </row>
        <row r="341">
          <cell r="A341" t="str">
            <v>05 GISBORNE</v>
          </cell>
          <cell r="B341">
            <v>3</v>
          </cell>
          <cell r="C341">
            <v>2028</v>
          </cell>
          <cell r="D341">
            <v>278</v>
          </cell>
          <cell r="E341">
            <v>1431</v>
          </cell>
          <cell r="F341">
            <v>15.425398207000001</v>
          </cell>
          <cell r="G341">
            <v>148.30914981000001</v>
          </cell>
          <cell r="H341">
            <v>3.9432734617</v>
          </cell>
          <cell r="I341" t="str">
            <v>Light Vehicle Passenger</v>
          </cell>
          <cell r="J341" t="str">
            <v>2027/28</v>
          </cell>
        </row>
        <row r="342">
          <cell r="A342" t="str">
            <v>05 GISBORNE</v>
          </cell>
          <cell r="B342">
            <v>3</v>
          </cell>
          <cell r="C342">
            <v>2033</v>
          </cell>
          <cell r="D342">
            <v>278</v>
          </cell>
          <cell r="E342">
            <v>1431</v>
          </cell>
          <cell r="F342">
            <v>14.528901376</v>
          </cell>
          <cell r="G342">
            <v>139.64882908999999</v>
          </cell>
          <cell r="H342">
            <v>3.7175013019000001</v>
          </cell>
          <cell r="I342" t="str">
            <v>Light Vehicle Passenger</v>
          </cell>
          <cell r="J342" t="str">
            <v>2032/33</v>
          </cell>
        </row>
        <row r="343">
          <cell r="A343" t="str">
            <v>05 GISBORNE</v>
          </cell>
          <cell r="B343">
            <v>3</v>
          </cell>
          <cell r="C343">
            <v>2038</v>
          </cell>
          <cell r="D343">
            <v>278</v>
          </cell>
          <cell r="E343">
            <v>1431</v>
          </cell>
          <cell r="F343">
            <v>13.823290866000001</v>
          </cell>
          <cell r="G343">
            <v>132.51400441000001</v>
          </cell>
          <cell r="H343">
            <v>3.5553156835999999</v>
          </cell>
          <cell r="I343" t="str">
            <v>Light Vehicle Passenger</v>
          </cell>
          <cell r="J343" t="str">
            <v>2037/38</v>
          </cell>
        </row>
        <row r="344">
          <cell r="A344" t="str">
            <v>05 GISBORNE</v>
          </cell>
          <cell r="B344">
            <v>3</v>
          </cell>
          <cell r="C344">
            <v>2043</v>
          </cell>
          <cell r="D344">
            <v>278</v>
          </cell>
          <cell r="E344">
            <v>1431</v>
          </cell>
          <cell r="F344">
            <v>13.123630538</v>
          </cell>
          <cell r="G344">
            <v>125.56188837000001</v>
          </cell>
          <cell r="H344">
            <v>3.4009293736999999</v>
          </cell>
          <cell r="I344" t="str">
            <v>Light Vehicle Passenger</v>
          </cell>
          <cell r="J344" t="str">
            <v>2042/43</v>
          </cell>
        </row>
        <row r="345">
          <cell r="A345" t="str">
            <v>05 GISBORNE</v>
          </cell>
          <cell r="B345">
            <v>4</v>
          </cell>
          <cell r="C345">
            <v>2013</v>
          </cell>
          <cell r="D345">
            <v>2</v>
          </cell>
          <cell r="E345">
            <v>2</v>
          </cell>
          <cell r="F345">
            <v>2.27015811E-2</v>
          </cell>
          <cell r="G345">
            <v>0.1174510768</v>
          </cell>
          <cell r="H345">
            <v>5.0534828E-3</v>
          </cell>
          <cell r="J345" t="str">
            <v>2012/13</v>
          </cell>
        </row>
        <row r="346">
          <cell r="A346" t="str">
            <v>05 GISBORNE</v>
          </cell>
          <cell r="B346">
            <v>4</v>
          </cell>
          <cell r="C346">
            <v>2018</v>
          </cell>
          <cell r="D346">
            <v>2</v>
          </cell>
          <cell r="E346">
            <v>2</v>
          </cell>
          <cell r="F346">
            <v>2.4493477699999999E-2</v>
          </cell>
          <cell r="G346">
            <v>0.1623226676</v>
          </cell>
          <cell r="H346">
            <v>6.7854517999999999E-3</v>
          </cell>
          <cell r="J346" t="str">
            <v>2017/18</v>
          </cell>
        </row>
        <row r="347">
          <cell r="A347" t="str">
            <v>05 GISBORNE</v>
          </cell>
          <cell r="B347">
            <v>4</v>
          </cell>
          <cell r="C347">
            <v>2023</v>
          </cell>
          <cell r="D347">
            <v>2</v>
          </cell>
          <cell r="E347">
            <v>2</v>
          </cell>
          <cell r="F347">
            <v>2.89300215E-2</v>
          </cell>
          <cell r="G347">
            <v>0.23263389800000001</v>
          </cell>
          <cell r="H347">
            <v>9.5463777000000007E-3</v>
          </cell>
          <cell r="J347" t="str">
            <v>2022/23</v>
          </cell>
        </row>
        <row r="348">
          <cell r="A348" t="str">
            <v>05 GISBORNE</v>
          </cell>
          <cell r="B348">
            <v>4</v>
          </cell>
          <cell r="C348">
            <v>2028</v>
          </cell>
          <cell r="D348">
            <v>2</v>
          </cell>
          <cell r="E348">
            <v>2</v>
          </cell>
          <cell r="F348">
            <v>3.63353114E-2</v>
          </cell>
          <cell r="G348">
            <v>0.33599282660000002</v>
          </cell>
          <cell r="H348">
            <v>1.3630504599999999E-2</v>
          </cell>
          <cell r="J348" t="str">
            <v>2027/28</v>
          </cell>
        </row>
        <row r="349">
          <cell r="A349" t="str">
            <v>05 GISBORNE</v>
          </cell>
          <cell r="B349">
            <v>4</v>
          </cell>
          <cell r="C349">
            <v>2033</v>
          </cell>
          <cell r="D349">
            <v>2</v>
          </cell>
          <cell r="E349">
            <v>2</v>
          </cell>
          <cell r="F349">
            <v>4.3766067999999998E-2</v>
          </cell>
          <cell r="G349">
            <v>0.44888665840000003</v>
          </cell>
          <cell r="H349">
            <v>1.8072403800000001E-2</v>
          </cell>
          <cell r="J349" t="str">
            <v>2032/33</v>
          </cell>
        </row>
        <row r="350">
          <cell r="A350" t="str">
            <v>05 GISBORNE</v>
          </cell>
          <cell r="B350">
            <v>4</v>
          </cell>
          <cell r="C350">
            <v>2038</v>
          </cell>
          <cell r="D350">
            <v>2</v>
          </cell>
          <cell r="E350">
            <v>2</v>
          </cell>
          <cell r="F350">
            <v>4.9484892799999999E-2</v>
          </cell>
          <cell r="G350">
            <v>0.52828800300000001</v>
          </cell>
          <cell r="H350">
            <v>2.12107367E-2</v>
          </cell>
          <cell r="J350" t="str">
            <v>2037/38</v>
          </cell>
        </row>
        <row r="351">
          <cell r="A351" t="str">
            <v>05 GISBORNE</v>
          </cell>
          <cell r="B351">
            <v>4</v>
          </cell>
          <cell r="C351">
            <v>2043</v>
          </cell>
          <cell r="D351">
            <v>2</v>
          </cell>
          <cell r="E351">
            <v>2</v>
          </cell>
          <cell r="F351">
            <v>5.60723375E-2</v>
          </cell>
          <cell r="G351">
            <v>0.62011667479999999</v>
          </cell>
          <cell r="H351">
            <v>2.4839495100000001E-2</v>
          </cell>
          <cell r="J351" t="str">
            <v>2042/43</v>
          </cell>
        </row>
        <row r="352">
          <cell r="A352" t="str">
            <v>05 GISBORNE</v>
          </cell>
          <cell r="B352">
            <v>5</v>
          </cell>
          <cell r="C352">
            <v>2013</v>
          </cell>
          <cell r="D352">
            <v>3</v>
          </cell>
          <cell r="E352">
            <v>16</v>
          </cell>
          <cell r="F352">
            <v>0.20072163900000001</v>
          </cell>
          <cell r="G352">
            <v>0.95186353219999997</v>
          </cell>
          <cell r="H352">
            <v>4.6418087199999999E-2</v>
          </cell>
          <cell r="I352" t="str">
            <v>Motorcyclist</v>
          </cell>
          <cell r="J352" t="str">
            <v>2012/13</v>
          </cell>
        </row>
        <row r="353">
          <cell r="A353" t="str">
            <v>05 GISBORNE</v>
          </cell>
          <cell r="B353">
            <v>5</v>
          </cell>
          <cell r="C353">
            <v>2018</v>
          </cell>
          <cell r="D353">
            <v>3</v>
          </cell>
          <cell r="E353">
            <v>16</v>
          </cell>
          <cell r="F353">
            <v>0.19992462229999999</v>
          </cell>
          <cell r="G353">
            <v>0.97433629160000002</v>
          </cell>
          <cell r="H353">
            <v>4.6273164399999997E-2</v>
          </cell>
          <cell r="I353" t="str">
            <v>Motorcyclist</v>
          </cell>
          <cell r="J353" t="str">
            <v>2017/18</v>
          </cell>
        </row>
        <row r="354">
          <cell r="A354" t="str">
            <v>05 GISBORNE</v>
          </cell>
          <cell r="B354">
            <v>5</v>
          </cell>
          <cell r="C354">
            <v>2023</v>
          </cell>
          <cell r="D354">
            <v>3</v>
          </cell>
          <cell r="E354">
            <v>16</v>
          </cell>
          <cell r="F354">
            <v>0.1891430871</v>
          </cell>
          <cell r="G354">
            <v>0.94457033199999996</v>
          </cell>
          <cell r="H354">
            <v>4.3836975799999997E-2</v>
          </cell>
          <cell r="I354" t="str">
            <v>Motorcyclist</v>
          </cell>
          <cell r="J354" t="str">
            <v>2022/23</v>
          </cell>
        </row>
        <row r="355">
          <cell r="A355" t="str">
            <v>05 GISBORNE</v>
          </cell>
          <cell r="B355">
            <v>5</v>
          </cell>
          <cell r="C355">
            <v>2028</v>
          </cell>
          <cell r="D355">
            <v>3</v>
          </cell>
          <cell r="E355">
            <v>16</v>
          </cell>
          <cell r="F355">
            <v>0.1751213093</v>
          </cell>
          <cell r="G355">
            <v>0.89185890739999996</v>
          </cell>
          <cell r="H355">
            <v>4.0836764800000001E-2</v>
          </cell>
          <cell r="I355" t="str">
            <v>Motorcyclist</v>
          </cell>
          <cell r="J355" t="str">
            <v>2027/28</v>
          </cell>
        </row>
        <row r="356">
          <cell r="A356" t="str">
            <v>05 GISBORNE</v>
          </cell>
          <cell r="B356">
            <v>5</v>
          </cell>
          <cell r="C356">
            <v>2033</v>
          </cell>
          <cell r="D356">
            <v>3</v>
          </cell>
          <cell r="E356">
            <v>16</v>
          </cell>
          <cell r="F356">
            <v>0.1623271694</v>
          </cell>
          <cell r="G356">
            <v>0.82265852510000004</v>
          </cell>
          <cell r="H356">
            <v>3.8021242500000003E-2</v>
          </cell>
          <cell r="I356" t="str">
            <v>Motorcyclist</v>
          </cell>
          <cell r="J356" t="str">
            <v>2032/33</v>
          </cell>
        </row>
        <row r="357">
          <cell r="A357" t="str">
            <v>05 GISBORNE</v>
          </cell>
          <cell r="B357">
            <v>5</v>
          </cell>
          <cell r="C357">
            <v>2038</v>
          </cell>
          <cell r="D357">
            <v>3</v>
          </cell>
          <cell r="E357">
            <v>16</v>
          </cell>
          <cell r="F357">
            <v>0.15268022270000001</v>
          </cell>
          <cell r="G357">
            <v>0.7571903794</v>
          </cell>
          <cell r="H357">
            <v>3.5852383100000003E-2</v>
          </cell>
          <cell r="I357" t="str">
            <v>Motorcyclist</v>
          </cell>
          <cell r="J357" t="str">
            <v>2037/38</v>
          </cell>
        </row>
        <row r="358">
          <cell r="A358" t="str">
            <v>05 GISBORNE</v>
          </cell>
          <cell r="B358">
            <v>5</v>
          </cell>
          <cell r="C358">
            <v>2043</v>
          </cell>
          <cell r="D358">
            <v>3</v>
          </cell>
          <cell r="E358">
            <v>16</v>
          </cell>
          <cell r="F358">
            <v>0.14237726610000001</v>
          </cell>
          <cell r="G358">
            <v>0.69245113039999995</v>
          </cell>
          <cell r="H358">
            <v>3.3523906399999998E-2</v>
          </cell>
          <cell r="I358" t="str">
            <v>Motorcyclist</v>
          </cell>
          <cell r="J358" t="str">
            <v>2042/43</v>
          </cell>
        </row>
        <row r="359">
          <cell r="A359" t="str">
            <v>05 GISBORNE</v>
          </cell>
          <cell r="B359">
            <v>6</v>
          </cell>
          <cell r="C359">
            <v>2013</v>
          </cell>
          <cell r="D359">
            <v>1</v>
          </cell>
          <cell r="E359">
            <v>3</v>
          </cell>
          <cell r="F359">
            <v>2.2764127700000001E-2</v>
          </cell>
          <cell r="G359">
            <v>0</v>
          </cell>
          <cell r="H359">
            <v>2.5293475000000001E-3</v>
          </cell>
          <cell r="I359" t="str">
            <v>Local Train</v>
          </cell>
          <cell r="J359" t="str">
            <v>2012/13</v>
          </cell>
        </row>
        <row r="360">
          <cell r="A360" t="str">
            <v>05 GISBORNE</v>
          </cell>
          <cell r="B360">
            <v>6</v>
          </cell>
          <cell r="C360">
            <v>2018</v>
          </cell>
          <cell r="D360">
            <v>1</v>
          </cell>
          <cell r="E360">
            <v>3</v>
          </cell>
          <cell r="F360">
            <v>3.39525585E-2</v>
          </cell>
          <cell r="G360">
            <v>0</v>
          </cell>
          <cell r="H360">
            <v>3.7696370000000002E-3</v>
          </cell>
          <cell r="I360" t="str">
            <v>Local Train</v>
          </cell>
          <cell r="J360" t="str">
            <v>2017/18</v>
          </cell>
        </row>
        <row r="361">
          <cell r="A361" t="str">
            <v>05 GISBORNE</v>
          </cell>
          <cell r="B361">
            <v>6</v>
          </cell>
          <cell r="C361">
            <v>2023</v>
          </cell>
          <cell r="D361">
            <v>1</v>
          </cell>
          <cell r="E361">
            <v>3</v>
          </cell>
          <cell r="F361">
            <v>5.08184198E-2</v>
          </cell>
          <cell r="G361">
            <v>0</v>
          </cell>
          <cell r="H361">
            <v>5.6387481999999999E-3</v>
          </cell>
          <cell r="I361" t="str">
            <v>Local Train</v>
          </cell>
          <cell r="J361" t="str">
            <v>2022/23</v>
          </cell>
        </row>
        <row r="362">
          <cell r="A362" t="str">
            <v>05 GISBORNE</v>
          </cell>
          <cell r="B362">
            <v>6</v>
          </cell>
          <cell r="C362">
            <v>2028</v>
          </cell>
          <cell r="D362">
            <v>1</v>
          </cell>
          <cell r="E362">
            <v>3</v>
          </cell>
          <cell r="F362">
            <v>7.5033515499999995E-2</v>
          </cell>
          <cell r="G362">
            <v>0</v>
          </cell>
          <cell r="H362">
            <v>8.3189331999999998E-3</v>
          </cell>
          <cell r="I362" t="str">
            <v>Local Train</v>
          </cell>
          <cell r="J362" t="str">
            <v>2027/28</v>
          </cell>
        </row>
        <row r="363">
          <cell r="A363" t="str">
            <v>05 GISBORNE</v>
          </cell>
          <cell r="B363">
            <v>6</v>
          </cell>
          <cell r="C363">
            <v>2033</v>
          </cell>
          <cell r="D363">
            <v>1</v>
          </cell>
          <cell r="E363">
            <v>3</v>
          </cell>
          <cell r="F363">
            <v>0.1014271294</v>
          </cell>
          <cell r="G363">
            <v>0</v>
          </cell>
          <cell r="H363">
            <v>1.1235868E-2</v>
          </cell>
          <cell r="I363" t="str">
            <v>Local Train</v>
          </cell>
          <cell r="J363" t="str">
            <v>2032/33</v>
          </cell>
        </row>
        <row r="364">
          <cell r="A364" t="str">
            <v>05 GISBORNE</v>
          </cell>
          <cell r="B364">
            <v>6</v>
          </cell>
          <cell r="C364">
            <v>2038</v>
          </cell>
          <cell r="D364">
            <v>1</v>
          </cell>
          <cell r="E364">
            <v>3</v>
          </cell>
          <cell r="F364">
            <v>0.11951622169999999</v>
          </cell>
          <cell r="G364">
            <v>0</v>
          </cell>
          <cell r="H364">
            <v>1.3230828199999999E-2</v>
          </cell>
          <cell r="I364" t="str">
            <v>Local Train</v>
          </cell>
          <cell r="J364" t="str">
            <v>2037/38</v>
          </cell>
        </row>
        <row r="365">
          <cell r="A365" t="str">
            <v>05 GISBORNE</v>
          </cell>
          <cell r="B365">
            <v>6</v>
          </cell>
          <cell r="C365">
            <v>2043</v>
          </cell>
          <cell r="D365">
            <v>1</v>
          </cell>
          <cell r="E365">
            <v>3</v>
          </cell>
          <cell r="F365">
            <v>0.14010619190000001</v>
          </cell>
          <cell r="G365">
            <v>0</v>
          </cell>
          <cell r="H365">
            <v>1.5496593899999999E-2</v>
          </cell>
          <cell r="I365" t="str">
            <v>Local Train</v>
          </cell>
          <cell r="J365" t="str">
            <v>2042/43</v>
          </cell>
        </row>
        <row r="366">
          <cell r="A366" t="str">
            <v>05 GISBORNE</v>
          </cell>
          <cell r="B366">
            <v>7</v>
          </cell>
          <cell r="C366">
            <v>2013</v>
          </cell>
          <cell r="D366">
            <v>18</v>
          </cell>
          <cell r="E366">
            <v>34</v>
          </cell>
          <cell r="F366">
            <v>0.39415976190000002</v>
          </cell>
          <cell r="G366">
            <v>4.8778387282000004</v>
          </cell>
          <cell r="H366">
            <v>0.17812381360000001</v>
          </cell>
          <cell r="I366" t="str">
            <v>Local Bus</v>
          </cell>
          <cell r="J366" t="str">
            <v>2012/13</v>
          </cell>
        </row>
        <row r="367">
          <cell r="A367" t="str">
            <v>05 GISBORNE</v>
          </cell>
          <cell r="B367">
            <v>7</v>
          </cell>
          <cell r="C367">
            <v>2018</v>
          </cell>
          <cell r="D367">
            <v>18</v>
          </cell>
          <cell r="E367">
            <v>34</v>
          </cell>
          <cell r="F367">
            <v>0.3538737542</v>
          </cell>
          <cell r="G367">
            <v>4.3392558229000002</v>
          </cell>
          <cell r="H367">
            <v>0.15996836489999999</v>
          </cell>
          <cell r="I367" t="str">
            <v>Local Bus</v>
          </cell>
          <cell r="J367" t="str">
            <v>2017/18</v>
          </cell>
        </row>
        <row r="368">
          <cell r="A368" t="str">
            <v>05 GISBORNE</v>
          </cell>
          <cell r="B368">
            <v>7</v>
          </cell>
          <cell r="C368">
            <v>2023</v>
          </cell>
          <cell r="D368">
            <v>18</v>
          </cell>
          <cell r="E368">
            <v>34</v>
          </cell>
          <cell r="F368">
            <v>0.32994547610000002</v>
          </cell>
          <cell r="G368">
            <v>3.9678924358000001</v>
          </cell>
          <cell r="H368">
            <v>0.1494327459</v>
          </cell>
          <cell r="I368" t="str">
            <v>Local Bus</v>
          </cell>
          <cell r="J368" t="str">
            <v>2022/23</v>
          </cell>
        </row>
        <row r="369">
          <cell r="A369" t="str">
            <v>05 GISBORNE</v>
          </cell>
          <cell r="B369">
            <v>7</v>
          </cell>
          <cell r="C369">
            <v>2028</v>
          </cell>
          <cell r="D369">
            <v>18</v>
          </cell>
          <cell r="E369">
            <v>34</v>
          </cell>
          <cell r="F369">
            <v>0.32498102670000001</v>
          </cell>
          <cell r="G369">
            <v>3.7072587056000001</v>
          </cell>
          <cell r="H369">
            <v>0.1465219804</v>
          </cell>
          <cell r="I369" t="str">
            <v>Local Bus</v>
          </cell>
          <cell r="J369" t="str">
            <v>2027/28</v>
          </cell>
        </row>
        <row r="370">
          <cell r="A370" t="str">
            <v>05 GISBORNE</v>
          </cell>
          <cell r="B370">
            <v>7</v>
          </cell>
          <cell r="C370">
            <v>2033</v>
          </cell>
          <cell r="D370">
            <v>18</v>
          </cell>
          <cell r="E370">
            <v>34</v>
          </cell>
          <cell r="F370">
            <v>0.32441346199999999</v>
          </cell>
          <cell r="G370">
            <v>3.3077991598000001</v>
          </cell>
          <cell r="H370">
            <v>0.14353467950000001</v>
          </cell>
          <cell r="I370" t="str">
            <v>Local Bus</v>
          </cell>
          <cell r="J370" t="str">
            <v>2032/33</v>
          </cell>
        </row>
        <row r="371">
          <cell r="A371" t="str">
            <v>05 GISBORNE</v>
          </cell>
          <cell r="B371">
            <v>7</v>
          </cell>
          <cell r="C371">
            <v>2038</v>
          </cell>
          <cell r="D371">
            <v>18</v>
          </cell>
          <cell r="E371">
            <v>34</v>
          </cell>
          <cell r="F371">
            <v>0.32167529490000002</v>
          </cell>
          <cell r="G371">
            <v>3.1270511717999998</v>
          </cell>
          <cell r="H371">
            <v>0.14365294710000001</v>
          </cell>
          <cell r="I371" t="str">
            <v>Local Bus</v>
          </cell>
          <cell r="J371" t="str">
            <v>2037/38</v>
          </cell>
        </row>
        <row r="372">
          <cell r="A372" t="str">
            <v>05 GISBORNE</v>
          </cell>
          <cell r="B372">
            <v>7</v>
          </cell>
          <cell r="C372">
            <v>2043</v>
          </cell>
          <cell r="D372">
            <v>18</v>
          </cell>
          <cell r="E372">
            <v>34</v>
          </cell>
          <cell r="F372">
            <v>0.32276267879999998</v>
          </cell>
          <cell r="G372">
            <v>2.9593226316000001</v>
          </cell>
          <cell r="H372">
            <v>0.14505059610000001</v>
          </cell>
          <cell r="I372" t="str">
            <v>Local Bus</v>
          </cell>
          <cell r="J372" t="str">
            <v>2042/43</v>
          </cell>
        </row>
        <row r="373">
          <cell r="A373" t="str">
            <v>05 GISBORNE</v>
          </cell>
          <cell r="B373">
            <v>8</v>
          </cell>
          <cell r="C373">
            <v>2013</v>
          </cell>
          <cell r="D373">
            <v>1</v>
          </cell>
          <cell r="E373">
            <v>2</v>
          </cell>
          <cell r="F373">
            <v>1.5651153399999999E-2</v>
          </cell>
          <cell r="G373">
            <v>0</v>
          </cell>
          <cell r="H373">
            <v>6.5213138999999998E-3</v>
          </cell>
          <cell r="I373" t="str">
            <v>Local Ferry</v>
          </cell>
          <cell r="J373" t="str">
            <v>2012/13</v>
          </cell>
        </row>
        <row r="374">
          <cell r="A374" t="str">
            <v>05 GISBORNE</v>
          </cell>
          <cell r="B374">
            <v>8</v>
          </cell>
          <cell r="C374">
            <v>2018</v>
          </cell>
          <cell r="D374">
            <v>1</v>
          </cell>
          <cell r="E374">
            <v>2</v>
          </cell>
          <cell r="F374">
            <v>1.49002232E-2</v>
          </cell>
          <cell r="G374">
            <v>0</v>
          </cell>
          <cell r="H374">
            <v>6.2084263000000001E-3</v>
          </cell>
          <cell r="I374" t="str">
            <v>Local Ferry</v>
          </cell>
          <cell r="J374" t="str">
            <v>2017/18</v>
          </cell>
        </row>
        <row r="375">
          <cell r="A375" t="str">
            <v>05 GISBORNE</v>
          </cell>
          <cell r="B375">
            <v>8</v>
          </cell>
          <cell r="C375">
            <v>2023</v>
          </cell>
          <cell r="D375">
            <v>1</v>
          </cell>
          <cell r="E375">
            <v>2</v>
          </cell>
          <cell r="F375">
            <v>1.3987027900000001E-2</v>
          </cell>
          <cell r="G375">
            <v>0</v>
          </cell>
          <cell r="H375">
            <v>5.8279283000000001E-3</v>
          </cell>
          <cell r="I375" t="str">
            <v>Local Ferry</v>
          </cell>
          <cell r="J375" t="str">
            <v>2022/23</v>
          </cell>
        </row>
        <row r="376">
          <cell r="A376" t="str">
            <v>05 GISBORNE</v>
          </cell>
          <cell r="B376">
            <v>8</v>
          </cell>
          <cell r="C376">
            <v>2028</v>
          </cell>
          <cell r="D376">
            <v>1</v>
          </cell>
          <cell r="E376">
            <v>2</v>
          </cell>
          <cell r="F376">
            <v>1.3669896399999999E-2</v>
          </cell>
          <cell r="G376">
            <v>0</v>
          </cell>
          <cell r="H376">
            <v>5.6957902000000001E-3</v>
          </cell>
          <cell r="I376" t="str">
            <v>Local Ferry</v>
          </cell>
          <cell r="J376" t="str">
            <v>2027/28</v>
          </cell>
        </row>
        <row r="377">
          <cell r="A377" t="str">
            <v>05 GISBORNE</v>
          </cell>
          <cell r="B377">
            <v>8</v>
          </cell>
          <cell r="C377">
            <v>2033</v>
          </cell>
          <cell r="D377">
            <v>1</v>
          </cell>
          <cell r="E377">
            <v>2</v>
          </cell>
          <cell r="F377">
            <v>1.50819252E-2</v>
          </cell>
          <cell r="G377">
            <v>0</v>
          </cell>
          <cell r="H377">
            <v>6.2841355000000003E-3</v>
          </cell>
          <cell r="I377" t="str">
            <v>Local Ferry</v>
          </cell>
          <cell r="J377" t="str">
            <v>2032/33</v>
          </cell>
        </row>
        <row r="378">
          <cell r="A378" t="str">
            <v>05 GISBORNE</v>
          </cell>
          <cell r="B378">
            <v>8</v>
          </cell>
          <cell r="C378">
            <v>2038</v>
          </cell>
          <cell r="D378">
            <v>1</v>
          </cell>
          <cell r="E378">
            <v>2</v>
          </cell>
          <cell r="F378">
            <v>1.78318069E-2</v>
          </cell>
          <cell r="G378">
            <v>0</v>
          </cell>
          <cell r="H378">
            <v>7.4299196000000003E-3</v>
          </cell>
          <cell r="I378" t="str">
            <v>Local Ferry</v>
          </cell>
          <cell r="J378" t="str">
            <v>2037/38</v>
          </cell>
        </row>
        <row r="379">
          <cell r="A379" t="str">
            <v>05 GISBORNE</v>
          </cell>
          <cell r="B379">
            <v>8</v>
          </cell>
          <cell r="C379">
            <v>2043</v>
          </cell>
          <cell r="D379">
            <v>1</v>
          </cell>
          <cell r="E379">
            <v>2</v>
          </cell>
          <cell r="F379">
            <v>2.0723639799999999E-2</v>
          </cell>
          <cell r="G379">
            <v>0</v>
          </cell>
          <cell r="H379">
            <v>8.6348498999999999E-3</v>
          </cell>
          <cell r="I379" t="str">
            <v>Local Ferry</v>
          </cell>
          <cell r="J379" t="str">
            <v>2042/43</v>
          </cell>
        </row>
        <row r="380">
          <cell r="A380" t="str">
            <v>05 GISBORNE</v>
          </cell>
          <cell r="B380">
            <v>9</v>
          </cell>
          <cell r="C380">
            <v>2013</v>
          </cell>
          <cell r="D380">
            <v>1</v>
          </cell>
          <cell r="E380">
            <v>2</v>
          </cell>
          <cell r="F380">
            <v>3.13358953E-2</v>
          </cell>
          <cell r="G380">
            <v>0</v>
          </cell>
          <cell r="H380">
            <v>5.2226492000000003E-3</v>
          </cell>
          <cell r="I380" t="str">
            <v>Other Household Travel</v>
          </cell>
          <cell r="J380" t="str">
            <v>2012/13</v>
          </cell>
        </row>
        <row r="381">
          <cell r="A381" t="str">
            <v>05 GISBORNE</v>
          </cell>
          <cell r="B381">
            <v>9</v>
          </cell>
          <cell r="C381">
            <v>2018</v>
          </cell>
          <cell r="D381">
            <v>1</v>
          </cell>
          <cell r="E381">
            <v>2</v>
          </cell>
          <cell r="F381">
            <v>2.64331667E-2</v>
          </cell>
          <cell r="G381">
            <v>0</v>
          </cell>
          <cell r="H381">
            <v>4.4055277999999996E-3</v>
          </cell>
          <cell r="I381" t="str">
            <v>Other Household Travel</v>
          </cell>
          <cell r="J381" t="str">
            <v>2017/18</v>
          </cell>
        </row>
        <row r="382">
          <cell r="A382" t="str">
            <v>05 GISBORNE</v>
          </cell>
          <cell r="B382">
            <v>9</v>
          </cell>
          <cell r="C382">
            <v>2023</v>
          </cell>
          <cell r="D382">
            <v>1</v>
          </cell>
          <cell r="E382">
            <v>2</v>
          </cell>
          <cell r="F382">
            <v>1.9894802999999999E-2</v>
          </cell>
          <cell r="G382">
            <v>0</v>
          </cell>
          <cell r="H382">
            <v>3.3158005E-3</v>
          </cell>
          <cell r="I382" t="str">
            <v>Other Household Travel</v>
          </cell>
          <cell r="J382" t="str">
            <v>2022/23</v>
          </cell>
        </row>
        <row r="383">
          <cell r="A383" t="str">
            <v>05 GISBORNE</v>
          </cell>
          <cell r="B383">
            <v>9</v>
          </cell>
          <cell r="C383">
            <v>2028</v>
          </cell>
          <cell r="D383">
            <v>1</v>
          </cell>
          <cell r="E383">
            <v>2</v>
          </cell>
          <cell r="F383">
            <v>1.80602622E-2</v>
          </cell>
          <cell r="G383">
            <v>0</v>
          </cell>
          <cell r="H383">
            <v>3.0100436999999998E-3</v>
          </cell>
          <cell r="I383" t="str">
            <v>Other Household Travel</v>
          </cell>
          <cell r="J383" t="str">
            <v>2027/28</v>
          </cell>
        </row>
        <row r="384">
          <cell r="A384" t="str">
            <v>05 GISBORNE</v>
          </cell>
          <cell r="B384">
            <v>9</v>
          </cell>
          <cell r="C384">
            <v>2033</v>
          </cell>
          <cell r="D384">
            <v>1</v>
          </cell>
          <cell r="E384">
            <v>2</v>
          </cell>
          <cell r="F384">
            <v>1.5345605E-2</v>
          </cell>
          <cell r="G384">
            <v>0</v>
          </cell>
          <cell r="H384">
            <v>2.5576008E-3</v>
          </cell>
          <cell r="I384" t="str">
            <v>Other Household Travel</v>
          </cell>
          <cell r="J384" t="str">
            <v>2032/33</v>
          </cell>
        </row>
        <row r="385">
          <cell r="A385" t="str">
            <v>05 GISBORNE</v>
          </cell>
          <cell r="B385">
            <v>9</v>
          </cell>
          <cell r="C385">
            <v>2038</v>
          </cell>
          <cell r="D385">
            <v>1</v>
          </cell>
          <cell r="E385">
            <v>2</v>
          </cell>
          <cell r="F385">
            <v>1.16278697E-2</v>
          </cell>
          <cell r="G385">
            <v>0</v>
          </cell>
          <cell r="H385">
            <v>1.9379783E-3</v>
          </cell>
          <cell r="I385" t="str">
            <v>Other Household Travel</v>
          </cell>
          <cell r="J385" t="str">
            <v>2037/38</v>
          </cell>
        </row>
        <row r="386">
          <cell r="A386" t="str">
            <v>05 GISBORNE</v>
          </cell>
          <cell r="B386">
            <v>9</v>
          </cell>
          <cell r="C386">
            <v>2043</v>
          </cell>
          <cell r="D386">
            <v>1</v>
          </cell>
          <cell r="E386">
            <v>2</v>
          </cell>
          <cell r="F386">
            <v>8.4809710999999999E-3</v>
          </cell>
          <cell r="G386">
            <v>0</v>
          </cell>
          <cell r="H386">
            <v>1.4134951999999999E-3</v>
          </cell>
          <cell r="I386" t="str">
            <v>Other Household Travel</v>
          </cell>
          <cell r="J386" t="str">
            <v>2042/43</v>
          </cell>
        </row>
        <row r="387">
          <cell r="A387" t="str">
            <v>05 GISBORNE</v>
          </cell>
          <cell r="B387">
            <v>10</v>
          </cell>
          <cell r="C387">
            <v>2013</v>
          </cell>
          <cell r="D387">
            <v>12</v>
          </cell>
          <cell r="E387">
            <v>20</v>
          </cell>
          <cell r="F387">
            <v>0.31271654580000002</v>
          </cell>
          <cell r="G387">
            <v>23.012948782999999</v>
          </cell>
          <cell r="H387">
            <v>0.66485160600000004</v>
          </cell>
          <cell r="I387" t="str">
            <v>Air/Non-Local PT</v>
          </cell>
          <cell r="J387" t="str">
            <v>2012/13</v>
          </cell>
        </row>
        <row r="388">
          <cell r="A388" t="str">
            <v>05 GISBORNE</v>
          </cell>
          <cell r="B388">
            <v>10</v>
          </cell>
          <cell r="C388">
            <v>2018</v>
          </cell>
          <cell r="D388">
            <v>12</v>
          </cell>
          <cell r="E388">
            <v>20</v>
          </cell>
          <cell r="F388">
            <v>0.30624986780000002</v>
          </cell>
          <cell r="G388">
            <v>22.180711374000001</v>
          </cell>
          <cell r="H388">
            <v>0.63993223870000004</v>
          </cell>
          <cell r="I388" t="str">
            <v>Air/Non-Local PT</v>
          </cell>
          <cell r="J388" t="str">
            <v>2017/18</v>
          </cell>
        </row>
        <row r="389">
          <cell r="A389" t="str">
            <v>05 GISBORNE</v>
          </cell>
          <cell r="B389">
            <v>10</v>
          </cell>
          <cell r="C389">
            <v>2023</v>
          </cell>
          <cell r="D389">
            <v>12</v>
          </cell>
          <cell r="E389">
            <v>20</v>
          </cell>
          <cell r="F389">
            <v>0.30098139190000001</v>
          </cell>
          <cell r="G389">
            <v>21.587036612999999</v>
          </cell>
          <cell r="H389">
            <v>0.62253032519999996</v>
          </cell>
          <cell r="I389" t="str">
            <v>Air/Non-Local PT</v>
          </cell>
          <cell r="J389" t="str">
            <v>2022/23</v>
          </cell>
        </row>
        <row r="390">
          <cell r="A390" t="str">
            <v>05 GISBORNE</v>
          </cell>
          <cell r="B390">
            <v>10</v>
          </cell>
          <cell r="C390">
            <v>2028</v>
          </cell>
          <cell r="D390">
            <v>12</v>
          </cell>
          <cell r="E390">
            <v>20</v>
          </cell>
          <cell r="F390">
            <v>0.30633303830000003</v>
          </cell>
          <cell r="G390">
            <v>20.972813220999999</v>
          </cell>
          <cell r="H390">
            <v>0.62210628280000002</v>
          </cell>
          <cell r="I390" t="str">
            <v>Air/Non-Local PT</v>
          </cell>
          <cell r="J390" t="str">
            <v>2027/28</v>
          </cell>
        </row>
        <row r="391">
          <cell r="A391" t="str">
            <v>05 GISBORNE</v>
          </cell>
          <cell r="B391">
            <v>10</v>
          </cell>
          <cell r="C391">
            <v>2033</v>
          </cell>
          <cell r="D391">
            <v>12</v>
          </cell>
          <cell r="E391">
            <v>20</v>
          </cell>
          <cell r="F391">
            <v>0.31013753430000002</v>
          </cell>
          <cell r="G391">
            <v>20.323855723000001</v>
          </cell>
          <cell r="H391">
            <v>0.61965745679999995</v>
          </cell>
          <cell r="I391" t="str">
            <v>Air/Non-Local PT</v>
          </cell>
          <cell r="J391" t="str">
            <v>2032/33</v>
          </cell>
        </row>
        <row r="392">
          <cell r="A392" t="str">
            <v>05 GISBORNE</v>
          </cell>
          <cell r="B392">
            <v>10</v>
          </cell>
          <cell r="C392">
            <v>2038</v>
          </cell>
          <cell r="D392">
            <v>12</v>
          </cell>
          <cell r="E392">
            <v>20</v>
          </cell>
          <cell r="F392">
            <v>0.30708143640000002</v>
          </cell>
          <cell r="G392">
            <v>19.870431984</v>
          </cell>
          <cell r="H392">
            <v>0.60485077539999998</v>
          </cell>
          <cell r="I392" t="str">
            <v>Air/Non-Local PT</v>
          </cell>
          <cell r="J392" t="str">
            <v>2037/38</v>
          </cell>
        </row>
        <row r="393">
          <cell r="A393" t="str">
            <v>05 GISBORNE</v>
          </cell>
          <cell r="B393">
            <v>10</v>
          </cell>
          <cell r="C393">
            <v>2043</v>
          </cell>
          <cell r="D393">
            <v>12</v>
          </cell>
          <cell r="E393">
            <v>20</v>
          </cell>
          <cell r="F393">
            <v>0.3045105354</v>
          </cell>
          <cell r="G393">
            <v>19.472652426</v>
          </cell>
          <cell r="H393">
            <v>0.59095791539999998</v>
          </cell>
          <cell r="I393" t="str">
            <v>Air/Non-Local PT</v>
          </cell>
          <cell r="J393" t="str">
            <v>2042/43</v>
          </cell>
        </row>
        <row r="394">
          <cell r="A394" t="str">
            <v>05 GISBORNE</v>
          </cell>
          <cell r="B394">
            <v>11</v>
          </cell>
          <cell r="C394">
            <v>2013</v>
          </cell>
          <cell r="D394">
            <v>8</v>
          </cell>
          <cell r="E394">
            <v>22</v>
          </cell>
          <cell r="F394">
            <v>0.24434687620000001</v>
          </cell>
          <cell r="G394">
            <v>9.0032605469</v>
          </cell>
          <cell r="H394">
            <v>0.1991820503</v>
          </cell>
          <cell r="I394" t="str">
            <v>Non-Household Travel</v>
          </cell>
          <cell r="J394" t="str">
            <v>2012/13</v>
          </cell>
        </row>
        <row r="395">
          <cell r="A395" t="str">
            <v>05 GISBORNE</v>
          </cell>
          <cell r="B395">
            <v>11</v>
          </cell>
          <cell r="C395">
            <v>2018</v>
          </cell>
          <cell r="D395">
            <v>8</v>
          </cell>
          <cell r="E395">
            <v>22</v>
          </cell>
          <cell r="F395">
            <v>0.26622711770000002</v>
          </cell>
          <cell r="G395">
            <v>9.6704949631999995</v>
          </cell>
          <cell r="H395">
            <v>0.21330047860000001</v>
          </cell>
          <cell r="I395" t="str">
            <v>Non-Household Travel</v>
          </cell>
          <cell r="J395" t="str">
            <v>2017/18</v>
          </cell>
        </row>
        <row r="396">
          <cell r="A396" t="str">
            <v>05 GISBORNE</v>
          </cell>
          <cell r="B396">
            <v>11</v>
          </cell>
          <cell r="C396">
            <v>2023</v>
          </cell>
          <cell r="D396">
            <v>8</v>
          </cell>
          <cell r="E396">
            <v>22</v>
          </cell>
          <cell r="F396">
            <v>0.2732988549</v>
          </cell>
          <cell r="G396">
            <v>9.7599453277000006</v>
          </cell>
          <cell r="H396">
            <v>0.21493011510000001</v>
          </cell>
          <cell r="I396" t="str">
            <v>Non-Household Travel</v>
          </cell>
          <cell r="J396" t="str">
            <v>2022/23</v>
          </cell>
        </row>
        <row r="397">
          <cell r="A397" t="str">
            <v>05 GISBORNE</v>
          </cell>
          <cell r="B397">
            <v>11</v>
          </cell>
          <cell r="C397">
            <v>2028</v>
          </cell>
          <cell r="D397">
            <v>8</v>
          </cell>
          <cell r="E397">
            <v>22</v>
          </cell>
          <cell r="F397">
            <v>0.2717545804</v>
          </cell>
          <cell r="G397">
            <v>9.4710109810999992</v>
          </cell>
          <cell r="H397">
            <v>0.20919930240000001</v>
          </cell>
          <cell r="I397" t="str">
            <v>Non-Household Travel</v>
          </cell>
          <cell r="J397" t="str">
            <v>2027/28</v>
          </cell>
        </row>
        <row r="398">
          <cell r="A398" t="str">
            <v>05 GISBORNE</v>
          </cell>
          <cell r="B398">
            <v>11</v>
          </cell>
          <cell r="C398">
            <v>2033</v>
          </cell>
          <cell r="D398">
            <v>8</v>
          </cell>
          <cell r="E398">
            <v>22</v>
          </cell>
          <cell r="F398">
            <v>0.26693190989999999</v>
          </cell>
          <cell r="G398">
            <v>8.7660218087999997</v>
          </cell>
          <cell r="H398">
            <v>0.1971176261</v>
          </cell>
          <cell r="I398" t="str">
            <v>Non-Household Travel</v>
          </cell>
          <cell r="J398" t="str">
            <v>2032/33</v>
          </cell>
        </row>
        <row r="399">
          <cell r="A399" t="str">
            <v>05 GISBORNE</v>
          </cell>
          <cell r="B399">
            <v>11</v>
          </cell>
          <cell r="C399">
            <v>2038</v>
          </cell>
          <cell r="D399">
            <v>8</v>
          </cell>
          <cell r="E399">
            <v>22</v>
          </cell>
          <cell r="F399">
            <v>0.26429743430000002</v>
          </cell>
          <cell r="G399">
            <v>7.9285702487999998</v>
          </cell>
          <cell r="H399">
            <v>0.18419923969999999</v>
          </cell>
          <cell r="I399" t="str">
            <v>Non-Household Travel</v>
          </cell>
          <cell r="J399" t="str">
            <v>2037/38</v>
          </cell>
        </row>
        <row r="400">
          <cell r="A400" t="str">
            <v>05 GISBORNE</v>
          </cell>
          <cell r="B400">
            <v>11</v>
          </cell>
          <cell r="C400">
            <v>2043</v>
          </cell>
          <cell r="D400">
            <v>8</v>
          </cell>
          <cell r="E400">
            <v>22</v>
          </cell>
          <cell r="F400">
            <v>0.26271876900000002</v>
          </cell>
          <cell r="G400">
            <v>7.1187143582000001</v>
          </cell>
          <cell r="H400">
            <v>0.17192002810000001</v>
          </cell>
          <cell r="I400" t="str">
            <v>Non-Household Travel</v>
          </cell>
          <cell r="J400" t="str">
            <v>2042/43</v>
          </cell>
        </row>
        <row r="401">
          <cell r="A401" t="str">
            <v>06 HAWKE`S BAY</v>
          </cell>
          <cell r="B401">
            <v>0</v>
          </cell>
          <cell r="C401">
            <v>2013</v>
          </cell>
          <cell r="D401">
            <v>221</v>
          </cell>
          <cell r="E401">
            <v>754</v>
          </cell>
          <cell r="F401">
            <v>26.538300281000001</v>
          </cell>
          <cell r="G401">
            <v>22.691613215</v>
          </cell>
          <cell r="H401">
            <v>5.9462513095</v>
          </cell>
          <cell r="I401" t="str">
            <v>Pedestrian</v>
          </cell>
          <cell r="J401" t="str">
            <v>2012/13</v>
          </cell>
        </row>
        <row r="402">
          <cell r="A402" t="str">
            <v>06 HAWKE`S BAY</v>
          </cell>
          <cell r="B402">
            <v>0</v>
          </cell>
          <cell r="C402">
            <v>2018</v>
          </cell>
          <cell r="D402">
            <v>221</v>
          </cell>
          <cell r="E402">
            <v>754</v>
          </cell>
          <cell r="F402">
            <v>27.429980512</v>
          </cell>
          <cell r="G402">
            <v>23.209966743999999</v>
          </cell>
          <cell r="H402">
            <v>6.1119413737999997</v>
          </cell>
          <cell r="I402" t="str">
            <v>Pedestrian</v>
          </cell>
          <cell r="J402" t="str">
            <v>2017/18</v>
          </cell>
        </row>
        <row r="403">
          <cell r="A403" t="str">
            <v>06 HAWKE`S BAY</v>
          </cell>
          <cell r="B403">
            <v>0</v>
          </cell>
          <cell r="C403">
            <v>2023</v>
          </cell>
          <cell r="D403">
            <v>221</v>
          </cell>
          <cell r="E403">
            <v>754</v>
          </cell>
          <cell r="F403">
            <v>28.071989247000001</v>
          </cell>
          <cell r="G403">
            <v>23.501564868999999</v>
          </cell>
          <cell r="H403">
            <v>6.2445894601000003</v>
          </cell>
          <cell r="I403" t="str">
            <v>Pedestrian</v>
          </cell>
          <cell r="J403" t="str">
            <v>2022/23</v>
          </cell>
        </row>
        <row r="404">
          <cell r="A404" t="str">
            <v>06 HAWKE`S BAY</v>
          </cell>
          <cell r="B404">
            <v>0</v>
          </cell>
          <cell r="C404">
            <v>2028</v>
          </cell>
          <cell r="D404">
            <v>221</v>
          </cell>
          <cell r="E404">
            <v>754</v>
          </cell>
          <cell r="F404">
            <v>27.980235448999998</v>
          </cell>
          <cell r="G404">
            <v>23.398156782000001</v>
          </cell>
          <cell r="H404">
            <v>6.2047494628999997</v>
          </cell>
          <cell r="I404" t="str">
            <v>Pedestrian</v>
          </cell>
          <cell r="J404" t="str">
            <v>2027/28</v>
          </cell>
        </row>
        <row r="405">
          <cell r="A405" t="str">
            <v>06 HAWKE`S BAY</v>
          </cell>
          <cell r="B405">
            <v>0</v>
          </cell>
          <cell r="C405">
            <v>2033</v>
          </cell>
          <cell r="D405">
            <v>221</v>
          </cell>
          <cell r="E405">
            <v>754</v>
          </cell>
          <cell r="F405">
            <v>27.334537244</v>
          </cell>
          <cell r="G405">
            <v>23.030792724000001</v>
          </cell>
          <cell r="H405">
            <v>6.0804056130999999</v>
          </cell>
          <cell r="I405" t="str">
            <v>Pedestrian</v>
          </cell>
          <cell r="J405" t="str">
            <v>2032/33</v>
          </cell>
        </row>
        <row r="406">
          <cell r="A406" t="str">
            <v>06 HAWKE`S BAY</v>
          </cell>
          <cell r="B406">
            <v>0</v>
          </cell>
          <cell r="C406">
            <v>2038</v>
          </cell>
          <cell r="D406">
            <v>221</v>
          </cell>
          <cell r="E406">
            <v>754</v>
          </cell>
          <cell r="F406">
            <v>26.635841856999999</v>
          </cell>
          <cell r="G406">
            <v>22.777687182000001</v>
          </cell>
          <cell r="H406">
            <v>5.9708379517000001</v>
          </cell>
          <cell r="I406" t="str">
            <v>Pedestrian</v>
          </cell>
          <cell r="J406" t="str">
            <v>2037/38</v>
          </cell>
        </row>
        <row r="407">
          <cell r="A407" t="str">
            <v>06 HAWKE`S BAY</v>
          </cell>
          <cell r="B407">
            <v>0</v>
          </cell>
          <cell r="C407">
            <v>2043</v>
          </cell>
          <cell r="D407">
            <v>221</v>
          </cell>
          <cell r="E407">
            <v>754</v>
          </cell>
          <cell r="F407">
            <v>25.825355327</v>
          </cell>
          <cell r="G407">
            <v>22.439128792999998</v>
          </cell>
          <cell r="H407">
            <v>5.8416430276</v>
          </cell>
          <cell r="I407" t="str">
            <v>Pedestrian</v>
          </cell>
          <cell r="J407" t="str">
            <v>2042/43</v>
          </cell>
        </row>
        <row r="408">
          <cell r="A408" t="str">
            <v>06 HAWKE`S BAY</v>
          </cell>
          <cell r="B408">
            <v>1</v>
          </cell>
          <cell r="C408">
            <v>2013</v>
          </cell>
          <cell r="D408">
            <v>30</v>
          </cell>
          <cell r="E408">
            <v>93</v>
          </cell>
          <cell r="F408">
            <v>3.1819840940000002</v>
          </cell>
          <cell r="G408">
            <v>9.5482363540000001</v>
          </cell>
          <cell r="H408">
            <v>0.88401106659999995</v>
          </cell>
          <cell r="I408" t="str">
            <v>Cyclist</v>
          </cell>
          <cell r="J408" t="str">
            <v>2012/13</v>
          </cell>
        </row>
        <row r="409">
          <cell r="A409" t="str">
            <v>06 HAWKE`S BAY</v>
          </cell>
          <cell r="B409">
            <v>1</v>
          </cell>
          <cell r="C409">
            <v>2018</v>
          </cell>
          <cell r="D409">
            <v>30</v>
          </cell>
          <cell r="E409">
            <v>93</v>
          </cell>
          <cell r="F409">
            <v>3.2473192461</v>
          </cell>
          <cell r="G409">
            <v>10.032392258</v>
          </cell>
          <cell r="H409">
            <v>0.92707566509999995</v>
          </cell>
          <cell r="I409" t="str">
            <v>Cyclist</v>
          </cell>
          <cell r="J409" t="str">
            <v>2017/18</v>
          </cell>
        </row>
        <row r="410">
          <cell r="A410" t="str">
            <v>06 HAWKE`S BAY</v>
          </cell>
          <cell r="B410">
            <v>1</v>
          </cell>
          <cell r="C410">
            <v>2023</v>
          </cell>
          <cell r="D410">
            <v>30</v>
          </cell>
          <cell r="E410">
            <v>93</v>
          </cell>
          <cell r="F410">
            <v>3.3254693085999998</v>
          </cell>
          <cell r="G410">
            <v>10.255764629</v>
          </cell>
          <cell r="H410">
            <v>0.94165506160000001</v>
          </cell>
          <cell r="I410" t="str">
            <v>Cyclist</v>
          </cell>
          <cell r="J410" t="str">
            <v>2022/23</v>
          </cell>
        </row>
        <row r="411">
          <cell r="A411" t="str">
            <v>06 HAWKE`S BAY</v>
          </cell>
          <cell r="B411">
            <v>1</v>
          </cell>
          <cell r="C411">
            <v>2028</v>
          </cell>
          <cell r="D411">
            <v>30</v>
          </cell>
          <cell r="E411">
            <v>93</v>
          </cell>
          <cell r="F411">
            <v>3.3831654313000001</v>
          </cell>
          <cell r="G411">
            <v>10.548974404999999</v>
          </cell>
          <cell r="H411">
            <v>0.96561803390000001</v>
          </cell>
          <cell r="I411" t="str">
            <v>Cyclist</v>
          </cell>
          <cell r="J411" t="str">
            <v>2027/28</v>
          </cell>
        </row>
        <row r="412">
          <cell r="A412" t="str">
            <v>06 HAWKE`S BAY</v>
          </cell>
          <cell r="B412">
            <v>1</v>
          </cell>
          <cell r="C412">
            <v>2033</v>
          </cell>
          <cell r="D412">
            <v>30</v>
          </cell>
          <cell r="E412">
            <v>93</v>
          </cell>
          <cell r="F412">
            <v>3.3399816380999998</v>
          </cell>
          <cell r="G412">
            <v>10.788477503999999</v>
          </cell>
          <cell r="H412">
            <v>0.97766807990000004</v>
          </cell>
          <cell r="I412" t="str">
            <v>Cyclist</v>
          </cell>
          <cell r="J412" t="str">
            <v>2032/33</v>
          </cell>
        </row>
        <row r="413">
          <cell r="A413" t="str">
            <v>06 HAWKE`S BAY</v>
          </cell>
          <cell r="B413">
            <v>1</v>
          </cell>
          <cell r="C413">
            <v>2038</v>
          </cell>
          <cell r="D413">
            <v>30</v>
          </cell>
          <cell r="E413">
            <v>93</v>
          </cell>
          <cell r="F413">
            <v>3.2985489507999999</v>
          </cell>
          <cell r="G413">
            <v>10.727869518</v>
          </cell>
          <cell r="H413">
            <v>0.97173983789999996</v>
          </cell>
          <cell r="I413" t="str">
            <v>Cyclist</v>
          </cell>
          <cell r="J413" t="str">
            <v>2037/38</v>
          </cell>
        </row>
        <row r="414">
          <cell r="A414" t="str">
            <v>06 HAWKE`S BAY</v>
          </cell>
          <cell r="B414">
            <v>1</v>
          </cell>
          <cell r="C414">
            <v>2043</v>
          </cell>
          <cell r="D414">
            <v>30</v>
          </cell>
          <cell r="E414">
            <v>93</v>
          </cell>
          <cell r="F414">
            <v>3.2376379794000001</v>
          </cell>
          <cell r="G414">
            <v>10.601259002999999</v>
          </cell>
          <cell r="H414">
            <v>0.96098666119999998</v>
          </cell>
          <cell r="I414" t="str">
            <v>Cyclist</v>
          </cell>
          <cell r="J414" t="str">
            <v>2042/43</v>
          </cell>
        </row>
        <row r="415">
          <cell r="A415" t="str">
            <v>06 HAWKE`S BAY</v>
          </cell>
          <cell r="B415">
            <v>2</v>
          </cell>
          <cell r="C415">
            <v>2013</v>
          </cell>
          <cell r="D415">
            <v>446</v>
          </cell>
          <cell r="E415">
            <v>3171</v>
          </cell>
          <cell r="F415">
            <v>111.16933473</v>
          </cell>
          <cell r="G415">
            <v>1001.7566771</v>
          </cell>
          <cell r="H415">
            <v>25.377986313000001</v>
          </cell>
          <cell r="I415" t="str">
            <v>Light Vehicle Driver</v>
          </cell>
          <cell r="J415" t="str">
            <v>2012/13</v>
          </cell>
        </row>
        <row r="416">
          <cell r="A416" t="str">
            <v>06 HAWKE`S BAY</v>
          </cell>
          <cell r="B416">
            <v>2</v>
          </cell>
          <cell r="C416">
            <v>2018</v>
          </cell>
          <cell r="D416">
            <v>446</v>
          </cell>
          <cell r="E416">
            <v>3171</v>
          </cell>
          <cell r="F416">
            <v>117.27201801</v>
          </cell>
          <cell r="G416">
            <v>1062.3768493</v>
          </cell>
          <cell r="H416">
            <v>26.851582032</v>
          </cell>
          <cell r="I416" t="str">
            <v>Light Vehicle Driver</v>
          </cell>
          <cell r="J416" t="str">
            <v>2017/18</v>
          </cell>
        </row>
        <row r="417">
          <cell r="A417" t="str">
            <v>06 HAWKE`S BAY</v>
          </cell>
          <cell r="B417">
            <v>2</v>
          </cell>
          <cell r="C417">
            <v>2023</v>
          </cell>
          <cell r="D417">
            <v>446</v>
          </cell>
          <cell r="E417">
            <v>3171</v>
          </cell>
          <cell r="F417">
            <v>121.13650556</v>
          </cell>
          <cell r="G417">
            <v>1094.0680745</v>
          </cell>
          <cell r="H417">
            <v>27.730618091</v>
          </cell>
          <cell r="I417" t="str">
            <v>Light Vehicle Driver</v>
          </cell>
          <cell r="J417" t="str">
            <v>2022/23</v>
          </cell>
        </row>
        <row r="418">
          <cell r="A418" t="str">
            <v>06 HAWKE`S BAY</v>
          </cell>
          <cell r="B418">
            <v>2</v>
          </cell>
          <cell r="C418">
            <v>2028</v>
          </cell>
          <cell r="D418">
            <v>446</v>
          </cell>
          <cell r="E418">
            <v>3171</v>
          </cell>
          <cell r="F418">
            <v>125.2359852</v>
          </cell>
          <cell r="G418">
            <v>1132.1334380999999</v>
          </cell>
          <cell r="H418">
            <v>28.761619458999998</v>
          </cell>
          <cell r="I418" t="str">
            <v>Light Vehicle Driver</v>
          </cell>
          <cell r="J418" t="str">
            <v>2027/28</v>
          </cell>
        </row>
        <row r="419">
          <cell r="A419" t="str">
            <v>06 HAWKE`S BAY</v>
          </cell>
          <cell r="B419">
            <v>2</v>
          </cell>
          <cell r="C419">
            <v>2033</v>
          </cell>
          <cell r="D419">
            <v>446</v>
          </cell>
          <cell r="E419">
            <v>3171</v>
          </cell>
          <cell r="F419">
            <v>128.04335444</v>
          </cell>
          <cell r="G419">
            <v>1158.6771392999999</v>
          </cell>
          <cell r="H419">
            <v>29.491402811</v>
          </cell>
          <cell r="I419" t="str">
            <v>Light Vehicle Driver</v>
          </cell>
          <cell r="J419" t="str">
            <v>2032/33</v>
          </cell>
        </row>
        <row r="420">
          <cell r="A420" t="str">
            <v>06 HAWKE`S BAY</v>
          </cell>
          <cell r="B420">
            <v>2</v>
          </cell>
          <cell r="C420">
            <v>2038</v>
          </cell>
          <cell r="D420">
            <v>446</v>
          </cell>
          <cell r="E420">
            <v>3171</v>
          </cell>
          <cell r="F420">
            <v>128.84921331999999</v>
          </cell>
          <cell r="G420">
            <v>1165.5586172999999</v>
          </cell>
          <cell r="H420">
            <v>29.735569444999999</v>
          </cell>
          <cell r="I420" t="str">
            <v>Light Vehicle Driver</v>
          </cell>
          <cell r="J420" t="str">
            <v>2037/38</v>
          </cell>
        </row>
        <row r="421">
          <cell r="A421" t="str">
            <v>06 HAWKE`S BAY</v>
          </cell>
          <cell r="B421">
            <v>2</v>
          </cell>
          <cell r="C421">
            <v>2043</v>
          </cell>
          <cell r="D421">
            <v>446</v>
          </cell>
          <cell r="E421">
            <v>3171</v>
          </cell>
          <cell r="F421">
            <v>129.13646527</v>
          </cell>
          <cell r="G421">
            <v>1167.2849154999999</v>
          </cell>
          <cell r="H421">
            <v>29.848199676</v>
          </cell>
          <cell r="I421" t="str">
            <v>Light Vehicle Driver</v>
          </cell>
          <cell r="J421" t="str">
            <v>2042/43</v>
          </cell>
        </row>
        <row r="422">
          <cell r="A422" t="str">
            <v>06 HAWKE`S BAY</v>
          </cell>
          <cell r="B422">
            <v>3</v>
          </cell>
          <cell r="C422">
            <v>2013</v>
          </cell>
          <cell r="D422">
            <v>300</v>
          </cell>
          <cell r="E422">
            <v>1579</v>
          </cell>
          <cell r="F422">
            <v>58.497679761999997</v>
          </cell>
          <cell r="G422">
            <v>607.82570181000006</v>
          </cell>
          <cell r="H422">
            <v>15.230731736999999</v>
          </cell>
          <cell r="I422" t="str">
            <v>Light Vehicle Passenger</v>
          </cell>
          <cell r="J422" t="str">
            <v>2012/13</v>
          </cell>
        </row>
        <row r="423">
          <cell r="A423" t="str">
            <v>06 HAWKE`S BAY</v>
          </cell>
          <cell r="B423">
            <v>3</v>
          </cell>
          <cell r="C423">
            <v>2018</v>
          </cell>
          <cell r="D423">
            <v>300</v>
          </cell>
          <cell r="E423">
            <v>1579</v>
          </cell>
          <cell r="F423">
            <v>58.935029659000001</v>
          </cell>
          <cell r="G423">
            <v>628.16745817000003</v>
          </cell>
          <cell r="H423">
            <v>15.608337468</v>
          </cell>
          <cell r="I423" t="str">
            <v>Light Vehicle Passenger</v>
          </cell>
          <cell r="J423" t="str">
            <v>2017/18</v>
          </cell>
        </row>
        <row r="424">
          <cell r="A424" t="str">
            <v>06 HAWKE`S BAY</v>
          </cell>
          <cell r="B424">
            <v>3</v>
          </cell>
          <cell r="C424">
            <v>2023</v>
          </cell>
          <cell r="D424">
            <v>300</v>
          </cell>
          <cell r="E424">
            <v>1579</v>
          </cell>
          <cell r="F424">
            <v>58.666913270000002</v>
          </cell>
          <cell r="G424">
            <v>638.14087371000005</v>
          </cell>
          <cell r="H424">
            <v>15.773724852999999</v>
          </cell>
          <cell r="I424" t="str">
            <v>Light Vehicle Passenger</v>
          </cell>
          <cell r="J424" t="str">
            <v>2022/23</v>
          </cell>
        </row>
        <row r="425">
          <cell r="A425" t="str">
            <v>06 HAWKE`S BAY</v>
          </cell>
          <cell r="B425">
            <v>3</v>
          </cell>
          <cell r="C425">
            <v>2028</v>
          </cell>
          <cell r="D425">
            <v>300</v>
          </cell>
          <cell r="E425">
            <v>1579</v>
          </cell>
          <cell r="F425">
            <v>58.768283236000002</v>
          </cell>
          <cell r="G425">
            <v>641.93849739999996</v>
          </cell>
          <cell r="H425">
            <v>15.905760315</v>
          </cell>
          <cell r="I425" t="str">
            <v>Light Vehicle Passenger</v>
          </cell>
          <cell r="J425" t="str">
            <v>2027/28</v>
          </cell>
        </row>
        <row r="426">
          <cell r="A426" t="str">
            <v>06 HAWKE`S BAY</v>
          </cell>
          <cell r="B426">
            <v>3</v>
          </cell>
          <cell r="C426">
            <v>2033</v>
          </cell>
          <cell r="D426">
            <v>300</v>
          </cell>
          <cell r="E426">
            <v>1579</v>
          </cell>
          <cell r="F426">
            <v>58.019072258000001</v>
          </cell>
          <cell r="G426">
            <v>632.96035600000005</v>
          </cell>
          <cell r="H426">
            <v>15.722057272000001</v>
          </cell>
          <cell r="I426" t="str">
            <v>Light Vehicle Passenger</v>
          </cell>
          <cell r="J426" t="str">
            <v>2032/33</v>
          </cell>
        </row>
        <row r="427">
          <cell r="A427" t="str">
            <v>06 HAWKE`S BAY</v>
          </cell>
          <cell r="B427">
            <v>3</v>
          </cell>
          <cell r="C427">
            <v>2038</v>
          </cell>
          <cell r="D427">
            <v>300</v>
          </cell>
          <cell r="E427">
            <v>1579</v>
          </cell>
          <cell r="F427">
            <v>57.399440222999999</v>
          </cell>
          <cell r="G427">
            <v>619.34126666999998</v>
          </cell>
          <cell r="H427">
            <v>15.422286015999999</v>
          </cell>
          <cell r="I427" t="str">
            <v>Light Vehicle Passenger</v>
          </cell>
          <cell r="J427" t="str">
            <v>2037/38</v>
          </cell>
        </row>
        <row r="428">
          <cell r="A428" t="str">
            <v>06 HAWKE`S BAY</v>
          </cell>
          <cell r="B428">
            <v>3</v>
          </cell>
          <cell r="C428">
            <v>2043</v>
          </cell>
          <cell r="D428">
            <v>300</v>
          </cell>
          <cell r="E428">
            <v>1579</v>
          </cell>
          <cell r="F428">
            <v>56.550302309999999</v>
          </cell>
          <cell r="G428">
            <v>603.14902110000003</v>
          </cell>
          <cell r="H428">
            <v>15.060494965</v>
          </cell>
          <cell r="I428" t="str">
            <v>Light Vehicle Passenger</v>
          </cell>
          <cell r="J428" t="str">
            <v>2042/43</v>
          </cell>
        </row>
        <row r="429">
          <cell r="A429" t="str">
            <v>06 HAWKE`S BAY</v>
          </cell>
          <cell r="B429">
            <v>4</v>
          </cell>
          <cell r="C429">
            <v>2013</v>
          </cell>
          <cell r="D429">
            <v>4</v>
          </cell>
          <cell r="E429">
            <v>8</v>
          </cell>
          <cell r="F429">
            <v>0.32519619989999998</v>
          </cell>
          <cell r="G429">
            <v>1.7589425135000001</v>
          </cell>
          <cell r="H429">
            <v>4.5837477299999999E-2</v>
          </cell>
          <cell r="J429" t="str">
            <v>2012/13</v>
          </cell>
        </row>
        <row r="430">
          <cell r="A430" t="str">
            <v>06 HAWKE`S BAY</v>
          </cell>
          <cell r="B430">
            <v>4</v>
          </cell>
          <cell r="C430">
            <v>2018</v>
          </cell>
          <cell r="D430">
            <v>4</v>
          </cell>
          <cell r="E430">
            <v>8</v>
          </cell>
          <cell r="F430">
            <v>0.33069106520000002</v>
          </cell>
          <cell r="G430">
            <v>1.7036296033</v>
          </cell>
          <cell r="H430">
            <v>4.7156156499999997E-2</v>
          </cell>
          <cell r="J430" t="str">
            <v>2017/18</v>
          </cell>
        </row>
        <row r="431">
          <cell r="A431" t="str">
            <v>06 HAWKE`S BAY</v>
          </cell>
          <cell r="B431">
            <v>4</v>
          </cell>
          <cell r="C431">
            <v>2023</v>
          </cell>
          <cell r="D431">
            <v>4</v>
          </cell>
          <cell r="E431">
            <v>8</v>
          </cell>
          <cell r="F431">
            <v>0.34134944420000002</v>
          </cell>
          <cell r="G431">
            <v>1.6722897465</v>
          </cell>
          <cell r="H431">
            <v>4.8922941800000001E-2</v>
          </cell>
          <cell r="J431" t="str">
            <v>2022/23</v>
          </cell>
        </row>
        <row r="432">
          <cell r="A432" t="str">
            <v>06 HAWKE`S BAY</v>
          </cell>
          <cell r="B432">
            <v>4</v>
          </cell>
          <cell r="C432">
            <v>2028</v>
          </cell>
          <cell r="D432">
            <v>4</v>
          </cell>
          <cell r="E432">
            <v>8</v>
          </cell>
          <cell r="F432">
            <v>0.35353218650000001</v>
          </cell>
          <cell r="G432">
            <v>1.6688544890999999</v>
          </cell>
          <cell r="H432">
            <v>5.1050616700000002E-2</v>
          </cell>
          <cell r="J432" t="str">
            <v>2027/28</v>
          </cell>
        </row>
        <row r="433">
          <cell r="A433" t="str">
            <v>06 HAWKE`S BAY</v>
          </cell>
          <cell r="B433">
            <v>4</v>
          </cell>
          <cell r="C433">
            <v>2033</v>
          </cell>
          <cell r="D433">
            <v>4</v>
          </cell>
          <cell r="E433">
            <v>8</v>
          </cell>
          <cell r="F433">
            <v>0.36695981970000002</v>
          </cell>
          <cell r="G433">
            <v>1.6783231248999999</v>
          </cell>
          <cell r="H433">
            <v>5.4036852599999997E-2</v>
          </cell>
          <cell r="J433" t="str">
            <v>2032/33</v>
          </cell>
        </row>
        <row r="434">
          <cell r="A434" t="str">
            <v>06 HAWKE`S BAY</v>
          </cell>
          <cell r="B434">
            <v>4</v>
          </cell>
          <cell r="C434">
            <v>2038</v>
          </cell>
          <cell r="D434">
            <v>4</v>
          </cell>
          <cell r="E434">
            <v>8</v>
          </cell>
          <cell r="F434">
            <v>0.35718872400000001</v>
          </cell>
          <cell r="G434">
            <v>1.6131464772999999</v>
          </cell>
          <cell r="H434">
            <v>5.37000984E-2</v>
          </cell>
          <cell r="J434" t="str">
            <v>2037/38</v>
          </cell>
        </row>
        <row r="435">
          <cell r="A435" t="str">
            <v>06 HAWKE`S BAY</v>
          </cell>
          <cell r="B435">
            <v>4</v>
          </cell>
          <cell r="C435">
            <v>2043</v>
          </cell>
          <cell r="D435">
            <v>4</v>
          </cell>
          <cell r="E435">
            <v>8</v>
          </cell>
          <cell r="F435">
            <v>0.33915382760000001</v>
          </cell>
          <cell r="G435">
            <v>1.5285787811</v>
          </cell>
          <cell r="H435">
            <v>5.1700970899999997E-2</v>
          </cell>
          <cell r="J435" t="str">
            <v>2042/43</v>
          </cell>
        </row>
        <row r="436">
          <cell r="A436" t="str">
            <v>06 HAWKE`S BAY</v>
          </cell>
          <cell r="B436">
            <v>5</v>
          </cell>
          <cell r="C436">
            <v>2013</v>
          </cell>
          <cell r="D436">
            <v>6</v>
          </cell>
          <cell r="E436">
            <v>19</v>
          </cell>
          <cell r="F436">
            <v>0.65061969099999994</v>
          </cell>
          <cell r="G436">
            <v>3.0321841239</v>
          </cell>
          <cell r="H436">
            <v>0.11763194120000001</v>
          </cell>
          <cell r="I436" t="str">
            <v>Motorcyclist</v>
          </cell>
          <cell r="J436" t="str">
            <v>2012/13</v>
          </cell>
        </row>
        <row r="437">
          <cell r="A437" t="str">
            <v>06 HAWKE`S BAY</v>
          </cell>
          <cell r="B437">
            <v>5</v>
          </cell>
          <cell r="C437">
            <v>2018</v>
          </cell>
          <cell r="D437">
            <v>6</v>
          </cell>
          <cell r="E437">
            <v>19</v>
          </cell>
          <cell r="F437">
            <v>0.61577450040000004</v>
          </cell>
          <cell r="G437">
            <v>3.1470884633999998</v>
          </cell>
          <cell r="H437">
            <v>0.1125540652</v>
          </cell>
          <cell r="I437" t="str">
            <v>Motorcyclist</v>
          </cell>
          <cell r="J437" t="str">
            <v>2017/18</v>
          </cell>
        </row>
        <row r="438">
          <cell r="A438" t="str">
            <v>06 HAWKE`S BAY</v>
          </cell>
          <cell r="B438">
            <v>5</v>
          </cell>
          <cell r="C438">
            <v>2023</v>
          </cell>
          <cell r="D438">
            <v>6</v>
          </cell>
          <cell r="E438">
            <v>19</v>
          </cell>
          <cell r="F438">
            <v>0.577221863</v>
          </cell>
          <cell r="G438">
            <v>3.1888436533000002</v>
          </cell>
          <cell r="H438">
            <v>0.1078638739</v>
          </cell>
          <cell r="I438" t="str">
            <v>Motorcyclist</v>
          </cell>
          <cell r="J438" t="str">
            <v>2022/23</v>
          </cell>
        </row>
        <row r="439">
          <cell r="A439" t="str">
            <v>06 HAWKE`S BAY</v>
          </cell>
          <cell r="B439">
            <v>5</v>
          </cell>
          <cell r="C439">
            <v>2028</v>
          </cell>
          <cell r="D439">
            <v>6</v>
          </cell>
          <cell r="E439">
            <v>19</v>
          </cell>
          <cell r="F439">
            <v>0.55282079679999996</v>
          </cell>
          <cell r="G439">
            <v>3.0102562057000002</v>
          </cell>
          <cell r="H439">
            <v>0.1033850835</v>
          </cell>
          <cell r="I439" t="str">
            <v>Motorcyclist</v>
          </cell>
          <cell r="J439" t="str">
            <v>2027/28</v>
          </cell>
        </row>
        <row r="440">
          <cell r="A440" t="str">
            <v>06 HAWKE`S BAY</v>
          </cell>
          <cell r="B440">
            <v>5</v>
          </cell>
          <cell r="C440">
            <v>2033</v>
          </cell>
          <cell r="D440">
            <v>6</v>
          </cell>
          <cell r="E440">
            <v>19</v>
          </cell>
          <cell r="F440">
            <v>0.51548948939999995</v>
          </cell>
          <cell r="G440">
            <v>2.7843699933999999</v>
          </cell>
          <cell r="H440">
            <v>9.4683085700000003E-2</v>
          </cell>
          <cell r="I440" t="str">
            <v>Motorcyclist</v>
          </cell>
          <cell r="J440" t="str">
            <v>2032/33</v>
          </cell>
        </row>
        <row r="441">
          <cell r="A441" t="str">
            <v>06 HAWKE`S BAY</v>
          </cell>
          <cell r="B441">
            <v>5</v>
          </cell>
          <cell r="C441">
            <v>2038</v>
          </cell>
          <cell r="D441">
            <v>6</v>
          </cell>
          <cell r="E441">
            <v>19</v>
          </cell>
          <cell r="F441">
            <v>0.47477909750000002</v>
          </cell>
          <cell r="G441">
            <v>2.6252733485999999</v>
          </cell>
          <cell r="H441">
            <v>8.8572250800000002E-2</v>
          </cell>
          <cell r="I441" t="str">
            <v>Motorcyclist</v>
          </cell>
          <cell r="J441" t="str">
            <v>2037/38</v>
          </cell>
        </row>
        <row r="442">
          <cell r="A442" t="str">
            <v>06 HAWKE`S BAY</v>
          </cell>
          <cell r="B442">
            <v>5</v>
          </cell>
          <cell r="C442">
            <v>2043</v>
          </cell>
          <cell r="D442">
            <v>6</v>
          </cell>
          <cell r="E442">
            <v>19</v>
          </cell>
          <cell r="F442">
            <v>0.43350243700000002</v>
          </cell>
          <cell r="G442">
            <v>2.4749209025000001</v>
          </cell>
          <cell r="H442">
            <v>8.2458415800000004E-2</v>
          </cell>
          <cell r="I442" t="str">
            <v>Motorcyclist</v>
          </cell>
          <cell r="J442" t="str">
            <v>2042/43</v>
          </cell>
        </row>
        <row r="443">
          <cell r="A443" t="str">
            <v>06 HAWKE`S BAY</v>
          </cell>
          <cell r="B443">
            <v>7</v>
          </cell>
          <cell r="C443">
            <v>2013</v>
          </cell>
          <cell r="D443">
            <v>50</v>
          </cell>
          <cell r="E443">
            <v>142</v>
          </cell>
          <cell r="F443">
            <v>4.5218645043999999</v>
          </cell>
          <cell r="G443">
            <v>39.591997026999998</v>
          </cell>
          <cell r="H443">
            <v>1.3660147812000001</v>
          </cell>
          <cell r="I443" t="str">
            <v>Local Bus</v>
          </cell>
          <cell r="J443" t="str">
            <v>2012/13</v>
          </cell>
        </row>
        <row r="444">
          <cell r="A444" t="str">
            <v>06 HAWKE`S BAY</v>
          </cell>
          <cell r="B444">
            <v>7</v>
          </cell>
          <cell r="C444">
            <v>2018</v>
          </cell>
          <cell r="D444">
            <v>50</v>
          </cell>
          <cell r="E444">
            <v>142</v>
          </cell>
          <cell r="F444">
            <v>4.4607048811999999</v>
          </cell>
          <cell r="G444">
            <v>38.035323120999998</v>
          </cell>
          <cell r="H444">
            <v>1.3544011966</v>
          </cell>
          <cell r="I444" t="str">
            <v>Local Bus</v>
          </cell>
          <cell r="J444" t="str">
            <v>2017/18</v>
          </cell>
        </row>
        <row r="445">
          <cell r="A445" t="str">
            <v>06 HAWKE`S BAY</v>
          </cell>
          <cell r="B445">
            <v>7</v>
          </cell>
          <cell r="C445">
            <v>2023</v>
          </cell>
          <cell r="D445">
            <v>50</v>
          </cell>
          <cell r="E445">
            <v>142</v>
          </cell>
          <cell r="F445">
            <v>4.4100952614000004</v>
          </cell>
          <cell r="G445">
            <v>36.712064374999997</v>
          </cell>
          <cell r="H445">
            <v>1.3449300063</v>
          </cell>
          <cell r="I445" t="str">
            <v>Local Bus</v>
          </cell>
          <cell r="J445" t="str">
            <v>2022/23</v>
          </cell>
        </row>
        <row r="446">
          <cell r="A446" t="str">
            <v>06 HAWKE`S BAY</v>
          </cell>
          <cell r="B446">
            <v>7</v>
          </cell>
          <cell r="C446">
            <v>2028</v>
          </cell>
          <cell r="D446">
            <v>50</v>
          </cell>
          <cell r="E446">
            <v>142</v>
          </cell>
          <cell r="F446">
            <v>4.4172247625000001</v>
          </cell>
          <cell r="G446">
            <v>36.770764001000003</v>
          </cell>
          <cell r="H446">
            <v>1.3486397030999999</v>
          </cell>
          <cell r="I446" t="str">
            <v>Local Bus</v>
          </cell>
          <cell r="J446" t="str">
            <v>2027/28</v>
          </cell>
        </row>
        <row r="447">
          <cell r="A447" t="str">
            <v>06 HAWKE`S BAY</v>
          </cell>
          <cell r="B447">
            <v>7</v>
          </cell>
          <cell r="C447">
            <v>2033</v>
          </cell>
          <cell r="D447">
            <v>50</v>
          </cell>
          <cell r="E447">
            <v>142</v>
          </cell>
          <cell r="F447">
            <v>4.2669626844000001</v>
          </cell>
          <cell r="G447">
            <v>35.534913803000002</v>
          </cell>
          <cell r="H447">
            <v>1.3004854295999999</v>
          </cell>
          <cell r="I447" t="str">
            <v>Local Bus</v>
          </cell>
          <cell r="J447" t="str">
            <v>2032/33</v>
          </cell>
        </row>
        <row r="448">
          <cell r="A448" t="str">
            <v>06 HAWKE`S BAY</v>
          </cell>
          <cell r="B448">
            <v>7</v>
          </cell>
          <cell r="C448">
            <v>2038</v>
          </cell>
          <cell r="D448">
            <v>50</v>
          </cell>
          <cell r="E448">
            <v>142</v>
          </cell>
          <cell r="F448">
            <v>4.2079333999999999</v>
          </cell>
          <cell r="G448">
            <v>35.101439718000002</v>
          </cell>
          <cell r="H448">
            <v>1.2835044789000001</v>
          </cell>
          <cell r="I448" t="str">
            <v>Local Bus</v>
          </cell>
          <cell r="J448" t="str">
            <v>2037/38</v>
          </cell>
        </row>
        <row r="449">
          <cell r="A449" t="str">
            <v>06 HAWKE`S BAY</v>
          </cell>
          <cell r="B449">
            <v>7</v>
          </cell>
          <cell r="C449">
            <v>2043</v>
          </cell>
          <cell r="D449">
            <v>50</v>
          </cell>
          <cell r="E449">
            <v>142</v>
          </cell>
          <cell r="F449">
            <v>4.1231029353000004</v>
          </cell>
          <cell r="G449">
            <v>34.470171174999997</v>
          </cell>
          <cell r="H449">
            <v>1.2580087369999999</v>
          </cell>
          <cell r="I449" t="str">
            <v>Local Bus</v>
          </cell>
          <cell r="J449" t="str">
            <v>2042/43</v>
          </cell>
        </row>
        <row r="450">
          <cell r="A450" t="str">
            <v>06 HAWKE`S BAY</v>
          </cell>
          <cell r="B450">
            <v>9</v>
          </cell>
          <cell r="C450">
            <v>2013</v>
          </cell>
          <cell r="D450">
            <v>3</v>
          </cell>
          <cell r="E450">
            <v>10</v>
          </cell>
          <cell r="F450">
            <v>0.49138149730000003</v>
          </cell>
          <cell r="G450">
            <v>0</v>
          </cell>
          <cell r="H450">
            <v>0.15778150060000001</v>
          </cell>
          <cell r="I450" t="str">
            <v>Other Household Travel</v>
          </cell>
          <cell r="J450" t="str">
            <v>2012/13</v>
          </cell>
        </row>
        <row r="451">
          <cell r="A451" t="str">
            <v>06 HAWKE`S BAY</v>
          </cell>
          <cell r="B451">
            <v>9</v>
          </cell>
          <cell r="C451">
            <v>2018</v>
          </cell>
          <cell r="D451">
            <v>3</v>
          </cell>
          <cell r="E451">
            <v>10</v>
          </cell>
          <cell r="F451">
            <v>0.52685948049999998</v>
          </cell>
          <cell r="G451">
            <v>0</v>
          </cell>
          <cell r="H451">
            <v>0.16557927610000001</v>
          </cell>
          <cell r="I451" t="str">
            <v>Other Household Travel</v>
          </cell>
          <cell r="J451" t="str">
            <v>2017/18</v>
          </cell>
        </row>
        <row r="452">
          <cell r="A452" t="str">
            <v>06 HAWKE`S BAY</v>
          </cell>
          <cell r="B452">
            <v>9</v>
          </cell>
          <cell r="C452">
            <v>2023</v>
          </cell>
          <cell r="D452">
            <v>3</v>
          </cell>
          <cell r="E452">
            <v>10</v>
          </cell>
          <cell r="F452">
            <v>0.60921790809999998</v>
          </cell>
          <cell r="G452">
            <v>0</v>
          </cell>
          <cell r="H452">
            <v>0.18742793930000001</v>
          </cell>
          <cell r="I452" t="str">
            <v>Other Household Travel</v>
          </cell>
          <cell r="J452" t="str">
            <v>2022/23</v>
          </cell>
        </row>
        <row r="453">
          <cell r="A453" t="str">
            <v>06 HAWKE`S BAY</v>
          </cell>
          <cell r="B453">
            <v>9</v>
          </cell>
          <cell r="C453">
            <v>2028</v>
          </cell>
          <cell r="D453">
            <v>3</v>
          </cell>
          <cell r="E453">
            <v>10</v>
          </cell>
          <cell r="F453">
            <v>0.7131821572</v>
          </cell>
          <cell r="G453">
            <v>0</v>
          </cell>
          <cell r="H453">
            <v>0.2139732204</v>
          </cell>
          <cell r="I453" t="str">
            <v>Other Household Travel</v>
          </cell>
          <cell r="J453" t="str">
            <v>2027/28</v>
          </cell>
        </row>
        <row r="454">
          <cell r="A454" t="str">
            <v>06 HAWKE`S BAY</v>
          </cell>
          <cell r="B454">
            <v>9</v>
          </cell>
          <cell r="C454">
            <v>2033</v>
          </cell>
          <cell r="D454">
            <v>3</v>
          </cell>
          <cell r="E454">
            <v>10</v>
          </cell>
          <cell r="F454">
            <v>0.79721437640000004</v>
          </cell>
          <cell r="G454">
            <v>0</v>
          </cell>
          <cell r="H454">
            <v>0.23354020640000001</v>
          </cell>
          <cell r="I454" t="str">
            <v>Other Household Travel</v>
          </cell>
          <cell r="J454" t="str">
            <v>2032/33</v>
          </cell>
        </row>
        <row r="455">
          <cell r="A455" t="str">
            <v>06 HAWKE`S BAY</v>
          </cell>
          <cell r="B455">
            <v>9</v>
          </cell>
          <cell r="C455">
            <v>2038</v>
          </cell>
          <cell r="D455">
            <v>3</v>
          </cell>
          <cell r="E455">
            <v>10</v>
          </cell>
          <cell r="F455">
            <v>0.89059539619999994</v>
          </cell>
          <cell r="G455">
            <v>0</v>
          </cell>
          <cell r="H455">
            <v>0.25765342320000001</v>
          </cell>
          <cell r="I455" t="str">
            <v>Other Household Travel</v>
          </cell>
          <cell r="J455" t="str">
            <v>2037/38</v>
          </cell>
        </row>
        <row r="456">
          <cell r="A456" t="str">
            <v>06 HAWKE`S BAY</v>
          </cell>
          <cell r="B456">
            <v>9</v>
          </cell>
          <cell r="C456">
            <v>2043</v>
          </cell>
          <cell r="D456">
            <v>3</v>
          </cell>
          <cell r="E456">
            <v>10</v>
          </cell>
          <cell r="F456">
            <v>0.98573371649999997</v>
          </cell>
          <cell r="G456">
            <v>0</v>
          </cell>
          <cell r="H456">
            <v>0.28228127980000001</v>
          </cell>
          <cell r="I456" t="str">
            <v>Other Household Travel</v>
          </cell>
          <cell r="J456" t="str">
            <v>2042/43</v>
          </cell>
        </row>
        <row r="457">
          <cell r="A457" t="str">
            <v>06 HAWKE`S BAY</v>
          </cell>
          <cell r="B457">
            <v>10</v>
          </cell>
          <cell r="C457">
            <v>2013</v>
          </cell>
          <cell r="D457">
            <v>3</v>
          </cell>
          <cell r="E457">
            <v>5</v>
          </cell>
          <cell r="F457">
            <v>0.36260942909999999</v>
          </cell>
          <cell r="G457">
            <v>56.865163273</v>
          </cell>
          <cell r="H457">
            <v>0.96259589999999995</v>
          </cell>
          <cell r="I457" t="str">
            <v>Air/Non-Local PT</v>
          </cell>
          <cell r="J457" t="str">
            <v>2012/13</v>
          </cell>
        </row>
        <row r="458">
          <cell r="A458" t="str">
            <v>06 HAWKE`S BAY</v>
          </cell>
          <cell r="B458">
            <v>10</v>
          </cell>
          <cell r="C458">
            <v>2018</v>
          </cell>
          <cell r="D458">
            <v>3</v>
          </cell>
          <cell r="E458">
            <v>5</v>
          </cell>
          <cell r="F458">
            <v>0.40724406400000002</v>
          </cell>
          <cell r="G458">
            <v>63.508635699999999</v>
          </cell>
          <cell r="H458">
            <v>1.0774162499</v>
          </cell>
          <cell r="I458" t="str">
            <v>Air/Non-Local PT</v>
          </cell>
          <cell r="J458" t="str">
            <v>2017/18</v>
          </cell>
        </row>
        <row r="459">
          <cell r="A459" t="str">
            <v>06 HAWKE`S BAY</v>
          </cell>
          <cell r="B459">
            <v>10</v>
          </cell>
          <cell r="C459">
            <v>2023</v>
          </cell>
          <cell r="D459">
            <v>3</v>
          </cell>
          <cell r="E459">
            <v>5</v>
          </cell>
          <cell r="F459">
            <v>0.4270829692</v>
          </cell>
          <cell r="G459">
            <v>65.819938144000005</v>
          </cell>
          <cell r="H459">
            <v>1.1213505067</v>
          </cell>
          <cell r="I459" t="str">
            <v>Air/Non-Local PT</v>
          </cell>
          <cell r="J459" t="str">
            <v>2022/23</v>
          </cell>
        </row>
        <row r="460">
          <cell r="A460" t="str">
            <v>06 HAWKE`S BAY</v>
          </cell>
          <cell r="B460">
            <v>10</v>
          </cell>
          <cell r="C460">
            <v>2028</v>
          </cell>
          <cell r="D460">
            <v>3</v>
          </cell>
          <cell r="E460">
            <v>5</v>
          </cell>
          <cell r="F460">
            <v>0.41769314219999998</v>
          </cell>
          <cell r="G460">
            <v>64.037845982999997</v>
          </cell>
          <cell r="H460">
            <v>1.0924113896000001</v>
          </cell>
          <cell r="I460" t="str">
            <v>Air/Non-Local PT</v>
          </cell>
          <cell r="J460" t="str">
            <v>2027/28</v>
          </cell>
        </row>
        <row r="461">
          <cell r="A461" t="str">
            <v>06 HAWKE`S BAY</v>
          </cell>
          <cell r="B461">
            <v>10</v>
          </cell>
          <cell r="C461">
            <v>2033</v>
          </cell>
          <cell r="D461">
            <v>3</v>
          </cell>
          <cell r="E461">
            <v>5</v>
          </cell>
          <cell r="F461">
            <v>0.40544398590000003</v>
          </cell>
          <cell r="G461">
            <v>61.649101404</v>
          </cell>
          <cell r="H461">
            <v>1.0550207791999999</v>
          </cell>
          <cell r="I461" t="str">
            <v>Air/Non-Local PT</v>
          </cell>
          <cell r="J461" t="str">
            <v>2032/33</v>
          </cell>
        </row>
        <row r="462">
          <cell r="A462" t="str">
            <v>06 HAWKE`S BAY</v>
          </cell>
          <cell r="B462">
            <v>10</v>
          </cell>
          <cell r="C462">
            <v>2038</v>
          </cell>
          <cell r="D462">
            <v>3</v>
          </cell>
          <cell r="E462">
            <v>5</v>
          </cell>
          <cell r="F462">
            <v>0.40044310500000002</v>
          </cell>
          <cell r="G462">
            <v>62.295452337999997</v>
          </cell>
          <cell r="H462">
            <v>1.0564085158000001</v>
          </cell>
          <cell r="I462" t="str">
            <v>Air/Non-Local PT</v>
          </cell>
          <cell r="J462" t="str">
            <v>2037/38</v>
          </cell>
        </row>
        <row r="463">
          <cell r="A463" t="str">
            <v>06 HAWKE`S BAY</v>
          </cell>
          <cell r="B463">
            <v>10</v>
          </cell>
          <cell r="C463">
            <v>2043</v>
          </cell>
          <cell r="D463">
            <v>3</v>
          </cell>
          <cell r="E463">
            <v>5</v>
          </cell>
          <cell r="F463">
            <v>0.39161066839999997</v>
          </cell>
          <cell r="G463">
            <v>62.339253394000004</v>
          </cell>
          <cell r="H463">
            <v>1.0476136737999999</v>
          </cell>
          <cell r="I463" t="str">
            <v>Air/Non-Local PT</v>
          </cell>
          <cell r="J463" t="str">
            <v>2042/43</v>
          </cell>
        </row>
        <row r="464">
          <cell r="A464" t="str">
            <v>06 HAWKE`S BAY</v>
          </cell>
          <cell r="B464">
            <v>11</v>
          </cell>
          <cell r="C464">
            <v>2013</v>
          </cell>
          <cell r="D464">
            <v>8</v>
          </cell>
          <cell r="E464">
            <v>27</v>
          </cell>
          <cell r="F464">
            <v>0.84253347339999995</v>
          </cell>
          <cell r="G464">
            <v>31.621733808999998</v>
          </cell>
          <cell r="H464">
            <v>0.62196297879999995</v>
          </cell>
          <cell r="I464" t="str">
            <v>Non-Household Travel</v>
          </cell>
          <cell r="J464" t="str">
            <v>2012/13</v>
          </cell>
        </row>
        <row r="465">
          <cell r="A465" t="str">
            <v>06 HAWKE`S BAY</v>
          </cell>
          <cell r="B465">
            <v>11</v>
          </cell>
          <cell r="C465">
            <v>2018</v>
          </cell>
          <cell r="D465">
            <v>8</v>
          </cell>
          <cell r="E465">
            <v>27</v>
          </cell>
          <cell r="F465">
            <v>0.9532945746</v>
          </cell>
          <cell r="G465">
            <v>36.919926830999998</v>
          </cell>
          <cell r="H465">
            <v>0.72287574229999996</v>
          </cell>
          <cell r="I465" t="str">
            <v>Non-Household Travel</v>
          </cell>
          <cell r="J465" t="str">
            <v>2017/18</v>
          </cell>
        </row>
        <row r="466">
          <cell r="A466" t="str">
            <v>06 HAWKE`S BAY</v>
          </cell>
          <cell r="B466">
            <v>11</v>
          </cell>
          <cell r="C466">
            <v>2023</v>
          </cell>
          <cell r="D466">
            <v>8</v>
          </cell>
          <cell r="E466">
            <v>27</v>
          </cell>
          <cell r="F466">
            <v>1.0359565143</v>
          </cell>
          <cell r="G466">
            <v>39.901408740000001</v>
          </cell>
          <cell r="H466">
            <v>0.7868554311</v>
          </cell>
          <cell r="I466" t="str">
            <v>Non-Household Travel</v>
          </cell>
          <cell r="J466" t="str">
            <v>2022/23</v>
          </cell>
        </row>
        <row r="467">
          <cell r="A467" t="str">
            <v>06 HAWKE`S BAY</v>
          </cell>
          <cell r="B467">
            <v>11</v>
          </cell>
          <cell r="C467">
            <v>2028</v>
          </cell>
          <cell r="D467">
            <v>8</v>
          </cell>
          <cell r="E467">
            <v>27</v>
          </cell>
          <cell r="F467">
            <v>1.1022083997000001</v>
          </cell>
          <cell r="G467">
            <v>39.913187131000001</v>
          </cell>
          <cell r="H467">
            <v>0.80798844970000006</v>
          </cell>
          <cell r="I467" t="str">
            <v>Non-Household Travel</v>
          </cell>
          <cell r="J467" t="str">
            <v>2027/28</v>
          </cell>
        </row>
        <row r="468">
          <cell r="A468" t="str">
            <v>06 HAWKE`S BAY</v>
          </cell>
          <cell r="B468">
            <v>11</v>
          </cell>
          <cell r="C468">
            <v>2033</v>
          </cell>
          <cell r="D468">
            <v>8</v>
          </cell>
          <cell r="E468">
            <v>27</v>
          </cell>
          <cell r="F468">
            <v>1.1479130124000001</v>
          </cell>
          <cell r="G468">
            <v>40.269540558999999</v>
          </cell>
          <cell r="H468">
            <v>0.83018581759999999</v>
          </cell>
          <cell r="I468" t="str">
            <v>Non-Household Travel</v>
          </cell>
          <cell r="J468" t="str">
            <v>2032/33</v>
          </cell>
        </row>
        <row r="469">
          <cell r="A469" t="str">
            <v>06 HAWKE`S BAY</v>
          </cell>
          <cell r="B469">
            <v>11</v>
          </cell>
          <cell r="C469">
            <v>2038</v>
          </cell>
          <cell r="D469">
            <v>8</v>
          </cell>
          <cell r="E469">
            <v>27</v>
          </cell>
          <cell r="F469">
            <v>1.2054335355000001</v>
          </cell>
          <cell r="G469">
            <v>41.449128305999999</v>
          </cell>
          <cell r="H469">
            <v>0.86709079479999995</v>
          </cell>
          <cell r="I469" t="str">
            <v>Non-Household Travel</v>
          </cell>
          <cell r="J469" t="str">
            <v>2037/38</v>
          </cell>
        </row>
        <row r="470">
          <cell r="A470" t="str">
            <v>06 HAWKE`S BAY</v>
          </cell>
          <cell r="B470">
            <v>11</v>
          </cell>
          <cell r="C470">
            <v>2043</v>
          </cell>
          <cell r="D470">
            <v>8</v>
          </cell>
          <cell r="E470">
            <v>27</v>
          </cell>
          <cell r="F470">
            <v>1.2589719690000001</v>
          </cell>
          <cell r="G470">
            <v>42.58301093</v>
          </cell>
          <cell r="H470">
            <v>0.90271286529999994</v>
          </cell>
          <cell r="I470" t="str">
            <v>Non-Household Travel</v>
          </cell>
          <cell r="J470" t="str">
            <v>2042/43</v>
          </cell>
        </row>
        <row r="471">
          <cell r="A471" t="str">
            <v>07 TARANAKI</v>
          </cell>
          <cell r="B471">
            <v>0</v>
          </cell>
          <cell r="C471">
            <v>2013</v>
          </cell>
          <cell r="D471">
            <v>314</v>
          </cell>
          <cell r="E471">
            <v>1091</v>
          </cell>
          <cell r="F471">
            <v>23.308571313000002</v>
          </cell>
          <cell r="G471">
            <v>16.820589198</v>
          </cell>
          <cell r="H471">
            <v>4.7547330373000003</v>
          </cell>
          <cell r="I471" t="str">
            <v>Pedestrian</v>
          </cell>
          <cell r="J471" t="str">
            <v>2012/13</v>
          </cell>
        </row>
        <row r="472">
          <cell r="A472" t="str">
            <v>07 TARANAKI</v>
          </cell>
          <cell r="B472">
            <v>0</v>
          </cell>
          <cell r="C472">
            <v>2018</v>
          </cell>
          <cell r="D472">
            <v>314</v>
          </cell>
          <cell r="E472">
            <v>1091</v>
          </cell>
          <cell r="F472">
            <v>24.212180058000001</v>
          </cell>
          <cell r="G472">
            <v>17.53496093</v>
          </cell>
          <cell r="H472">
            <v>4.8028224763000003</v>
          </cell>
          <cell r="I472" t="str">
            <v>Pedestrian</v>
          </cell>
          <cell r="J472" t="str">
            <v>2017/18</v>
          </cell>
        </row>
        <row r="473">
          <cell r="A473" t="str">
            <v>07 TARANAKI</v>
          </cell>
          <cell r="B473">
            <v>0</v>
          </cell>
          <cell r="C473">
            <v>2023</v>
          </cell>
          <cell r="D473">
            <v>314</v>
          </cell>
          <cell r="E473">
            <v>1091</v>
          </cell>
          <cell r="F473">
            <v>24.497834480000002</v>
          </cell>
          <cell r="G473">
            <v>17.822499924999999</v>
          </cell>
          <cell r="H473">
            <v>4.7590874453999996</v>
          </cell>
          <cell r="I473" t="str">
            <v>Pedestrian</v>
          </cell>
          <cell r="J473" t="str">
            <v>2022/23</v>
          </cell>
        </row>
        <row r="474">
          <cell r="A474" t="str">
            <v>07 TARANAKI</v>
          </cell>
          <cell r="B474">
            <v>0</v>
          </cell>
          <cell r="C474">
            <v>2028</v>
          </cell>
          <cell r="D474">
            <v>314</v>
          </cell>
          <cell r="E474">
            <v>1091</v>
          </cell>
          <cell r="F474">
            <v>24.411519596000002</v>
          </cell>
          <cell r="G474">
            <v>17.912139479</v>
          </cell>
          <cell r="H474">
            <v>4.6829578895999999</v>
          </cell>
          <cell r="I474" t="str">
            <v>Pedestrian</v>
          </cell>
          <cell r="J474" t="str">
            <v>2027/28</v>
          </cell>
        </row>
        <row r="475">
          <cell r="A475" t="str">
            <v>07 TARANAKI</v>
          </cell>
          <cell r="B475">
            <v>0</v>
          </cell>
          <cell r="C475">
            <v>2033</v>
          </cell>
          <cell r="D475">
            <v>314</v>
          </cell>
          <cell r="E475">
            <v>1091</v>
          </cell>
          <cell r="F475">
            <v>24.167691655999999</v>
          </cell>
          <cell r="G475">
            <v>17.855241856999999</v>
          </cell>
          <cell r="H475">
            <v>4.5983995738000001</v>
          </cell>
          <cell r="I475" t="str">
            <v>Pedestrian</v>
          </cell>
          <cell r="J475" t="str">
            <v>2032/33</v>
          </cell>
        </row>
        <row r="476">
          <cell r="A476" t="str">
            <v>07 TARANAKI</v>
          </cell>
          <cell r="B476">
            <v>0</v>
          </cell>
          <cell r="C476">
            <v>2038</v>
          </cell>
          <cell r="D476">
            <v>314</v>
          </cell>
          <cell r="E476">
            <v>1091</v>
          </cell>
          <cell r="F476">
            <v>23.825431801000001</v>
          </cell>
          <cell r="G476">
            <v>17.790355129000002</v>
          </cell>
          <cell r="H476">
            <v>4.5175158639999999</v>
          </cell>
          <cell r="I476" t="str">
            <v>Pedestrian</v>
          </cell>
          <cell r="J476" t="str">
            <v>2037/38</v>
          </cell>
        </row>
        <row r="477">
          <cell r="A477" t="str">
            <v>07 TARANAKI</v>
          </cell>
          <cell r="B477">
            <v>0</v>
          </cell>
          <cell r="C477">
            <v>2043</v>
          </cell>
          <cell r="D477">
            <v>314</v>
          </cell>
          <cell r="E477">
            <v>1091</v>
          </cell>
          <cell r="F477">
            <v>23.430274555</v>
          </cell>
          <cell r="G477">
            <v>17.701020218</v>
          </cell>
          <cell r="H477">
            <v>4.4335261329</v>
          </cell>
          <cell r="I477" t="str">
            <v>Pedestrian</v>
          </cell>
          <cell r="J477" t="str">
            <v>2042/43</v>
          </cell>
        </row>
        <row r="478">
          <cell r="A478" t="str">
            <v>07 TARANAKI</v>
          </cell>
          <cell r="B478">
            <v>1</v>
          </cell>
          <cell r="C478">
            <v>2013</v>
          </cell>
          <cell r="D478">
            <v>45</v>
          </cell>
          <cell r="E478">
            <v>133</v>
          </cell>
          <cell r="F478">
            <v>2.1611397319000001</v>
          </cell>
          <cell r="G478">
            <v>5.5737915155</v>
          </cell>
          <cell r="H478">
            <v>0.51341482110000003</v>
          </cell>
          <cell r="I478" t="str">
            <v>Cyclist</v>
          </cell>
          <cell r="J478" t="str">
            <v>2012/13</v>
          </cell>
        </row>
        <row r="479">
          <cell r="A479" t="str">
            <v>07 TARANAKI</v>
          </cell>
          <cell r="B479">
            <v>1</v>
          </cell>
          <cell r="C479">
            <v>2018</v>
          </cell>
          <cell r="D479">
            <v>45</v>
          </cell>
          <cell r="E479">
            <v>133</v>
          </cell>
          <cell r="F479">
            <v>2.1698102010000002</v>
          </cell>
          <cell r="G479">
            <v>5.6993542844</v>
          </cell>
          <cell r="H479">
            <v>0.5307125264</v>
          </cell>
          <cell r="I479" t="str">
            <v>Cyclist</v>
          </cell>
          <cell r="J479" t="str">
            <v>2017/18</v>
          </cell>
        </row>
        <row r="480">
          <cell r="A480" t="str">
            <v>07 TARANAKI</v>
          </cell>
          <cell r="B480">
            <v>1</v>
          </cell>
          <cell r="C480">
            <v>2023</v>
          </cell>
          <cell r="D480">
            <v>45</v>
          </cell>
          <cell r="E480">
            <v>133</v>
          </cell>
          <cell r="F480">
            <v>2.1475793008999999</v>
          </cell>
          <cell r="G480">
            <v>5.6939714579</v>
          </cell>
          <cell r="H480">
            <v>0.53334585239999999</v>
          </cell>
          <cell r="I480" t="str">
            <v>Cyclist</v>
          </cell>
          <cell r="J480" t="str">
            <v>2022/23</v>
          </cell>
        </row>
        <row r="481">
          <cell r="A481" t="str">
            <v>07 TARANAKI</v>
          </cell>
          <cell r="B481">
            <v>1</v>
          </cell>
          <cell r="C481">
            <v>2028</v>
          </cell>
          <cell r="D481">
            <v>45</v>
          </cell>
          <cell r="E481">
            <v>133</v>
          </cell>
          <cell r="F481">
            <v>2.0820245854000001</v>
          </cell>
          <cell r="G481">
            <v>5.4469470082000004</v>
          </cell>
          <cell r="H481">
            <v>0.51432747000000001</v>
          </cell>
          <cell r="I481" t="str">
            <v>Cyclist</v>
          </cell>
          <cell r="J481" t="str">
            <v>2027/28</v>
          </cell>
        </row>
        <row r="482">
          <cell r="A482" t="str">
            <v>07 TARANAKI</v>
          </cell>
          <cell r="B482">
            <v>1</v>
          </cell>
          <cell r="C482">
            <v>2033</v>
          </cell>
          <cell r="D482">
            <v>45</v>
          </cell>
          <cell r="E482">
            <v>133</v>
          </cell>
          <cell r="F482">
            <v>2.0295711643000001</v>
          </cell>
          <cell r="G482">
            <v>5.3855192833999999</v>
          </cell>
          <cell r="H482">
            <v>0.51014516239999996</v>
          </cell>
          <cell r="I482" t="str">
            <v>Cyclist</v>
          </cell>
          <cell r="J482" t="str">
            <v>2032/33</v>
          </cell>
        </row>
        <row r="483">
          <cell r="A483" t="str">
            <v>07 TARANAKI</v>
          </cell>
          <cell r="B483">
            <v>1</v>
          </cell>
          <cell r="C483">
            <v>2038</v>
          </cell>
          <cell r="D483">
            <v>45</v>
          </cell>
          <cell r="E483">
            <v>133</v>
          </cell>
          <cell r="F483">
            <v>1.9555655027000001</v>
          </cell>
          <cell r="G483">
            <v>5.4459820749999999</v>
          </cell>
          <cell r="H483">
            <v>0.5128819912</v>
          </cell>
          <cell r="I483" t="str">
            <v>Cyclist</v>
          </cell>
          <cell r="J483" t="str">
            <v>2037/38</v>
          </cell>
        </row>
        <row r="484">
          <cell r="A484" t="str">
            <v>07 TARANAKI</v>
          </cell>
          <cell r="B484">
            <v>1</v>
          </cell>
          <cell r="C484">
            <v>2043</v>
          </cell>
          <cell r="D484">
            <v>45</v>
          </cell>
          <cell r="E484">
            <v>133</v>
          </cell>
          <cell r="F484">
            <v>1.8896302406000001</v>
          </cell>
          <cell r="G484">
            <v>5.5476818932</v>
          </cell>
          <cell r="H484">
            <v>0.51884323669999999</v>
          </cell>
          <cell r="I484" t="str">
            <v>Cyclist</v>
          </cell>
          <cell r="J484" t="str">
            <v>2042/43</v>
          </cell>
        </row>
        <row r="485">
          <cell r="A485" t="str">
            <v>07 TARANAKI</v>
          </cell>
          <cell r="B485">
            <v>2</v>
          </cell>
          <cell r="C485">
            <v>2013</v>
          </cell>
          <cell r="D485">
            <v>575</v>
          </cell>
          <cell r="E485">
            <v>4143</v>
          </cell>
          <cell r="F485">
            <v>90.801950900999998</v>
          </cell>
          <cell r="G485">
            <v>933.36875414999997</v>
          </cell>
          <cell r="H485">
            <v>21.205429401</v>
          </cell>
          <cell r="I485" t="str">
            <v>Light Vehicle Driver</v>
          </cell>
          <cell r="J485" t="str">
            <v>2012/13</v>
          </cell>
        </row>
        <row r="486">
          <cell r="A486" t="str">
            <v>07 TARANAKI</v>
          </cell>
          <cell r="B486">
            <v>2</v>
          </cell>
          <cell r="C486">
            <v>2018</v>
          </cell>
          <cell r="D486">
            <v>575</v>
          </cell>
          <cell r="E486">
            <v>4143</v>
          </cell>
          <cell r="F486">
            <v>96.544495486000002</v>
          </cell>
          <cell r="G486">
            <v>1005.2077748</v>
          </cell>
          <cell r="H486">
            <v>22.731107899000001</v>
          </cell>
          <cell r="I486" t="str">
            <v>Light Vehicle Driver</v>
          </cell>
          <cell r="J486" t="str">
            <v>2017/18</v>
          </cell>
        </row>
        <row r="487">
          <cell r="A487" t="str">
            <v>07 TARANAKI</v>
          </cell>
          <cell r="B487">
            <v>2</v>
          </cell>
          <cell r="C487">
            <v>2023</v>
          </cell>
          <cell r="D487">
            <v>575</v>
          </cell>
          <cell r="E487">
            <v>4143</v>
          </cell>
          <cell r="F487">
            <v>100.35730082000001</v>
          </cell>
          <cell r="G487">
            <v>1051.4597498999999</v>
          </cell>
          <cell r="H487">
            <v>23.735088105999999</v>
          </cell>
          <cell r="I487" t="str">
            <v>Light Vehicle Driver</v>
          </cell>
          <cell r="J487" t="str">
            <v>2022/23</v>
          </cell>
        </row>
        <row r="488">
          <cell r="A488" t="str">
            <v>07 TARANAKI</v>
          </cell>
          <cell r="B488">
            <v>2</v>
          </cell>
          <cell r="C488">
            <v>2028</v>
          </cell>
          <cell r="D488">
            <v>575</v>
          </cell>
          <cell r="E488">
            <v>4143</v>
          </cell>
          <cell r="F488">
            <v>103.33985337</v>
          </cell>
          <cell r="G488">
            <v>1078.6353959999999</v>
          </cell>
          <cell r="H488">
            <v>24.429981941000001</v>
          </cell>
          <cell r="I488" t="str">
            <v>Light Vehicle Driver</v>
          </cell>
          <cell r="J488" t="str">
            <v>2027/28</v>
          </cell>
        </row>
        <row r="489">
          <cell r="A489" t="str">
            <v>07 TARANAKI</v>
          </cell>
          <cell r="B489">
            <v>2</v>
          </cell>
          <cell r="C489">
            <v>2033</v>
          </cell>
          <cell r="D489">
            <v>575</v>
          </cell>
          <cell r="E489">
            <v>4143</v>
          </cell>
          <cell r="F489">
            <v>104.34847512</v>
          </cell>
          <cell r="G489">
            <v>1085.7181313000001</v>
          </cell>
          <cell r="H489">
            <v>24.681607252999999</v>
          </cell>
          <cell r="I489" t="str">
            <v>Light Vehicle Driver</v>
          </cell>
          <cell r="J489" t="str">
            <v>2032/33</v>
          </cell>
        </row>
        <row r="490">
          <cell r="A490" t="str">
            <v>07 TARANAKI</v>
          </cell>
          <cell r="B490">
            <v>2</v>
          </cell>
          <cell r="C490">
            <v>2038</v>
          </cell>
          <cell r="D490">
            <v>575</v>
          </cell>
          <cell r="E490">
            <v>4143</v>
          </cell>
          <cell r="F490">
            <v>105.06699736</v>
          </cell>
          <cell r="G490">
            <v>1102.4151623</v>
          </cell>
          <cell r="H490">
            <v>25.013110663999999</v>
          </cell>
          <cell r="I490" t="str">
            <v>Light Vehicle Driver</v>
          </cell>
          <cell r="J490" t="str">
            <v>2037/38</v>
          </cell>
        </row>
        <row r="491">
          <cell r="A491" t="str">
            <v>07 TARANAKI</v>
          </cell>
          <cell r="B491">
            <v>2</v>
          </cell>
          <cell r="C491">
            <v>2043</v>
          </cell>
          <cell r="D491">
            <v>575</v>
          </cell>
          <cell r="E491">
            <v>4143</v>
          </cell>
          <cell r="F491">
            <v>105.19878405999999</v>
          </cell>
          <cell r="G491">
            <v>1113.9243205</v>
          </cell>
          <cell r="H491">
            <v>25.216884839999999</v>
          </cell>
          <cell r="I491" t="str">
            <v>Light Vehicle Driver</v>
          </cell>
          <cell r="J491" t="str">
            <v>2042/43</v>
          </cell>
        </row>
        <row r="492">
          <cell r="A492" t="str">
            <v>07 TARANAKI</v>
          </cell>
          <cell r="B492">
            <v>3</v>
          </cell>
          <cell r="C492">
            <v>2013</v>
          </cell>
          <cell r="D492">
            <v>446</v>
          </cell>
          <cell r="E492">
            <v>2212</v>
          </cell>
          <cell r="F492">
            <v>45.48406773</v>
          </cell>
          <cell r="G492">
            <v>656.25872372000003</v>
          </cell>
          <cell r="H492">
            <v>13.125178352000001</v>
          </cell>
          <cell r="I492" t="str">
            <v>Light Vehicle Passenger</v>
          </cell>
          <cell r="J492" t="str">
            <v>2012/13</v>
          </cell>
        </row>
        <row r="493">
          <cell r="A493" t="str">
            <v>07 TARANAKI</v>
          </cell>
          <cell r="B493">
            <v>3</v>
          </cell>
          <cell r="C493">
            <v>2018</v>
          </cell>
          <cell r="D493">
            <v>446</v>
          </cell>
          <cell r="E493">
            <v>2212</v>
          </cell>
          <cell r="F493">
            <v>45.646355010999997</v>
          </cell>
          <cell r="G493">
            <v>654.53776778999998</v>
          </cell>
          <cell r="H493">
            <v>13.115308556</v>
          </cell>
          <cell r="I493" t="str">
            <v>Light Vehicle Passenger</v>
          </cell>
          <cell r="J493" t="str">
            <v>2017/18</v>
          </cell>
        </row>
        <row r="494">
          <cell r="A494" t="str">
            <v>07 TARANAKI</v>
          </cell>
          <cell r="B494">
            <v>3</v>
          </cell>
          <cell r="C494">
            <v>2023</v>
          </cell>
          <cell r="D494">
            <v>446</v>
          </cell>
          <cell r="E494">
            <v>2212</v>
          </cell>
          <cell r="F494">
            <v>45.099895337</v>
          </cell>
          <cell r="G494">
            <v>641.56447295999999</v>
          </cell>
          <cell r="H494">
            <v>12.895918591999999</v>
          </cell>
          <cell r="I494" t="str">
            <v>Light Vehicle Passenger</v>
          </cell>
          <cell r="J494" t="str">
            <v>2022/23</v>
          </cell>
        </row>
        <row r="495">
          <cell r="A495" t="str">
            <v>07 TARANAKI</v>
          </cell>
          <cell r="B495">
            <v>3</v>
          </cell>
          <cell r="C495">
            <v>2028</v>
          </cell>
          <cell r="D495">
            <v>446</v>
          </cell>
          <cell r="E495">
            <v>2212</v>
          </cell>
          <cell r="F495">
            <v>44.699069059999999</v>
          </cell>
          <cell r="G495">
            <v>635.29010734999997</v>
          </cell>
          <cell r="H495">
            <v>12.800680613999999</v>
          </cell>
          <cell r="I495" t="str">
            <v>Light Vehicle Passenger</v>
          </cell>
          <cell r="J495" t="str">
            <v>2027/28</v>
          </cell>
        </row>
        <row r="496">
          <cell r="A496" t="str">
            <v>07 TARANAKI</v>
          </cell>
          <cell r="B496">
            <v>3</v>
          </cell>
          <cell r="C496">
            <v>2033</v>
          </cell>
          <cell r="D496">
            <v>446</v>
          </cell>
          <cell r="E496">
            <v>2212</v>
          </cell>
          <cell r="F496">
            <v>44.335198783999999</v>
          </cell>
          <cell r="G496">
            <v>631.10600166999996</v>
          </cell>
          <cell r="H496">
            <v>12.725479131</v>
          </cell>
          <cell r="I496" t="str">
            <v>Light Vehicle Passenger</v>
          </cell>
          <cell r="J496" t="str">
            <v>2032/33</v>
          </cell>
        </row>
        <row r="497">
          <cell r="A497" t="str">
            <v>07 TARANAKI</v>
          </cell>
          <cell r="B497">
            <v>3</v>
          </cell>
          <cell r="C497">
            <v>2038</v>
          </cell>
          <cell r="D497">
            <v>446</v>
          </cell>
          <cell r="E497">
            <v>2212</v>
          </cell>
          <cell r="F497">
            <v>43.716073639000001</v>
          </cell>
          <cell r="G497">
            <v>619.95108234999998</v>
          </cell>
          <cell r="H497">
            <v>12.527319645</v>
          </cell>
          <cell r="I497" t="str">
            <v>Light Vehicle Passenger</v>
          </cell>
          <cell r="J497" t="str">
            <v>2037/38</v>
          </cell>
        </row>
        <row r="498">
          <cell r="A498" t="str">
            <v>07 TARANAKI</v>
          </cell>
          <cell r="B498">
            <v>3</v>
          </cell>
          <cell r="C498">
            <v>2043</v>
          </cell>
          <cell r="D498">
            <v>446</v>
          </cell>
          <cell r="E498">
            <v>2212</v>
          </cell>
          <cell r="F498">
            <v>42.864546863000001</v>
          </cell>
          <cell r="G498">
            <v>605.92168363999997</v>
          </cell>
          <cell r="H498">
            <v>12.267550246000001</v>
          </cell>
          <cell r="I498" t="str">
            <v>Light Vehicle Passenger</v>
          </cell>
          <cell r="J498" t="str">
            <v>2042/43</v>
          </cell>
        </row>
        <row r="499">
          <cell r="A499" t="str">
            <v>07 TARANAKI</v>
          </cell>
          <cell r="B499">
            <v>4</v>
          </cell>
          <cell r="C499">
            <v>2013</v>
          </cell>
          <cell r="D499">
            <v>10</v>
          </cell>
          <cell r="E499">
            <v>18</v>
          </cell>
          <cell r="F499">
            <v>0.56194422089999996</v>
          </cell>
          <cell r="G499">
            <v>1.1335038904000001</v>
          </cell>
          <cell r="H499">
            <v>0.10005985589999999</v>
          </cell>
          <cell r="J499" t="str">
            <v>2012/13</v>
          </cell>
        </row>
        <row r="500">
          <cell r="A500" t="str">
            <v>07 TARANAKI</v>
          </cell>
          <cell r="B500">
            <v>4</v>
          </cell>
          <cell r="C500">
            <v>2018</v>
          </cell>
          <cell r="D500">
            <v>10</v>
          </cell>
          <cell r="E500">
            <v>18</v>
          </cell>
          <cell r="F500">
            <v>0.67532584159999998</v>
          </cell>
          <cell r="G500">
            <v>1.3664527943</v>
          </cell>
          <cell r="H500">
            <v>0.1211103456</v>
          </cell>
          <cell r="J500" t="str">
            <v>2017/18</v>
          </cell>
        </row>
        <row r="501">
          <cell r="A501" t="str">
            <v>07 TARANAKI</v>
          </cell>
          <cell r="B501">
            <v>4</v>
          </cell>
          <cell r="C501">
            <v>2023</v>
          </cell>
          <cell r="D501">
            <v>10</v>
          </cell>
          <cell r="E501">
            <v>18</v>
          </cell>
          <cell r="F501">
            <v>0.73371922720000005</v>
          </cell>
          <cell r="G501">
            <v>1.4970564316999999</v>
          </cell>
          <cell r="H501">
            <v>0.13195574369999999</v>
          </cell>
          <cell r="J501" t="str">
            <v>2022/23</v>
          </cell>
        </row>
        <row r="502">
          <cell r="A502" t="str">
            <v>07 TARANAKI</v>
          </cell>
          <cell r="B502">
            <v>4</v>
          </cell>
          <cell r="C502">
            <v>2028</v>
          </cell>
          <cell r="D502">
            <v>10</v>
          </cell>
          <cell r="E502">
            <v>18</v>
          </cell>
          <cell r="F502">
            <v>0.79107644219999995</v>
          </cell>
          <cell r="G502">
            <v>1.6301704101000001</v>
          </cell>
          <cell r="H502">
            <v>0.14285123250000001</v>
          </cell>
          <cell r="J502" t="str">
            <v>2027/28</v>
          </cell>
        </row>
        <row r="503">
          <cell r="A503" t="str">
            <v>07 TARANAKI</v>
          </cell>
          <cell r="B503">
            <v>4</v>
          </cell>
          <cell r="C503">
            <v>2033</v>
          </cell>
          <cell r="D503">
            <v>10</v>
          </cell>
          <cell r="E503">
            <v>18</v>
          </cell>
          <cell r="F503">
            <v>0.80320683739999998</v>
          </cell>
          <cell r="G503">
            <v>1.6729183734999999</v>
          </cell>
          <cell r="H503">
            <v>0.1462277857</v>
          </cell>
          <cell r="J503" t="str">
            <v>2032/33</v>
          </cell>
        </row>
        <row r="504">
          <cell r="A504" t="str">
            <v>07 TARANAKI</v>
          </cell>
          <cell r="B504">
            <v>4</v>
          </cell>
          <cell r="C504">
            <v>2038</v>
          </cell>
          <cell r="D504">
            <v>10</v>
          </cell>
          <cell r="E504">
            <v>18</v>
          </cell>
          <cell r="F504">
            <v>0.80582034920000001</v>
          </cell>
          <cell r="G504">
            <v>1.7017684255000001</v>
          </cell>
          <cell r="H504">
            <v>0.14691548679999999</v>
          </cell>
          <cell r="J504" t="str">
            <v>2037/38</v>
          </cell>
        </row>
        <row r="505">
          <cell r="A505" t="str">
            <v>07 TARANAKI</v>
          </cell>
          <cell r="B505">
            <v>4</v>
          </cell>
          <cell r="C505">
            <v>2043</v>
          </cell>
          <cell r="D505">
            <v>10</v>
          </cell>
          <cell r="E505">
            <v>18</v>
          </cell>
          <cell r="F505">
            <v>0.80199921360000004</v>
          </cell>
          <cell r="G505">
            <v>1.7184032031000001</v>
          </cell>
          <cell r="H505">
            <v>0.14645045810000001</v>
          </cell>
          <cell r="J505" t="str">
            <v>2042/43</v>
          </cell>
        </row>
        <row r="506">
          <cell r="A506" t="str">
            <v>07 TARANAKI</v>
          </cell>
          <cell r="B506">
            <v>5</v>
          </cell>
          <cell r="C506">
            <v>2013</v>
          </cell>
          <cell r="D506">
            <v>14</v>
          </cell>
          <cell r="E506">
            <v>51</v>
          </cell>
          <cell r="F506">
            <v>1.091812341</v>
          </cell>
          <cell r="G506">
            <v>7.0100687938000004</v>
          </cell>
          <cell r="H506">
            <v>0.25001806910000002</v>
          </cell>
          <cell r="I506" t="str">
            <v>Motorcyclist</v>
          </cell>
          <cell r="J506" t="str">
            <v>2012/13</v>
          </cell>
        </row>
        <row r="507">
          <cell r="A507" t="str">
            <v>07 TARANAKI</v>
          </cell>
          <cell r="B507">
            <v>5</v>
          </cell>
          <cell r="C507">
            <v>2018</v>
          </cell>
          <cell r="D507">
            <v>14</v>
          </cell>
          <cell r="E507">
            <v>51</v>
          </cell>
          <cell r="F507">
            <v>1.1454847770000001</v>
          </cell>
          <cell r="G507">
            <v>7.2801277295000002</v>
          </cell>
          <cell r="H507">
            <v>0.25975179180000002</v>
          </cell>
          <cell r="I507" t="str">
            <v>Motorcyclist</v>
          </cell>
          <cell r="J507" t="str">
            <v>2017/18</v>
          </cell>
        </row>
        <row r="508">
          <cell r="A508" t="str">
            <v>07 TARANAKI</v>
          </cell>
          <cell r="B508">
            <v>5</v>
          </cell>
          <cell r="C508">
            <v>2023</v>
          </cell>
          <cell r="D508">
            <v>14</v>
          </cell>
          <cell r="E508">
            <v>51</v>
          </cell>
          <cell r="F508">
            <v>1.1336116976999999</v>
          </cell>
          <cell r="G508">
            <v>7.3798361622000002</v>
          </cell>
          <cell r="H508">
            <v>0.26352924189999999</v>
          </cell>
          <cell r="I508" t="str">
            <v>Motorcyclist</v>
          </cell>
          <cell r="J508" t="str">
            <v>2022/23</v>
          </cell>
        </row>
        <row r="509">
          <cell r="A509" t="str">
            <v>07 TARANAKI</v>
          </cell>
          <cell r="B509">
            <v>5</v>
          </cell>
          <cell r="C509">
            <v>2028</v>
          </cell>
          <cell r="D509">
            <v>14</v>
          </cell>
          <cell r="E509">
            <v>51</v>
          </cell>
          <cell r="F509">
            <v>1.0611769563</v>
          </cell>
          <cell r="G509">
            <v>7.3621526298999997</v>
          </cell>
          <cell r="H509">
            <v>0.2600842042</v>
          </cell>
          <cell r="I509" t="str">
            <v>Motorcyclist</v>
          </cell>
          <cell r="J509" t="str">
            <v>2027/28</v>
          </cell>
        </row>
        <row r="510">
          <cell r="A510" t="str">
            <v>07 TARANAKI</v>
          </cell>
          <cell r="B510">
            <v>5</v>
          </cell>
          <cell r="C510">
            <v>2033</v>
          </cell>
          <cell r="D510">
            <v>14</v>
          </cell>
          <cell r="E510">
            <v>51</v>
          </cell>
          <cell r="F510">
            <v>0.99988484040000003</v>
          </cell>
          <cell r="G510">
            <v>7.0816585221999997</v>
          </cell>
          <cell r="H510">
            <v>0.25323412960000002</v>
          </cell>
          <cell r="I510" t="str">
            <v>Motorcyclist</v>
          </cell>
          <cell r="J510" t="str">
            <v>2032/33</v>
          </cell>
        </row>
        <row r="511">
          <cell r="A511" t="str">
            <v>07 TARANAKI</v>
          </cell>
          <cell r="B511">
            <v>5</v>
          </cell>
          <cell r="C511">
            <v>2038</v>
          </cell>
          <cell r="D511">
            <v>14</v>
          </cell>
          <cell r="E511">
            <v>51</v>
          </cell>
          <cell r="F511">
            <v>0.97634664900000001</v>
          </cell>
          <cell r="G511">
            <v>6.7771499517000002</v>
          </cell>
          <cell r="H511">
            <v>0.2476314322</v>
          </cell>
          <cell r="I511" t="str">
            <v>Motorcyclist</v>
          </cell>
          <cell r="J511" t="str">
            <v>2037/38</v>
          </cell>
        </row>
        <row r="512">
          <cell r="A512" t="str">
            <v>07 TARANAKI</v>
          </cell>
          <cell r="B512">
            <v>5</v>
          </cell>
          <cell r="C512">
            <v>2043</v>
          </cell>
          <cell r="D512">
            <v>14</v>
          </cell>
          <cell r="E512">
            <v>51</v>
          </cell>
          <cell r="F512">
            <v>0.94675415409999997</v>
          </cell>
          <cell r="G512">
            <v>6.4570847358999997</v>
          </cell>
          <cell r="H512">
            <v>0.24167250270000001</v>
          </cell>
          <cell r="I512" t="str">
            <v>Motorcyclist</v>
          </cell>
          <cell r="J512" t="str">
            <v>2042/43</v>
          </cell>
        </row>
        <row r="513">
          <cell r="A513" t="str">
            <v>07 TARANAKI</v>
          </cell>
          <cell r="B513">
            <v>6</v>
          </cell>
          <cell r="C513">
            <v>2013</v>
          </cell>
          <cell r="D513">
            <v>1</v>
          </cell>
          <cell r="E513">
            <v>2</v>
          </cell>
          <cell r="F513">
            <v>5.3266318100000001E-2</v>
          </cell>
          <cell r="G513">
            <v>0.36455468079999997</v>
          </cell>
          <cell r="H513">
            <v>8.8777196999999999E-3</v>
          </cell>
          <cell r="I513" t="str">
            <v>Local Train</v>
          </cell>
          <cell r="J513" t="str">
            <v>2012/13</v>
          </cell>
        </row>
        <row r="514">
          <cell r="A514" t="str">
            <v>07 TARANAKI</v>
          </cell>
          <cell r="B514">
            <v>6</v>
          </cell>
          <cell r="C514">
            <v>2018</v>
          </cell>
          <cell r="D514">
            <v>1</v>
          </cell>
          <cell r="E514">
            <v>2</v>
          </cell>
          <cell r="F514">
            <v>5.1328161800000001E-2</v>
          </cell>
          <cell r="G514">
            <v>0.35128993920000001</v>
          </cell>
          <cell r="H514">
            <v>8.5546935999999997E-3</v>
          </cell>
          <cell r="I514" t="str">
            <v>Local Train</v>
          </cell>
          <cell r="J514" t="str">
            <v>2017/18</v>
          </cell>
        </row>
        <row r="515">
          <cell r="A515" t="str">
            <v>07 TARANAKI</v>
          </cell>
          <cell r="B515">
            <v>6</v>
          </cell>
          <cell r="C515">
            <v>2023</v>
          </cell>
          <cell r="D515">
            <v>1</v>
          </cell>
          <cell r="E515">
            <v>2</v>
          </cell>
          <cell r="F515">
            <v>4.5856063000000002E-2</v>
          </cell>
          <cell r="G515">
            <v>0.31383889539999998</v>
          </cell>
          <cell r="H515">
            <v>7.6426771999999997E-3</v>
          </cell>
          <cell r="I515" t="str">
            <v>Local Train</v>
          </cell>
          <cell r="J515" t="str">
            <v>2022/23</v>
          </cell>
        </row>
        <row r="516">
          <cell r="A516" t="str">
            <v>07 TARANAKI</v>
          </cell>
          <cell r="B516">
            <v>6</v>
          </cell>
          <cell r="C516">
            <v>2028</v>
          </cell>
          <cell r="D516">
            <v>1</v>
          </cell>
          <cell r="E516">
            <v>2</v>
          </cell>
          <cell r="F516">
            <v>4.4473716599999998E-2</v>
          </cell>
          <cell r="G516">
            <v>0.3043781163</v>
          </cell>
          <cell r="H516">
            <v>7.4122861000000002E-3</v>
          </cell>
          <cell r="I516" t="str">
            <v>Local Train</v>
          </cell>
          <cell r="J516" t="str">
            <v>2027/28</v>
          </cell>
        </row>
        <row r="517">
          <cell r="A517" t="str">
            <v>07 TARANAKI</v>
          </cell>
          <cell r="B517">
            <v>6</v>
          </cell>
          <cell r="C517">
            <v>2033</v>
          </cell>
          <cell r="D517">
            <v>1</v>
          </cell>
          <cell r="E517">
            <v>2</v>
          </cell>
          <cell r="F517">
            <v>4.8385431700000002E-2</v>
          </cell>
          <cell r="G517">
            <v>0.33114989449999999</v>
          </cell>
          <cell r="H517">
            <v>8.0642386000000007E-3</v>
          </cell>
          <cell r="I517" t="str">
            <v>Local Train</v>
          </cell>
          <cell r="J517" t="str">
            <v>2032/33</v>
          </cell>
        </row>
        <row r="518">
          <cell r="A518" t="str">
            <v>07 TARANAKI</v>
          </cell>
          <cell r="B518">
            <v>6</v>
          </cell>
          <cell r="C518">
            <v>2038</v>
          </cell>
          <cell r="D518">
            <v>1</v>
          </cell>
          <cell r="E518">
            <v>2</v>
          </cell>
          <cell r="F518">
            <v>5.6064219999999998E-2</v>
          </cell>
          <cell r="G518">
            <v>0.38370352159999999</v>
          </cell>
          <cell r="H518">
            <v>9.3440367000000007E-3</v>
          </cell>
          <cell r="I518" t="str">
            <v>Local Train</v>
          </cell>
          <cell r="J518" t="str">
            <v>2037/38</v>
          </cell>
        </row>
        <row r="519">
          <cell r="A519" t="str">
            <v>07 TARANAKI</v>
          </cell>
          <cell r="B519">
            <v>6</v>
          </cell>
          <cell r="C519">
            <v>2043</v>
          </cell>
          <cell r="D519">
            <v>1</v>
          </cell>
          <cell r="E519">
            <v>2</v>
          </cell>
          <cell r="F519">
            <v>6.3376737899999994E-2</v>
          </cell>
          <cell r="G519">
            <v>0.43375039389999998</v>
          </cell>
          <cell r="H519">
            <v>1.0562789600000001E-2</v>
          </cell>
          <cell r="I519" t="str">
            <v>Local Train</v>
          </cell>
          <cell r="J519" t="str">
            <v>2042/43</v>
          </cell>
        </row>
        <row r="520">
          <cell r="A520" t="str">
            <v>07 TARANAKI</v>
          </cell>
          <cell r="B520">
            <v>7</v>
          </cell>
          <cell r="C520">
            <v>2013</v>
          </cell>
          <cell r="D520">
            <v>22</v>
          </cell>
          <cell r="E520">
            <v>54</v>
          </cell>
          <cell r="F520">
            <v>1.2787514622</v>
          </cell>
          <cell r="G520">
            <v>14.084735078</v>
          </cell>
          <cell r="H520">
            <v>0.4632962336</v>
          </cell>
          <cell r="I520" t="str">
            <v>Local Bus</v>
          </cell>
          <cell r="J520" t="str">
            <v>2012/13</v>
          </cell>
        </row>
        <row r="521">
          <cell r="A521" t="str">
            <v>07 TARANAKI</v>
          </cell>
          <cell r="B521">
            <v>7</v>
          </cell>
          <cell r="C521">
            <v>2018</v>
          </cell>
          <cell r="D521">
            <v>22</v>
          </cell>
          <cell r="E521">
            <v>54</v>
          </cell>
          <cell r="F521">
            <v>1.3054492605000001</v>
          </cell>
          <cell r="G521">
            <v>15.051061588</v>
          </cell>
          <cell r="H521">
            <v>0.46992084690000002</v>
          </cell>
          <cell r="I521" t="str">
            <v>Local Bus</v>
          </cell>
          <cell r="J521" t="str">
            <v>2017/18</v>
          </cell>
        </row>
        <row r="522">
          <cell r="A522" t="str">
            <v>07 TARANAKI</v>
          </cell>
          <cell r="B522">
            <v>7</v>
          </cell>
          <cell r="C522">
            <v>2023</v>
          </cell>
          <cell r="D522">
            <v>22</v>
          </cell>
          <cell r="E522">
            <v>54</v>
          </cell>
          <cell r="F522">
            <v>1.3057410854</v>
          </cell>
          <cell r="G522">
            <v>15.64016335</v>
          </cell>
          <cell r="H522">
            <v>0.46911211520000001</v>
          </cell>
          <cell r="I522" t="str">
            <v>Local Bus</v>
          </cell>
          <cell r="J522" t="str">
            <v>2022/23</v>
          </cell>
        </row>
        <row r="523">
          <cell r="A523" t="str">
            <v>07 TARANAKI</v>
          </cell>
          <cell r="B523">
            <v>7</v>
          </cell>
          <cell r="C523">
            <v>2028</v>
          </cell>
          <cell r="D523">
            <v>22</v>
          </cell>
          <cell r="E523">
            <v>54</v>
          </cell>
          <cell r="F523">
            <v>1.2753849182000001</v>
          </cell>
          <cell r="G523">
            <v>15.545292867000001</v>
          </cell>
          <cell r="H523">
            <v>0.45844926000000003</v>
          </cell>
          <cell r="I523" t="str">
            <v>Local Bus</v>
          </cell>
          <cell r="J523" t="str">
            <v>2027/28</v>
          </cell>
        </row>
        <row r="524">
          <cell r="A524" t="str">
            <v>07 TARANAKI</v>
          </cell>
          <cell r="B524">
            <v>7</v>
          </cell>
          <cell r="C524">
            <v>2033</v>
          </cell>
          <cell r="D524">
            <v>22</v>
          </cell>
          <cell r="E524">
            <v>54</v>
          </cell>
          <cell r="F524">
            <v>1.2267417540000001</v>
          </cell>
          <cell r="G524">
            <v>15.222023061</v>
          </cell>
          <cell r="H524">
            <v>0.44235985880000001</v>
          </cell>
          <cell r="I524" t="str">
            <v>Local Bus</v>
          </cell>
          <cell r="J524" t="str">
            <v>2032/33</v>
          </cell>
        </row>
        <row r="525">
          <cell r="A525" t="str">
            <v>07 TARANAKI</v>
          </cell>
          <cell r="B525">
            <v>7</v>
          </cell>
          <cell r="C525">
            <v>2038</v>
          </cell>
          <cell r="D525">
            <v>22</v>
          </cell>
          <cell r="E525">
            <v>54</v>
          </cell>
          <cell r="F525">
            <v>1.2294697066</v>
          </cell>
          <cell r="G525">
            <v>16.080845462999999</v>
          </cell>
          <cell r="H525">
            <v>0.44989020099999999</v>
          </cell>
          <cell r="I525" t="str">
            <v>Local Bus</v>
          </cell>
          <cell r="J525" t="str">
            <v>2037/38</v>
          </cell>
        </row>
        <row r="526">
          <cell r="A526" t="str">
            <v>07 TARANAKI</v>
          </cell>
          <cell r="B526">
            <v>7</v>
          </cell>
          <cell r="C526">
            <v>2043</v>
          </cell>
          <cell r="D526">
            <v>22</v>
          </cell>
          <cell r="E526">
            <v>54</v>
          </cell>
          <cell r="F526">
            <v>1.2296789217999999</v>
          </cell>
          <cell r="G526">
            <v>16.94682177</v>
          </cell>
          <cell r="H526">
            <v>0.45703947709999998</v>
          </cell>
          <cell r="I526" t="str">
            <v>Local Bus</v>
          </cell>
          <cell r="J526" t="str">
            <v>2042/43</v>
          </cell>
        </row>
        <row r="527">
          <cell r="A527" t="str">
            <v>07 TARANAKI</v>
          </cell>
          <cell r="B527">
            <v>9</v>
          </cell>
          <cell r="C527">
            <v>2013</v>
          </cell>
          <cell r="D527">
            <v>4</v>
          </cell>
          <cell r="E527">
            <v>11</v>
          </cell>
          <cell r="F527">
            <v>0.17475937220000001</v>
          </cell>
          <cell r="G527">
            <v>0</v>
          </cell>
          <cell r="H527">
            <v>5.6354069499999999E-2</v>
          </cell>
          <cell r="I527" t="str">
            <v>Other Household Travel</v>
          </cell>
          <cell r="J527" t="str">
            <v>2012/13</v>
          </cell>
        </row>
        <row r="528">
          <cell r="A528" t="str">
            <v>07 TARANAKI</v>
          </cell>
          <cell r="B528">
            <v>9</v>
          </cell>
          <cell r="C528">
            <v>2018</v>
          </cell>
          <cell r="D528">
            <v>4</v>
          </cell>
          <cell r="E528">
            <v>11</v>
          </cell>
          <cell r="F528">
            <v>0.18407041860000001</v>
          </cell>
          <cell r="G528">
            <v>0</v>
          </cell>
          <cell r="H528">
            <v>5.90471682E-2</v>
          </cell>
          <cell r="I528" t="str">
            <v>Other Household Travel</v>
          </cell>
          <cell r="J528" t="str">
            <v>2017/18</v>
          </cell>
        </row>
        <row r="529">
          <cell r="A529" t="str">
            <v>07 TARANAKI</v>
          </cell>
          <cell r="B529">
            <v>9</v>
          </cell>
          <cell r="C529">
            <v>2023</v>
          </cell>
          <cell r="D529">
            <v>4</v>
          </cell>
          <cell r="E529">
            <v>11</v>
          </cell>
          <cell r="F529">
            <v>0.19124480669999999</v>
          </cell>
          <cell r="G529">
            <v>0</v>
          </cell>
          <cell r="H529">
            <v>6.2038836100000001E-2</v>
          </cell>
          <cell r="I529" t="str">
            <v>Other Household Travel</v>
          </cell>
          <cell r="J529" t="str">
            <v>2022/23</v>
          </cell>
        </row>
        <row r="530">
          <cell r="A530" t="str">
            <v>07 TARANAKI</v>
          </cell>
          <cell r="B530">
            <v>9</v>
          </cell>
          <cell r="C530">
            <v>2028</v>
          </cell>
          <cell r="D530">
            <v>4</v>
          </cell>
          <cell r="E530">
            <v>11</v>
          </cell>
          <cell r="F530">
            <v>0.19594329660000001</v>
          </cell>
          <cell r="G530">
            <v>0</v>
          </cell>
          <cell r="H530">
            <v>6.7968314399999993E-2</v>
          </cell>
          <cell r="I530" t="str">
            <v>Other Household Travel</v>
          </cell>
          <cell r="J530" t="str">
            <v>2027/28</v>
          </cell>
        </row>
        <row r="531">
          <cell r="A531" t="str">
            <v>07 TARANAKI</v>
          </cell>
          <cell r="B531">
            <v>9</v>
          </cell>
          <cell r="C531">
            <v>2033</v>
          </cell>
          <cell r="D531">
            <v>4</v>
          </cell>
          <cell r="E531">
            <v>11</v>
          </cell>
          <cell r="F531">
            <v>0.2128381821</v>
          </cell>
          <cell r="G531">
            <v>0</v>
          </cell>
          <cell r="H531">
            <v>7.9599653800000003E-2</v>
          </cell>
          <cell r="I531" t="str">
            <v>Other Household Travel</v>
          </cell>
          <cell r="J531" t="str">
            <v>2032/33</v>
          </cell>
        </row>
        <row r="532">
          <cell r="A532" t="str">
            <v>07 TARANAKI</v>
          </cell>
          <cell r="B532">
            <v>9</v>
          </cell>
          <cell r="C532">
            <v>2038</v>
          </cell>
          <cell r="D532">
            <v>4</v>
          </cell>
          <cell r="E532">
            <v>11</v>
          </cell>
          <cell r="F532">
            <v>0.22320737660000001</v>
          </cell>
          <cell r="G532">
            <v>0</v>
          </cell>
          <cell r="H532">
            <v>8.7074746199999997E-2</v>
          </cell>
          <cell r="I532" t="str">
            <v>Other Household Travel</v>
          </cell>
          <cell r="J532" t="str">
            <v>2037/38</v>
          </cell>
        </row>
        <row r="533">
          <cell r="A533" t="str">
            <v>07 TARANAKI</v>
          </cell>
          <cell r="B533">
            <v>9</v>
          </cell>
          <cell r="C533">
            <v>2043</v>
          </cell>
          <cell r="D533">
            <v>4</v>
          </cell>
          <cell r="E533">
            <v>11</v>
          </cell>
          <cell r="F533">
            <v>0.22671599570000001</v>
          </cell>
          <cell r="G533">
            <v>0</v>
          </cell>
          <cell r="H533">
            <v>9.0784232699999995E-2</v>
          </cell>
          <cell r="I533" t="str">
            <v>Other Household Travel</v>
          </cell>
          <cell r="J533" t="str">
            <v>2042/43</v>
          </cell>
        </row>
        <row r="534">
          <cell r="A534" t="str">
            <v>07 TARANAKI</v>
          </cell>
          <cell r="B534">
            <v>10</v>
          </cell>
          <cell r="C534">
            <v>2013</v>
          </cell>
          <cell r="D534">
            <v>7</v>
          </cell>
          <cell r="E534">
            <v>9</v>
          </cell>
          <cell r="F534">
            <v>0.31946750800000001</v>
          </cell>
          <cell r="G534">
            <v>11.123016451</v>
          </cell>
          <cell r="H534">
            <v>0.97687121219999995</v>
          </cell>
          <cell r="I534" t="str">
            <v>Air/Non-Local PT</v>
          </cell>
          <cell r="J534" t="str">
            <v>2012/13</v>
          </cell>
        </row>
        <row r="535">
          <cell r="A535" t="str">
            <v>07 TARANAKI</v>
          </cell>
          <cell r="B535">
            <v>10</v>
          </cell>
          <cell r="C535">
            <v>2018</v>
          </cell>
          <cell r="D535">
            <v>7</v>
          </cell>
          <cell r="E535">
            <v>9</v>
          </cell>
          <cell r="F535">
            <v>0.27794156050000002</v>
          </cell>
          <cell r="G535">
            <v>12.142658781</v>
          </cell>
          <cell r="H535">
            <v>0.85199087060000001</v>
          </cell>
          <cell r="I535" t="str">
            <v>Air/Non-Local PT</v>
          </cell>
          <cell r="J535" t="str">
            <v>2017/18</v>
          </cell>
        </row>
        <row r="536">
          <cell r="A536" t="str">
            <v>07 TARANAKI</v>
          </cell>
          <cell r="B536">
            <v>10</v>
          </cell>
          <cell r="C536">
            <v>2023</v>
          </cell>
          <cell r="D536">
            <v>7</v>
          </cell>
          <cell r="E536">
            <v>9</v>
          </cell>
          <cell r="F536">
            <v>0.2508483299</v>
          </cell>
          <cell r="G536">
            <v>14.212996303000001</v>
          </cell>
          <cell r="H536">
            <v>0.77473971419999998</v>
          </cell>
          <cell r="I536" t="str">
            <v>Air/Non-Local PT</v>
          </cell>
          <cell r="J536" t="str">
            <v>2022/23</v>
          </cell>
        </row>
        <row r="537">
          <cell r="A537" t="str">
            <v>07 TARANAKI</v>
          </cell>
          <cell r="B537">
            <v>10</v>
          </cell>
          <cell r="C537">
            <v>2028</v>
          </cell>
          <cell r="D537">
            <v>7</v>
          </cell>
          <cell r="E537">
            <v>9</v>
          </cell>
          <cell r="F537">
            <v>0.24534464410000001</v>
          </cell>
          <cell r="G537">
            <v>17.157485032</v>
          </cell>
          <cell r="H537">
            <v>0.76463990530000003</v>
          </cell>
          <cell r="I537" t="str">
            <v>Air/Non-Local PT</v>
          </cell>
          <cell r="J537" t="str">
            <v>2027/28</v>
          </cell>
        </row>
        <row r="538">
          <cell r="A538" t="str">
            <v>07 TARANAKI</v>
          </cell>
          <cell r="B538">
            <v>10</v>
          </cell>
          <cell r="C538">
            <v>2033</v>
          </cell>
          <cell r="D538">
            <v>7</v>
          </cell>
          <cell r="E538">
            <v>9</v>
          </cell>
          <cell r="F538">
            <v>0.24396277969999999</v>
          </cell>
          <cell r="G538">
            <v>19.466513424999999</v>
          </cell>
          <cell r="H538">
            <v>0.75794253659999999</v>
          </cell>
          <cell r="I538" t="str">
            <v>Air/Non-Local PT</v>
          </cell>
          <cell r="J538" t="str">
            <v>2032/33</v>
          </cell>
        </row>
        <row r="539">
          <cell r="A539" t="str">
            <v>07 TARANAKI</v>
          </cell>
          <cell r="B539">
            <v>10</v>
          </cell>
          <cell r="C539">
            <v>2038</v>
          </cell>
          <cell r="D539">
            <v>7</v>
          </cell>
          <cell r="E539">
            <v>9</v>
          </cell>
          <cell r="F539">
            <v>0.24470186860000001</v>
          </cell>
          <cell r="G539">
            <v>22.086109086</v>
          </cell>
          <cell r="H539">
            <v>0.75256131920000002</v>
          </cell>
          <cell r="I539" t="str">
            <v>Air/Non-Local PT</v>
          </cell>
          <cell r="J539" t="str">
            <v>2037/38</v>
          </cell>
        </row>
        <row r="540">
          <cell r="A540" t="str">
            <v>07 TARANAKI</v>
          </cell>
          <cell r="B540">
            <v>10</v>
          </cell>
          <cell r="C540">
            <v>2043</v>
          </cell>
          <cell r="D540">
            <v>7</v>
          </cell>
          <cell r="E540">
            <v>9</v>
          </cell>
          <cell r="F540">
            <v>0.24366113880000001</v>
          </cell>
          <cell r="G540">
            <v>24.614412418000001</v>
          </cell>
          <cell r="H540">
            <v>0.74342978630000001</v>
          </cell>
          <cell r="I540" t="str">
            <v>Air/Non-Local PT</v>
          </cell>
          <cell r="J540" t="str">
            <v>2042/43</v>
          </cell>
        </row>
        <row r="541">
          <cell r="A541" t="str">
            <v>07 TARANAKI</v>
          </cell>
          <cell r="B541">
            <v>11</v>
          </cell>
          <cell r="C541">
            <v>2013</v>
          </cell>
          <cell r="D541">
            <v>28</v>
          </cell>
          <cell r="E541">
            <v>118</v>
          </cell>
          <cell r="F541">
            <v>3.0516698092999999</v>
          </cell>
          <cell r="G541">
            <v>51.301529111999997</v>
          </cell>
          <cell r="H541">
            <v>1.1153896443</v>
          </cell>
          <cell r="I541" t="str">
            <v>Non-Household Travel</v>
          </cell>
          <cell r="J541" t="str">
            <v>2012/13</v>
          </cell>
        </row>
        <row r="542">
          <cell r="A542" t="str">
            <v>07 TARANAKI</v>
          </cell>
          <cell r="B542">
            <v>11</v>
          </cell>
          <cell r="C542">
            <v>2018</v>
          </cell>
          <cell r="D542">
            <v>28</v>
          </cell>
          <cell r="E542">
            <v>118</v>
          </cell>
          <cell r="F542">
            <v>3.3802598205000001</v>
          </cell>
          <cell r="G542">
            <v>56.394094404000001</v>
          </cell>
          <cell r="H542">
            <v>1.2484914064999999</v>
          </cell>
          <cell r="I542" t="str">
            <v>Non-Household Travel</v>
          </cell>
          <cell r="J542" t="str">
            <v>2017/18</v>
          </cell>
        </row>
        <row r="543">
          <cell r="A543" t="str">
            <v>07 TARANAKI</v>
          </cell>
          <cell r="B543">
            <v>11</v>
          </cell>
          <cell r="C543">
            <v>2023</v>
          </cell>
          <cell r="D543">
            <v>28</v>
          </cell>
          <cell r="E543">
            <v>118</v>
          </cell>
          <cell r="F543">
            <v>3.6530115433999999</v>
          </cell>
          <cell r="G543">
            <v>60.343290213000003</v>
          </cell>
          <cell r="H543">
            <v>1.3570601631999999</v>
          </cell>
          <cell r="I543" t="str">
            <v>Non-Household Travel</v>
          </cell>
          <cell r="J543" t="str">
            <v>2022/23</v>
          </cell>
        </row>
        <row r="544">
          <cell r="A544" t="str">
            <v>07 TARANAKI</v>
          </cell>
          <cell r="B544">
            <v>11</v>
          </cell>
          <cell r="C544">
            <v>2028</v>
          </cell>
          <cell r="D544">
            <v>28</v>
          </cell>
          <cell r="E544">
            <v>118</v>
          </cell>
          <cell r="F544">
            <v>3.8101327957</v>
          </cell>
          <cell r="G544">
            <v>61.296292610999998</v>
          </cell>
          <cell r="H544">
            <v>1.4049857916999999</v>
          </cell>
          <cell r="I544" t="str">
            <v>Non-Household Travel</v>
          </cell>
          <cell r="J544" t="str">
            <v>2027/28</v>
          </cell>
        </row>
        <row r="545">
          <cell r="A545" t="str">
            <v>07 TARANAKI</v>
          </cell>
          <cell r="B545">
            <v>11</v>
          </cell>
          <cell r="C545">
            <v>2033</v>
          </cell>
          <cell r="D545">
            <v>28</v>
          </cell>
          <cell r="E545">
            <v>118</v>
          </cell>
          <cell r="F545">
            <v>3.9040428885999998</v>
          </cell>
          <cell r="G545">
            <v>61.609474550999998</v>
          </cell>
          <cell r="H545">
            <v>1.4236484731000001</v>
          </cell>
          <cell r="I545" t="str">
            <v>Non-Household Travel</v>
          </cell>
          <cell r="J545" t="str">
            <v>2032/33</v>
          </cell>
        </row>
        <row r="546">
          <cell r="A546" t="str">
            <v>07 TARANAKI</v>
          </cell>
          <cell r="B546">
            <v>11</v>
          </cell>
          <cell r="C546">
            <v>2038</v>
          </cell>
          <cell r="D546">
            <v>28</v>
          </cell>
          <cell r="E546">
            <v>118</v>
          </cell>
          <cell r="F546">
            <v>3.9689608139999999</v>
          </cell>
          <cell r="G546">
            <v>61.530870606999997</v>
          </cell>
          <cell r="H546">
            <v>1.4217737726999999</v>
          </cell>
          <cell r="I546" t="str">
            <v>Non-Household Travel</v>
          </cell>
          <cell r="J546" t="str">
            <v>2037/38</v>
          </cell>
        </row>
        <row r="547">
          <cell r="A547" t="str">
            <v>07 TARANAKI</v>
          </cell>
          <cell r="B547">
            <v>11</v>
          </cell>
          <cell r="C547">
            <v>2043</v>
          </cell>
          <cell r="D547">
            <v>28</v>
          </cell>
          <cell r="E547">
            <v>118</v>
          </cell>
          <cell r="F547">
            <v>4.0243925613</v>
          </cell>
          <cell r="G547">
            <v>61.239368857999999</v>
          </cell>
          <cell r="H547">
            <v>1.4145260581000001</v>
          </cell>
          <cell r="I547" t="str">
            <v>Non-Household Travel</v>
          </cell>
          <cell r="J547" t="str">
            <v>2042/43</v>
          </cell>
        </row>
        <row r="548">
          <cell r="A548" t="str">
            <v>08 MANAWATU-WANGANUI</v>
          </cell>
          <cell r="B548">
            <v>0</v>
          </cell>
          <cell r="C548">
            <v>2013</v>
          </cell>
          <cell r="D548">
            <v>214</v>
          </cell>
          <cell r="E548">
            <v>797</v>
          </cell>
          <cell r="F548">
            <v>39.544031846000003</v>
          </cell>
          <cell r="G548">
            <v>32.265609755</v>
          </cell>
          <cell r="H548">
            <v>8.3408449691000008</v>
          </cell>
          <cell r="I548" t="str">
            <v>Pedestrian</v>
          </cell>
          <cell r="J548" t="str">
            <v>2012/13</v>
          </cell>
        </row>
        <row r="549">
          <cell r="A549" t="str">
            <v>08 MANAWATU-WANGANUI</v>
          </cell>
          <cell r="B549">
            <v>0</v>
          </cell>
          <cell r="C549">
            <v>2018</v>
          </cell>
          <cell r="D549">
            <v>214</v>
          </cell>
          <cell r="E549">
            <v>797</v>
          </cell>
          <cell r="F549">
            <v>38.372721085000002</v>
          </cell>
          <cell r="G549">
            <v>31.961970773000001</v>
          </cell>
          <cell r="H549">
            <v>8.1247810713999993</v>
          </cell>
          <cell r="I549" t="str">
            <v>Pedestrian</v>
          </cell>
          <cell r="J549" t="str">
            <v>2017/18</v>
          </cell>
        </row>
        <row r="550">
          <cell r="A550" t="str">
            <v>08 MANAWATU-WANGANUI</v>
          </cell>
          <cell r="B550">
            <v>0</v>
          </cell>
          <cell r="C550">
            <v>2023</v>
          </cell>
          <cell r="D550">
            <v>214</v>
          </cell>
          <cell r="E550">
            <v>797</v>
          </cell>
          <cell r="F550">
            <v>36.858242103999999</v>
          </cell>
          <cell r="G550">
            <v>31.111035954999998</v>
          </cell>
          <cell r="H550">
            <v>7.8011748351000003</v>
          </cell>
          <cell r="I550" t="str">
            <v>Pedestrian</v>
          </cell>
          <cell r="J550" t="str">
            <v>2022/23</v>
          </cell>
        </row>
        <row r="551">
          <cell r="A551" t="str">
            <v>08 MANAWATU-WANGANUI</v>
          </cell>
          <cell r="B551">
            <v>0</v>
          </cell>
          <cell r="C551">
            <v>2028</v>
          </cell>
          <cell r="D551">
            <v>214</v>
          </cell>
          <cell r="E551">
            <v>797</v>
          </cell>
          <cell r="F551">
            <v>34.365186735999998</v>
          </cell>
          <cell r="G551">
            <v>29.291542627999998</v>
          </cell>
          <cell r="H551">
            <v>7.2675200347000004</v>
          </cell>
          <cell r="I551" t="str">
            <v>Pedestrian</v>
          </cell>
          <cell r="J551" t="str">
            <v>2027/28</v>
          </cell>
        </row>
        <row r="552">
          <cell r="A552" t="str">
            <v>08 MANAWATU-WANGANUI</v>
          </cell>
          <cell r="B552">
            <v>0</v>
          </cell>
          <cell r="C552">
            <v>2033</v>
          </cell>
          <cell r="D552">
            <v>214</v>
          </cell>
          <cell r="E552">
            <v>797</v>
          </cell>
          <cell r="F552">
            <v>32.261632708</v>
          </cell>
          <cell r="G552">
            <v>27.515261346999999</v>
          </cell>
          <cell r="H552">
            <v>6.7515508337999997</v>
          </cell>
          <cell r="I552" t="str">
            <v>Pedestrian</v>
          </cell>
          <cell r="J552" t="str">
            <v>2032/33</v>
          </cell>
        </row>
        <row r="553">
          <cell r="A553" t="str">
            <v>08 MANAWATU-WANGANUI</v>
          </cell>
          <cell r="B553">
            <v>0</v>
          </cell>
          <cell r="C553">
            <v>2038</v>
          </cell>
          <cell r="D553">
            <v>214</v>
          </cell>
          <cell r="E553">
            <v>797</v>
          </cell>
          <cell r="F553">
            <v>30.500973905999999</v>
          </cell>
          <cell r="G553">
            <v>25.940383285999999</v>
          </cell>
          <cell r="H553">
            <v>6.2596861104999997</v>
          </cell>
          <cell r="I553" t="str">
            <v>Pedestrian</v>
          </cell>
          <cell r="J553" t="str">
            <v>2037/38</v>
          </cell>
        </row>
        <row r="554">
          <cell r="A554" t="str">
            <v>08 MANAWATU-WANGANUI</v>
          </cell>
          <cell r="B554">
            <v>0</v>
          </cell>
          <cell r="C554">
            <v>2043</v>
          </cell>
          <cell r="D554">
            <v>214</v>
          </cell>
          <cell r="E554">
            <v>797</v>
          </cell>
          <cell r="F554">
            <v>28.890289515999999</v>
          </cell>
          <cell r="G554">
            <v>24.518547519999998</v>
          </cell>
          <cell r="H554">
            <v>5.8106014674999997</v>
          </cell>
          <cell r="I554" t="str">
            <v>Pedestrian</v>
          </cell>
          <cell r="J554" t="str">
            <v>2042/43</v>
          </cell>
        </row>
        <row r="555">
          <cell r="A555" t="str">
            <v>08 MANAWATU-WANGANUI</v>
          </cell>
          <cell r="B555">
            <v>1</v>
          </cell>
          <cell r="C555">
            <v>2013</v>
          </cell>
          <cell r="D555">
            <v>33</v>
          </cell>
          <cell r="E555">
            <v>96</v>
          </cell>
          <cell r="F555">
            <v>4.6745036201000003</v>
          </cell>
          <cell r="G555">
            <v>20.722330986999999</v>
          </cell>
          <cell r="H555">
            <v>1.7566260256999999</v>
          </cell>
          <cell r="I555" t="str">
            <v>Cyclist</v>
          </cell>
          <cell r="J555" t="str">
            <v>2012/13</v>
          </cell>
        </row>
        <row r="556">
          <cell r="A556" t="str">
            <v>08 MANAWATU-WANGANUI</v>
          </cell>
          <cell r="B556">
            <v>1</v>
          </cell>
          <cell r="C556">
            <v>2018</v>
          </cell>
          <cell r="D556">
            <v>33</v>
          </cell>
          <cell r="E556">
            <v>96</v>
          </cell>
          <cell r="F556">
            <v>4.8377012942000004</v>
          </cell>
          <cell r="G556">
            <v>22.873044531000001</v>
          </cell>
          <cell r="H556">
            <v>1.8991032335</v>
          </cell>
          <cell r="I556" t="str">
            <v>Cyclist</v>
          </cell>
          <cell r="J556" t="str">
            <v>2017/18</v>
          </cell>
        </row>
        <row r="557">
          <cell r="A557" t="str">
            <v>08 MANAWATU-WANGANUI</v>
          </cell>
          <cell r="B557">
            <v>1</v>
          </cell>
          <cell r="C557">
            <v>2023</v>
          </cell>
          <cell r="D557">
            <v>33</v>
          </cell>
          <cell r="E557">
            <v>96</v>
          </cell>
          <cell r="F557">
            <v>4.9633109367000001</v>
          </cell>
          <cell r="G557">
            <v>24.182825050999998</v>
          </cell>
          <cell r="H557">
            <v>1.9954511542</v>
          </cell>
          <cell r="I557" t="str">
            <v>Cyclist</v>
          </cell>
          <cell r="J557" t="str">
            <v>2022/23</v>
          </cell>
        </row>
        <row r="558">
          <cell r="A558" t="str">
            <v>08 MANAWATU-WANGANUI</v>
          </cell>
          <cell r="B558">
            <v>1</v>
          </cell>
          <cell r="C558">
            <v>2028</v>
          </cell>
          <cell r="D558">
            <v>33</v>
          </cell>
          <cell r="E558">
            <v>96</v>
          </cell>
          <cell r="F558">
            <v>5.0788523552999996</v>
          </cell>
          <cell r="G558">
            <v>24.438713443000001</v>
          </cell>
          <cell r="H558">
            <v>2.0410659093999999</v>
          </cell>
          <cell r="I558" t="str">
            <v>Cyclist</v>
          </cell>
          <cell r="J558" t="str">
            <v>2027/28</v>
          </cell>
        </row>
        <row r="559">
          <cell r="A559" t="str">
            <v>08 MANAWATU-WANGANUI</v>
          </cell>
          <cell r="B559">
            <v>1</v>
          </cell>
          <cell r="C559">
            <v>2033</v>
          </cell>
          <cell r="D559">
            <v>33</v>
          </cell>
          <cell r="E559">
            <v>96</v>
          </cell>
          <cell r="F559">
            <v>5.2175805204000003</v>
          </cell>
          <cell r="G559">
            <v>24.545137880999999</v>
          </cell>
          <cell r="H559">
            <v>2.0715566698000001</v>
          </cell>
          <cell r="I559" t="str">
            <v>Cyclist</v>
          </cell>
          <cell r="J559" t="str">
            <v>2032/33</v>
          </cell>
        </row>
        <row r="560">
          <cell r="A560" t="str">
            <v>08 MANAWATU-WANGANUI</v>
          </cell>
          <cell r="B560">
            <v>1</v>
          </cell>
          <cell r="C560">
            <v>2038</v>
          </cell>
          <cell r="D560">
            <v>33</v>
          </cell>
          <cell r="E560">
            <v>96</v>
          </cell>
          <cell r="F560">
            <v>5.1587638374999996</v>
          </cell>
          <cell r="G560">
            <v>24.635376608000001</v>
          </cell>
          <cell r="H560">
            <v>2.0586256419</v>
          </cell>
          <cell r="I560" t="str">
            <v>Cyclist</v>
          </cell>
          <cell r="J560" t="str">
            <v>2037/38</v>
          </cell>
        </row>
        <row r="561">
          <cell r="A561" t="str">
            <v>08 MANAWATU-WANGANUI</v>
          </cell>
          <cell r="B561">
            <v>1</v>
          </cell>
          <cell r="C561">
            <v>2043</v>
          </cell>
          <cell r="D561">
            <v>33</v>
          </cell>
          <cell r="E561">
            <v>96</v>
          </cell>
          <cell r="F561">
            <v>5.0671308495999998</v>
          </cell>
          <cell r="G561">
            <v>24.644989714000001</v>
          </cell>
          <cell r="H561">
            <v>2.0326408398</v>
          </cell>
          <cell r="I561" t="str">
            <v>Cyclist</v>
          </cell>
          <cell r="J561" t="str">
            <v>2042/43</v>
          </cell>
        </row>
        <row r="562">
          <cell r="A562" t="str">
            <v>08 MANAWATU-WANGANUI</v>
          </cell>
          <cell r="B562">
            <v>2</v>
          </cell>
          <cell r="C562">
            <v>2013</v>
          </cell>
          <cell r="D562">
            <v>588</v>
          </cell>
          <cell r="E562">
            <v>4259</v>
          </cell>
          <cell r="F562">
            <v>178.69640117</v>
          </cell>
          <cell r="G562">
            <v>1782.4745101999999</v>
          </cell>
          <cell r="H562">
            <v>42.09204356</v>
          </cell>
          <cell r="I562" t="str">
            <v>Light Vehicle Driver</v>
          </cell>
          <cell r="J562" t="str">
            <v>2012/13</v>
          </cell>
        </row>
        <row r="563">
          <cell r="A563" t="str">
            <v>08 MANAWATU-WANGANUI</v>
          </cell>
          <cell r="B563">
            <v>2</v>
          </cell>
          <cell r="C563">
            <v>2018</v>
          </cell>
          <cell r="D563">
            <v>588</v>
          </cell>
          <cell r="E563">
            <v>4259</v>
          </cell>
          <cell r="F563">
            <v>188.49827327</v>
          </cell>
          <cell r="G563">
            <v>1900.1945091</v>
          </cell>
          <cell r="H563">
            <v>44.807852394999998</v>
          </cell>
          <cell r="I563" t="str">
            <v>Light Vehicle Driver</v>
          </cell>
          <cell r="J563" t="str">
            <v>2017/18</v>
          </cell>
        </row>
        <row r="564">
          <cell r="A564" t="str">
            <v>08 MANAWATU-WANGANUI</v>
          </cell>
          <cell r="B564">
            <v>2</v>
          </cell>
          <cell r="C564">
            <v>2023</v>
          </cell>
          <cell r="D564">
            <v>588</v>
          </cell>
          <cell r="E564">
            <v>4259</v>
          </cell>
          <cell r="F564">
            <v>192.31292214999999</v>
          </cell>
          <cell r="G564">
            <v>1963.2222936000001</v>
          </cell>
          <cell r="H564">
            <v>46.076519619000003</v>
          </cell>
          <cell r="I564" t="str">
            <v>Light Vehicle Driver</v>
          </cell>
          <cell r="J564" t="str">
            <v>2022/23</v>
          </cell>
        </row>
        <row r="565">
          <cell r="A565" t="str">
            <v>08 MANAWATU-WANGANUI</v>
          </cell>
          <cell r="B565">
            <v>2</v>
          </cell>
          <cell r="C565">
            <v>2028</v>
          </cell>
          <cell r="D565">
            <v>588</v>
          </cell>
          <cell r="E565">
            <v>4259</v>
          </cell>
          <cell r="F565">
            <v>193.65255372999999</v>
          </cell>
          <cell r="G565">
            <v>2009.5241550999999</v>
          </cell>
          <cell r="H565">
            <v>46.767616027999999</v>
          </cell>
          <cell r="I565" t="str">
            <v>Light Vehicle Driver</v>
          </cell>
          <cell r="J565" t="str">
            <v>2027/28</v>
          </cell>
        </row>
        <row r="566">
          <cell r="A566" t="str">
            <v>08 MANAWATU-WANGANUI</v>
          </cell>
          <cell r="B566">
            <v>2</v>
          </cell>
          <cell r="C566">
            <v>2033</v>
          </cell>
          <cell r="D566">
            <v>588</v>
          </cell>
          <cell r="E566">
            <v>4259</v>
          </cell>
          <cell r="F566">
            <v>195.01712502999999</v>
          </cell>
          <cell r="G566">
            <v>2039.3011776999999</v>
          </cell>
          <cell r="H566">
            <v>47.250167257999998</v>
          </cell>
          <cell r="I566" t="str">
            <v>Light Vehicle Driver</v>
          </cell>
          <cell r="J566" t="str">
            <v>2032/33</v>
          </cell>
        </row>
        <row r="567">
          <cell r="A567" t="str">
            <v>08 MANAWATU-WANGANUI</v>
          </cell>
          <cell r="B567">
            <v>2</v>
          </cell>
          <cell r="C567">
            <v>2038</v>
          </cell>
          <cell r="D567">
            <v>588</v>
          </cell>
          <cell r="E567">
            <v>4259</v>
          </cell>
          <cell r="F567">
            <v>193.78539778000001</v>
          </cell>
          <cell r="G567">
            <v>2041.7717204999999</v>
          </cell>
          <cell r="H567">
            <v>47.081388214</v>
          </cell>
          <cell r="I567" t="str">
            <v>Light Vehicle Driver</v>
          </cell>
          <cell r="J567" t="str">
            <v>2037/38</v>
          </cell>
        </row>
        <row r="568">
          <cell r="A568" t="str">
            <v>08 MANAWATU-WANGANUI</v>
          </cell>
          <cell r="B568">
            <v>2</v>
          </cell>
          <cell r="C568">
            <v>2043</v>
          </cell>
          <cell r="D568">
            <v>588</v>
          </cell>
          <cell r="E568">
            <v>4259</v>
          </cell>
          <cell r="F568">
            <v>191.41939693</v>
          </cell>
          <cell r="G568">
            <v>2032.5572597</v>
          </cell>
          <cell r="H568">
            <v>46.625082728000002</v>
          </cell>
          <cell r="I568" t="str">
            <v>Light Vehicle Driver</v>
          </cell>
          <cell r="J568" t="str">
            <v>2042/43</v>
          </cell>
        </row>
        <row r="569">
          <cell r="A569" t="str">
            <v>08 MANAWATU-WANGANUI</v>
          </cell>
          <cell r="B569">
            <v>3</v>
          </cell>
          <cell r="C569">
            <v>2013</v>
          </cell>
          <cell r="D569">
            <v>425</v>
          </cell>
          <cell r="E569">
            <v>2071</v>
          </cell>
          <cell r="F569">
            <v>84.046137802999993</v>
          </cell>
          <cell r="G569">
            <v>885.65568203999999</v>
          </cell>
          <cell r="H569">
            <v>20.286542670999999</v>
          </cell>
          <cell r="I569" t="str">
            <v>Light Vehicle Passenger</v>
          </cell>
          <cell r="J569" t="str">
            <v>2012/13</v>
          </cell>
        </row>
        <row r="570">
          <cell r="A570" t="str">
            <v>08 MANAWATU-WANGANUI</v>
          </cell>
          <cell r="B570">
            <v>3</v>
          </cell>
          <cell r="C570">
            <v>2018</v>
          </cell>
          <cell r="D570">
            <v>425</v>
          </cell>
          <cell r="E570">
            <v>2071</v>
          </cell>
          <cell r="F570">
            <v>82.778767528000003</v>
          </cell>
          <cell r="G570">
            <v>897.08027162999997</v>
          </cell>
          <cell r="H570">
            <v>20.338517210999999</v>
          </cell>
          <cell r="I570" t="str">
            <v>Light Vehicle Passenger</v>
          </cell>
          <cell r="J570" t="str">
            <v>2017/18</v>
          </cell>
        </row>
        <row r="571">
          <cell r="A571" t="str">
            <v>08 MANAWATU-WANGANUI</v>
          </cell>
          <cell r="B571">
            <v>3</v>
          </cell>
          <cell r="C571">
            <v>2023</v>
          </cell>
          <cell r="D571">
            <v>425</v>
          </cell>
          <cell r="E571">
            <v>2071</v>
          </cell>
          <cell r="F571">
            <v>81.014987134999998</v>
          </cell>
          <cell r="G571">
            <v>894.07598287999997</v>
          </cell>
          <cell r="H571">
            <v>20.141180162000001</v>
          </cell>
          <cell r="I571" t="str">
            <v>Light Vehicle Passenger</v>
          </cell>
          <cell r="J571" t="str">
            <v>2022/23</v>
          </cell>
        </row>
        <row r="572">
          <cell r="A572" t="str">
            <v>08 MANAWATU-WANGANUI</v>
          </cell>
          <cell r="B572">
            <v>3</v>
          </cell>
          <cell r="C572">
            <v>2028</v>
          </cell>
          <cell r="D572">
            <v>425</v>
          </cell>
          <cell r="E572">
            <v>2071</v>
          </cell>
          <cell r="F572">
            <v>78.713376206999996</v>
          </cell>
          <cell r="G572">
            <v>889.38199902999997</v>
          </cell>
          <cell r="H572">
            <v>19.836699343999999</v>
          </cell>
          <cell r="I572" t="str">
            <v>Light Vehicle Passenger</v>
          </cell>
          <cell r="J572" t="str">
            <v>2027/28</v>
          </cell>
        </row>
        <row r="573">
          <cell r="A573" t="str">
            <v>08 MANAWATU-WANGANUI</v>
          </cell>
          <cell r="B573">
            <v>3</v>
          </cell>
          <cell r="C573">
            <v>2033</v>
          </cell>
          <cell r="D573">
            <v>425</v>
          </cell>
          <cell r="E573">
            <v>2071</v>
          </cell>
          <cell r="F573">
            <v>77.007120647999997</v>
          </cell>
          <cell r="G573">
            <v>892.43011753999997</v>
          </cell>
          <cell r="H573">
            <v>19.719286969999999</v>
          </cell>
          <cell r="I573" t="str">
            <v>Light Vehicle Passenger</v>
          </cell>
          <cell r="J573" t="str">
            <v>2032/33</v>
          </cell>
        </row>
        <row r="574">
          <cell r="A574" t="str">
            <v>08 MANAWATU-WANGANUI</v>
          </cell>
          <cell r="B574">
            <v>3</v>
          </cell>
          <cell r="C574">
            <v>2038</v>
          </cell>
          <cell r="D574">
            <v>425</v>
          </cell>
          <cell r="E574">
            <v>2071</v>
          </cell>
          <cell r="F574">
            <v>74.564229058999999</v>
          </cell>
          <cell r="G574">
            <v>889.73545634000004</v>
          </cell>
          <cell r="H574">
            <v>19.491724972</v>
          </cell>
          <cell r="I574" t="str">
            <v>Light Vehicle Passenger</v>
          </cell>
          <cell r="J574" t="str">
            <v>2037/38</v>
          </cell>
        </row>
        <row r="575">
          <cell r="A575" t="str">
            <v>08 MANAWATU-WANGANUI</v>
          </cell>
          <cell r="B575">
            <v>3</v>
          </cell>
          <cell r="C575">
            <v>2043</v>
          </cell>
          <cell r="D575">
            <v>425</v>
          </cell>
          <cell r="E575">
            <v>2071</v>
          </cell>
          <cell r="F575">
            <v>71.857825821000006</v>
          </cell>
          <cell r="G575">
            <v>884.17732663000004</v>
          </cell>
          <cell r="H575">
            <v>19.192984224</v>
          </cell>
          <cell r="I575" t="str">
            <v>Light Vehicle Passenger</v>
          </cell>
          <cell r="J575" t="str">
            <v>2042/43</v>
          </cell>
        </row>
        <row r="576">
          <cell r="A576" t="str">
            <v>08 MANAWATU-WANGANUI</v>
          </cell>
          <cell r="B576">
            <v>4</v>
          </cell>
          <cell r="C576">
            <v>2013</v>
          </cell>
          <cell r="D576">
            <v>16</v>
          </cell>
          <cell r="E576">
            <v>32</v>
          </cell>
          <cell r="F576">
            <v>0.99874441920000001</v>
          </cell>
          <cell r="G576">
            <v>5.6344181790999999</v>
          </cell>
          <cell r="H576">
            <v>0.26821620219999998</v>
          </cell>
          <cell r="J576" t="str">
            <v>2012/13</v>
          </cell>
        </row>
        <row r="577">
          <cell r="A577" t="str">
            <v>08 MANAWATU-WANGANUI</v>
          </cell>
          <cell r="B577">
            <v>4</v>
          </cell>
          <cell r="C577">
            <v>2018</v>
          </cell>
          <cell r="D577">
            <v>16</v>
          </cell>
          <cell r="E577">
            <v>32</v>
          </cell>
          <cell r="F577">
            <v>1.0883912469000001</v>
          </cell>
          <cell r="G577">
            <v>6.7048361874999998</v>
          </cell>
          <cell r="H577">
            <v>0.3145015203</v>
          </cell>
          <cell r="J577" t="str">
            <v>2017/18</v>
          </cell>
        </row>
        <row r="578">
          <cell r="A578" t="str">
            <v>08 MANAWATU-WANGANUI</v>
          </cell>
          <cell r="B578">
            <v>4</v>
          </cell>
          <cell r="C578">
            <v>2023</v>
          </cell>
          <cell r="D578">
            <v>16</v>
          </cell>
          <cell r="E578">
            <v>32</v>
          </cell>
          <cell r="F578">
            <v>1.1161906679</v>
          </cell>
          <cell r="G578">
            <v>7.3398777645999997</v>
          </cell>
          <cell r="H578">
            <v>0.33970839009999998</v>
          </cell>
          <cell r="J578" t="str">
            <v>2022/23</v>
          </cell>
        </row>
        <row r="579">
          <cell r="A579" t="str">
            <v>08 MANAWATU-WANGANUI</v>
          </cell>
          <cell r="B579">
            <v>4</v>
          </cell>
          <cell r="C579">
            <v>2028</v>
          </cell>
          <cell r="D579">
            <v>16</v>
          </cell>
          <cell r="E579">
            <v>32</v>
          </cell>
          <cell r="F579">
            <v>1.0774708216</v>
          </cell>
          <cell r="G579">
            <v>7.4580330158999999</v>
          </cell>
          <cell r="H579">
            <v>0.34063163829999998</v>
          </cell>
          <cell r="J579" t="str">
            <v>2027/28</v>
          </cell>
        </row>
        <row r="580">
          <cell r="A580" t="str">
            <v>08 MANAWATU-WANGANUI</v>
          </cell>
          <cell r="B580">
            <v>4</v>
          </cell>
          <cell r="C580">
            <v>2033</v>
          </cell>
          <cell r="D580">
            <v>16</v>
          </cell>
          <cell r="E580">
            <v>32</v>
          </cell>
          <cell r="F580">
            <v>1.0329405705000001</v>
          </cell>
          <cell r="G580">
            <v>7.5199853953</v>
          </cell>
          <cell r="H580">
            <v>0.34002711569999999</v>
          </cell>
          <cell r="J580" t="str">
            <v>2032/33</v>
          </cell>
        </row>
        <row r="581">
          <cell r="A581" t="str">
            <v>08 MANAWATU-WANGANUI</v>
          </cell>
          <cell r="B581">
            <v>4</v>
          </cell>
          <cell r="C581">
            <v>2038</v>
          </cell>
          <cell r="D581">
            <v>16</v>
          </cell>
          <cell r="E581">
            <v>32</v>
          </cell>
          <cell r="F581">
            <v>1.0419050788999999</v>
          </cell>
          <cell r="G581">
            <v>8.0369111137000004</v>
          </cell>
          <cell r="H581">
            <v>0.35993467200000001</v>
          </cell>
          <cell r="J581" t="str">
            <v>2037/38</v>
          </cell>
        </row>
        <row r="582">
          <cell r="A582" t="str">
            <v>08 MANAWATU-WANGANUI</v>
          </cell>
          <cell r="B582">
            <v>4</v>
          </cell>
          <cell r="C582">
            <v>2043</v>
          </cell>
          <cell r="D582">
            <v>16</v>
          </cell>
          <cell r="E582">
            <v>32</v>
          </cell>
          <cell r="F582">
            <v>1.0537864063</v>
          </cell>
          <cell r="G582">
            <v>8.5859613434999993</v>
          </cell>
          <cell r="H582">
            <v>0.3812399702</v>
          </cell>
          <cell r="J582" t="str">
            <v>2042/43</v>
          </cell>
        </row>
        <row r="583">
          <cell r="A583" t="str">
            <v>08 MANAWATU-WANGANUI</v>
          </cell>
          <cell r="B583">
            <v>5</v>
          </cell>
          <cell r="C583">
            <v>2013</v>
          </cell>
          <cell r="D583">
            <v>5</v>
          </cell>
          <cell r="E583">
            <v>19</v>
          </cell>
          <cell r="F583">
            <v>0.79000583589999995</v>
          </cell>
          <cell r="G583">
            <v>3.8744282972000001</v>
          </cell>
          <cell r="H583">
            <v>0.1643149203</v>
          </cell>
          <cell r="I583" t="str">
            <v>Motorcyclist</v>
          </cell>
          <cell r="J583" t="str">
            <v>2012/13</v>
          </cell>
        </row>
        <row r="584">
          <cell r="A584" t="str">
            <v>08 MANAWATU-WANGANUI</v>
          </cell>
          <cell r="B584">
            <v>5</v>
          </cell>
          <cell r="C584">
            <v>2018</v>
          </cell>
          <cell r="D584">
            <v>5</v>
          </cell>
          <cell r="E584">
            <v>19</v>
          </cell>
          <cell r="F584">
            <v>0.72279976000000001</v>
          </cell>
          <cell r="G584">
            <v>4.1839188643999998</v>
          </cell>
          <cell r="H584">
            <v>0.15677724530000001</v>
          </cell>
          <cell r="I584" t="str">
            <v>Motorcyclist</v>
          </cell>
          <cell r="J584" t="str">
            <v>2017/18</v>
          </cell>
        </row>
        <row r="585">
          <cell r="A585" t="str">
            <v>08 MANAWATU-WANGANUI</v>
          </cell>
          <cell r="B585">
            <v>5</v>
          </cell>
          <cell r="C585">
            <v>2023</v>
          </cell>
          <cell r="D585">
            <v>5</v>
          </cell>
          <cell r="E585">
            <v>19</v>
          </cell>
          <cell r="F585">
            <v>0.64634379259999997</v>
          </cell>
          <cell r="G585">
            <v>4.2864243523000001</v>
          </cell>
          <cell r="H585">
            <v>0.1456914866</v>
          </cell>
          <cell r="I585" t="str">
            <v>Motorcyclist</v>
          </cell>
          <cell r="J585" t="str">
            <v>2022/23</v>
          </cell>
        </row>
        <row r="586">
          <cell r="A586" t="str">
            <v>08 MANAWATU-WANGANUI</v>
          </cell>
          <cell r="B586">
            <v>5</v>
          </cell>
          <cell r="C586">
            <v>2028</v>
          </cell>
          <cell r="D586">
            <v>5</v>
          </cell>
          <cell r="E586">
            <v>19</v>
          </cell>
          <cell r="F586">
            <v>0.55375817729999999</v>
          </cell>
          <cell r="G586">
            <v>4.1033343316000002</v>
          </cell>
          <cell r="H586">
            <v>0.12919011559999999</v>
          </cell>
          <cell r="I586" t="str">
            <v>Motorcyclist</v>
          </cell>
          <cell r="J586" t="str">
            <v>2027/28</v>
          </cell>
        </row>
        <row r="587">
          <cell r="A587" t="str">
            <v>08 MANAWATU-WANGANUI</v>
          </cell>
          <cell r="B587">
            <v>5</v>
          </cell>
          <cell r="C587">
            <v>2033</v>
          </cell>
          <cell r="D587">
            <v>5</v>
          </cell>
          <cell r="E587">
            <v>19</v>
          </cell>
          <cell r="F587">
            <v>0.50120643490000005</v>
          </cell>
          <cell r="G587">
            <v>3.9086050006000002</v>
          </cell>
          <cell r="H587">
            <v>0.11908908109999999</v>
          </cell>
          <cell r="I587" t="str">
            <v>Motorcyclist</v>
          </cell>
          <cell r="J587" t="str">
            <v>2032/33</v>
          </cell>
        </row>
        <row r="588">
          <cell r="A588" t="str">
            <v>08 MANAWATU-WANGANUI</v>
          </cell>
          <cell r="B588">
            <v>5</v>
          </cell>
          <cell r="C588">
            <v>2038</v>
          </cell>
          <cell r="D588">
            <v>5</v>
          </cell>
          <cell r="E588">
            <v>19</v>
          </cell>
          <cell r="F588">
            <v>0.47929156140000001</v>
          </cell>
          <cell r="G588">
            <v>3.8145017852000001</v>
          </cell>
          <cell r="H588">
            <v>0.1149457868</v>
          </cell>
          <cell r="I588" t="str">
            <v>Motorcyclist</v>
          </cell>
          <cell r="J588" t="str">
            <v>2037/38</v>
          </cell>
        </row>
        <row r="589">
          <cell r="A589" t="str">
            <v>08 MANAWATU-WANGANUI</v>
          </cell>
          <cell r="B589">
            <v>5</v>
          </cell>
          <cell r="C589">
            <v>2043</v>
          </cell>
          <cell r="D589">
            <v>5</v>
          </cell>
          <cell r="E589">
            <v>19</v>
          </cell>
          <cell r="F589">
            <v>0.45089824550000002</v>
          </cell>
          <cell r="G589">
            <v>3.6962655669000002</v>
          </cell>
          <cell r="H589">
            <v>0.1094982769</v>
          </cell>
          <cell r="I589" t="str">
            <v>Motorcyclist</v>
          </cell>
          <cell r="J589" t="str">
            <v>2042/43</v>
          </cell>
        </row>
        <row r="590">
          <cell r="A590" t="str">
            <v>08 MANAWATU-WANGANUI</v>
          </cell>
          <cell r="B590">
            <v>7</v>
          </cell>
          <cell r="C590">
            <v>2013</v>
          </cell>
          <cell r="D590">
            <v>41</v>
          </cell>
          <cell r="E590">
            <v>90</v>
          </cell>
          <cell r="F590">
            <v>5.2110099151</v>
          </cell>
          <cell r="G590">
            <v>39.768452936000003</v>
          </cell>
          <cell r="H590">
            <v>1.7349616699999999</v>
          </cell>
          <cell r="I590" t="str">
            <v>Local Bus</v>
          </cell>
          <cell r="J590" t="str">
            <v>2012/13</v>
          </cell>
        </row>
        <row r="591">
          <cell r="A591" t="str">
            <v>08 MANAWATU-WANGANUI</v>
          </cell>
          <cell r="B591">
            <v>7</v>
          </cell>
          <cell r="C591">
            <v>2018</v>
          </cell>
          <cell r="D591">
            <v>41</v>
          </cell>
          <cell r="E591">
            <v>90</v>
          </cell>
          <cell r="F591">
            <v>4.7340379806000001</v>
          </cell>
          <cell r="G591">
            <v>34.946754415000001</v>
          </cell>
          <cell r="H591">
            <v>1.5706345661000001</v>
          </cell>
          <cell r="I591" t="str">
            <v>Local Bus</v>
          </cell>
          <cell r="J591" t="str">
            <v>2017/18</v>
          </cell>
        </row>
        <row r="592">
          <cell r="A592" t="str">
            <v>08 MANAWATU-WANGANUI</v>
          </cell>
          <cell r="B592">
            <v>7</v>
          </cell>
          <cell r="C592">
            <v>2023</v>
          </cell>
          <cell r="D592">
            <v>41</v>
          </cell>
          <cell r="E592">
            <v>90</v>
          </cell>
          <cell r="F592">
            <v>4.3505879350000001</v>
          </cell>
          <cell r="G592">
            <v>31.346787525</v>
          </cell>
          <cell r="H592">
            <v>1.4308727184000001</v>
          </cell>
          <cell r="I592" t="str">
            <v>Local Bus</v>
          </cell>
          <cell r="J592" t="str">
            <v>2022/23</v>
          </cell>
        </row>
        <row r="593">
          <cell r="A593" t="str">
            <v>08 MANAWATU-WANGANUI</v>
          </cell>
          <cell r="B593">
            <v>7</v>
          </cell>
          <cell r="C593">
            <v>2028</v>
          </cell>
          <cell r="D593">
            <v>41</v>
          </cell>
          <cell r="E593">
            <v>90</v>
          </cell>
          <cell r="F593">
            <v>4.0837814391</v>
          </cell>
          <cell r="G593">
            <v>28.828755388000001</v>
          </cell>
          <cell r="H593">
            <v>1.3233301480999999</v>
          </cell>
          <cell r="I593" t="str">
            <v>Local Bus</v>
          </cell>
          <cell r="J593" t="str">
            <v>2027/28</v>
          </cell>
        </row>
        <row r="594">
          <cell r="A594" t="str">
            <v>08 MANAWATU-WANGANUI</v>
          </cell>
          <cell r="B594">
            <v>7</v>
          </cell>
          <cell r="C594">
            <v>2033</v>
          </cell>
          <cell r="D594">
            <v>41</v>
          </cell>
          <cell r="E594">
            <v>90</v>
          </cell>
          <cell r="F594">
            <v>3.8155339067999998</v>
          </cell>
          <cell r="G594">
            <v>26.365692819</v>
          </cell>
          <cell r="H594">
            <v>1.2273890479</v>
          </cell>
          <cell r="I594" t="str">
            <v>Local Bus</v>
          </cell>
          <cell r="J594" t="str">
            <v>2032/33</v>
          </cell>
        </row>
        <row r="595">
          <cell r="A595" t="str">
            <v>08 MANAWATU-WANGANUI</v>
          </cell>
          <cell r="B595">
            <v>7</v>
          </cell>
          <cell r="C595">
            <v>2038</v>
          </cell>
          <cell r="D595">
            <v>41</v>
          </cell>
          <cell r="E595">
            <v>90</v>
          </cell>
          <cell r="F595">
            <v>3.5688865813000001</v>
          </cell>
          <cell r="G595">
            <v>24.214203065</v>
          </cell>
          <cell r="H595">
            <v>1.1292344717</v>
          </cell>
          <cell r="I595" t="str">
            <v>Local Bus</v>
          </cell>
          <cell r="J595" t="str">
            <v>2037/38</v>
          </cell>
        </row>
        <row r="596">
          <cell r="A596" t="str">
            <v>08 MANAWATU-WANGANUI</v>
          </cell>
          <cell r="B596">
            <v>7</v>
          </cell>
          <cell r="C596">
            <v>2043</v>
          </cell>
          <cell r="D596">
            <v>41</v>
          </cell>
          <cell r="E596">
            <v>90</v>
          </cell>
          <cell r="F596">
            <v>3.2899886270000001</v>
          </cell>
          <cell r="G596">
            <v>22.020428528</v>
          </cell>
          <cell r="H596">
            <v>1.0251418752999999</v>
          </cell>
          <cell r="I596" t="str">
            <v>Local Bus</v>
          </cell>
          <cell r="J596" t="str">
            <v>2042/43</v>
          </cell>
        </row>
        <row r="597">
          <cell r="A597" t="str">
            <v>08 MANAWATU-WANGANUI</v>
          </cell>
          <cell r="B597">
            <v>8</v>
          </cell>
          <cell r="C597">
            <v>2013</v>
          </cell>
          <cell r="D597">
            <v>2</v>
          </cell>
          <cell r="E597">
            <v>4</v>
          </cell>
          <cell r="F597">
            <v>0.1068619116</v>
          </cell>
          <cell r="G597">
            <v>0</v>
          </cell>
          <cell r="H597">
            <v>1.3357739E-2</v>
          </cell>
          <cell r="I597" t="str">
            <v>Local Ferry</v>
          </cell>
          <cell r="J597" t="str">
            <v>2012/13</v>
          </cell>
        </row>
        <row r="598">
          <cell r="A598" t="str">
            <v>08 MANAWATU-WANGANUI</v>
          </cell>
          <cell r="B598">
            <v>8</v>
          </cell>
          <cell r="C598">
            <v>2018</v>
          </cell>
          <cell r="D598">
            <v>2</v>
          </cell>
          <cell r="E598">
            <v>4</v>
          </cell>
          <cell r="F598">
            <v>0.1180056875</v>
          </cell>
          <cell r="G598">
            <v>0</v>
          </cell>
          <cell r="H598">
            <v>1.47507109E-2</v>
          </cell>
          <cell r="I598" t="str">
            <v>Local Ferry</v>
          </cell>
          <cell r="J598" t="str">
            <v>2017/18</v>
          </cell>
        </row>
        <row r="599">
          <cell r="A599" t="str">
            <v>08 MANAWATU-WANGANUI</v>
          </cell>
          <cell r="B599">
            <v>8</v>
          </cell>
          <cell r="C599">
            <v>2023</v>
          </cell>
          <cell r="D599">
            <v>2</v>
          </cell>
          <cell r="E599">
            <v>4</v>
          </cell>
          <cell r="F599">
            <v>0.12521198380000001</v>
          </cell>
          <cell r="G599">
            <v>0</v>
          </cell>
          <cell r="H599">
            <v>1.5651498E-2</v>
          </cell>
          <cell r="I599" t="str">
            <v>Local Ferry</v>
          </cell>
          <cell r="J599" t="str">
            <v>2022/23</v>
          </cell>
        </row>
        <row r="600">
          <cell r="A600" t="str">
            <v>08 MANAWATU-WANGANUI</v>
          </cell>
          <cell r="B600">
            <v>8</v>
          </cell>
          <cell r="C600">
            <v>2028</v>
          </cell>
          <cell r="D600">
            <v>2</v>
          </cell>
          <cell r="E600">
            <v>4</v>
          </cell>
          <cell r="F600">
            <v>0.13711941659999999</v>
          </cell>
          <cell r="G600">
            <v>0</v>
          </cell>
          <cell r="H600">
            <v>1.7139927100000001E-2</v>
          </cell>
          <cell r="I600" t="str">
            <v>Local Ferry</v>
          </cell>
          <cell r="J600" t="str">
            <v>2027/28</v>
          </cell>
        </row>
        <row r="601">
          <cell r="A601" t="str">
            <v>08 MANAWATU-WANGANUI</v>
          </cell>
          <cell r="B601">
            <v>8</v>
          </cell>
          <cell r="C601">
            <v>2033</v>
          </cell>
          <cell r="D601">
            <v>2</v>
          </cell>
          <cell r="E601">
            <v>4</v>
          </cell>
          <cell r="F601">
            <v>0.1391529994</v>
          </cell>
          <cell r="G601">
            <v>0</v>
          </cell>
          <cell r="H601">
            <v>1.7394124899999999E-2</v>
          </cell>
          <cell r="I601" t="str">
            <v>Local Ferry</v>
          </cell>
          <cell r="J601" t="str">
            <v>2032/33</v>
          </cell>
        </row>
        <row r="602">
          <cell r="A602" t="str">
            <v>08 MANAWATU-WANGANUI</v>
          </cell>
          <cell r="B602">
            <v>8</v>
          </cell>
          <cell r="C602">
            <v>2038</v>
          </cell>
          <cell r="D602">
            <v>2</v>
          </cell>
          <cell r="E602">
            <v>4</v>
          </cell>
          <cell r="F602">
            <v>0.13472141269999999</v>
          </cell>
          <cell r="G602">
            <v>0</v>
          </cell>
          <cell r="H602">
            <v>1.6840176599999999E-2</v>
          </cell>
          <cell r="I602" t="str">
            <v>Local Ferry</v>
          </cell>
          <cell r="J602" t="str">
            <v>2037/38</v>
          </cell>
        </row>
        <row r="603">
          <cell r="A603" t="str">
            <v>08 MANAWATU-WANGANUI</v>
          </cell>
          <cell r="B603">
            <v>8</v>
          </cell>
          <cell r="C603">
            <v>2043</v>
          </cell>
          <cell r="D603">
            <v>2</v>
          </cell>
          <cell r="E603">
            <v>4</v>
          </cell>
          <cell r="F603">
            <v>0.1293568397</v>
          </cell>
          <cell r="G603">
            <v>0</v>
          </cell>
          <cell r="H603">
            <v>1.6169605E-2</v>
          </cell>
          <cell r="I603" t="str">
            <v>Local Ferry</v>
          </cell>
          <cell r="J603" t="str">
            <v>2042/43</v>
          </cell>
        </row>
        <row r="604">
          <cell r="A604" t="str">
            <v>08 MANAWATU-WANGANUI</v>
          </cell>
          <cell r="B604">
            <v>9</v>
          </cell>
          <cell r="C604">
            <v>2013</v>
          </cell>
          <cell r="D604">
            <v>2</v>
          </cell>
          <cell r="E604">
            <v>5</v>
          </cell>
          <cell r="F604">
            <v>0.24513607779999999</v>
          </cell>
          <cell r="G604">
            <v>0</v>
          </cell>
          <cell r="H604">
            <v>3.9735238899999997E-2</v>
          </cell>
          <cell r="I604" t="str">
            <v>Other Household Travel</v>
          </cell>
          <cell r="J604" t="str">
            <v>2012/13</v>
          </cell>
        </row>
        <row r="605">
          <cell r="A605" t="str">
            <v>08 MANAWATU-WANGANUI</v>
          </cell>
          <cell r="B605">
            <v>9</v>
          </cell>
          <cell r="C605">
            <v>2018</v>
          </cell>
          <cell r="D605">
            <v>2</v>
          </cell>
          <cell r="E605">
            <v>5</v>
          </cell>
          <cell r="F605">
            <v>0.2289719882</v>
          </cell>
          <cell r="G605">
            <v>0</v>
          </cell>
          <cell r="H605">
            <v>3.7408448300000001E-2</v>
          </cell>
          <cell r="I605" t="str">
            <v>Other Household Travel</v>
          </cell>
          <cell r="J605" t="str">
            <v>2017/18</v>
          </cell>
        </row>
        <row r="606">
          <cell r="A606" t="str">
            <v>08 MANAWATU-WANGANUI</v>
          </cell>
          <cell r="B606">
            <v>9</v>
          </cell>
          <cell r="C606">
            <v>2023</v>
          </cell>
          <cell r="D606">
            <v>2</v>
          </cell>
          <cell r="E606">
            <v>5</v>
          </cell>
          <cell r="F606">
            <v>0.2055630759</v>
          </cell>
          <cell r="G606">
            <v>0</v>
          </cell>
          <cell r="H606">
            <v>3.3477788600000002E-2</v>
          </cell>
          <cell r="I606" t="str">
            <v>Other Household Travel</v>
          </cell>
          <cell r="J606" t="str">
            <v>2022/23</v>
          </cell>
        </row>
        <row r="607">
          <cell r="A607" t="str">
            <v>08 MANAWATU-WANGANUI</v>
          </cell>
          <cell r="B607">
            <v>9</v>
          </cell>
          <cell r="C607">
            <v>2028</v>
          </cell>
          <cell r="D607">
            <v>2</v>
          </cell>
          <cell r="E607">
            <v>5</v>
          </cell>
          <cell r="F607">
            <v>0.17642258120000001</v>
          </cell>
          <cell r="G607">
            <v>0</v>
          </cell>
          <cell r="H607">
            <v>2.9040679999999999E-2</v>
          </cell>
          <cell r="I607" t="str">
            <v>Other Household Travel</v>
          </cell>
          <cell r="J607" t="str">
            <v>2027/28</v>
          </cell>
        </row>
        <row r="608">
          <cell r="A608" t="str">
            <v>08 MANAWATU-WANGANUI</v>
          </cell>
          <cell r="B608">
            <v>9</v>
          </cell>
          <cell r="C608">
            <v>2033</v>
          </cell>
          <cell r="D608">
            <v>2</v>
          </cell>
          <cell r="E608">
            <v>5</v>
          </cell>
          <cell r="F608">
            <v>0.15691635900000001</v>
          </cell>
          <cell r="G608">
            <v>0</v>
          </cell>
          <cell r="H608">
            <v>2.6102468E-2</v>
          </cell>
          <cell r="I608" t="str">
            <v>Other Household Travel</v>
          </cell>
          <cell r="J608" t="str">
            <v>2032/33</v>
          </cell>
        </row>
        <row r="609">
          <cell r="A609" t="str">
            <v>08 MANAWATU-WANGANUI</v>
          </cell>
          <cell r="B609">
            <v>9</v>
          </cell>
          <cell r="C609">
            <v>2038</v>
          </cell>
          <cell r="D609">
            <v>2</v>
          </cell>
          <cell r="E609">
            <v>5</v>
          </cell>
          <cell r="F609">
            <v>0.13818034009999999</v>
          </cell>
          <cell r="G609">
            <v>0</v>
          </cell>
          <cell r="H609">
            <v>2.3498210700000001E-2</v>
          </cell>
          <cell r="I609" t="str">
            <v>Other Household Travel</v>
          </cell>
          <cell r="J609" t="str">
            <v>2037/38</v>
          </cell>
        </row>
        <row r="610">
          <cell r="A610" t="str">
            <v>08 MANAWATU-WANGANUI</v>
          </cell>
          <cell r="B610">
            <v>9</v>
          </cell>
          <cell r="C610">
            <v>2043</v>
          </cell>
          <cell r="D610">
            <v>2</v>
          </cell>
          <cell r="E610">
            <v>5</v>
          </cell>
          <cell r="F610">
            <v>0.1189788562</v>
          </cell>
          <cell r="G610">
            <v>0</v>
          </cell>
          <cell r="H610">
            <v>2.0664275100000001E-2</v>
          </cell>
          <cell r="I610" t="str">
            <v>Other Household Travel</v>
          </cell>
          <cell r="J610" t="str">
            <v>2042/43</v>
          </cell>
        </row>
        <row r="611">
          <cell r="A611" t="str">
            <v>08 MANAWATU-WANGANUI</v>
          </cell>
          <cell r="B611">
            <v>10</v>
          </cell>
          <cell r="C611">
            <v>2013</v>
          </cell>
          <cell r="D611">
            <v>7</v>
          </cell>
          <cell r="E611">
            <v>9</v>
          </cell>
          <cell r="F611">
            <v>0.39226351739999998</v>
          </cell>
          <cell r="G611">
            <v>21.972430028000002</v>
          </cell>
          <cell r="H611">
            <v>0.73590853769999998</v>
          </cell>
          <cell r="I611" t="str">
            <v>Air/Non-Local PT</v>
          </cell>
          <cell r="J611" t="str">
            <v>2012/13</v>
          </cell>
        </row>
        <row r="612">
          <cell r="A612" t="str">
            <v>08 MANAWATU-WANGANUI</v>
          </cell>
          <cell r="B612">
            <v>10</v>
          </cell>
          <cell r="C612">
            <v>2018</v>
          </cell>
          <cell r="D612">
            <v>7</v>
          </cell>
          <cell r="E612">
            <v>9</v>
          </cell>
          <cell r="F612">
            <v>0.46737332279999999</v>
          </cell>
          <cell r="G612">
            <v>23.895876309999998</v>
          </cell>
          <cell r="H612">
            <v>0.84055858319999999</v>
          </cell>
          <cell r="I612" t="str">
            <v>Air/Non-Local PT</v>
          </cell>
          <cell r="J612" t="str">
            <v>2017/18</v>
          </cell>
        </row>
        <row r="613">
          <cell r="A613" t="str">
            <v>08 MANAWATU-WANGANUI</v>
          </cell>
          <cell r="B613">
            <v>10</v>
          </cell>
          <cell r="C613">
            <v>2023</v>
          </cell>
          <cell r="D613">
            <v>7</v>
          </cell>
          <cell r="E613">
            <v>9</v>
          </cell>
          <cell r="F613">
            <v>0.53458344199999996</v>
          </cell>
          <cell r="G613">
            <v>26.120301912999999</v>
          </cell>
          <cell r="H613">
            <v>0.94907879989999999</v>
          </cell>
          <cell r="I613" t="str">
            <v>Air/Non-Local PT</v>
          </cell>
          <cell r="J613" t="str">
            <v>2022/23</v>
          </cell>
        </row>
        <row r="614">
          <cell r="A614" t="str">
            <v>08 MANAWATU-WANGANUI</v>
          </cell>
          <cell r="B614">
            <v>10</v>
          </cell>
          <cell r="C614">
            <v>2028</v>
          </cell>
          <cell r="D614">
            <v>7</v>
          </cell>
          <cell r="E614">
            <v>9</v>
          </cell>
          <cell r="F614">
            <v>0.5982101085</v>
          </cell>
          <cell r="G614">
            <v>29.413123732999999</v>
          </cell>
          <cell r="H614">
            <v>1.0802977197000001</v>
          </cell>
          <cell r="I614" t="str">
            <v>Air/Non-Local PT</v>
          </cell>
          <cell r="J614" t="str">
            <v>2027/28</v>
          </cell>
        </row>
        <row r="615">
          <cell r="A615" t="str">
            <v>08 MANAWATU-WANGANUI</v>
          </cell>
          <cell r="B615">
            <v>10</v>
          </cell>
          <cell r="C615">
            <v>2033</v>
          </cell>
          <cell r="D615">
            <v>7</v>
          </cell>
          <cell r="E615">
            <v>9</v>
          </cell>
          <cell r="F615">
            <v>0.64959445540000005</v>
          </cell>
          <cell r="G615">
            <v>30.948567548</v>
          </cell>
          <cell r="H615">
            <v>1.1773210071</v>
          </cell>
          <cell r="I615" t="str">
            <v>Air/Non-Local PT</v>
          </cell>
          <cell r="J615" t="str">
            <v>2032/33</v>
          </cell>
        </row>
        <row r="616">
          <cell r="A616" t="str">
            <v>08 MANAWATU-WANGANUI</v>
          </cell>
          <cell r="B616">
            <v>10</v>
          </cell>
          <cell r="C616">
            <v>2038</v>
          </cell>
          <cell r="D616">
            <v>7</v>
          </cell>
          <cell r="E616">
            <v>9</v>
          </cell>
          <cell r="F616">
            <v>0.68468387600000002</v>
          </cell>
          <cell r="G616">
            <v>29.810989309</v>
          </cell>
          <cell r="H616">
            <v>1.2070923914</v>
          </cell>
          <cell r="I616" t="str">
            <v>Air/Non-Local PT</v>
          </cell>
          <cell r="J616" t="str">
            <v>2037/38</v>
          </cell>
        </row>
        <row r="617">
          <cell r="A617" t="str">
            <v>08 MANAWATU-WANGANUI</v>
          </cell>
          <cell r="B617">
            <v>10</v>
          </cell>
          <cell r="C617">
            <v>2043</v>
          </cell>
          <cell r="D617">
            <v>7</v>
          </cell>
          <cell r="E617">
            <v>9</v>
          </cell>
          <cell r="F617">
            <v>0.71940849250000005</v>
          </cell>
          <cell r="G617">
            <v>28.426336656</v>
          </cell>
          <cell r="H617">
            <v>1.2313933608000001</v>
          </cell>
          <cell r="I617" t="str">
            <v>Air/Non-Local PT</v>
          </cell>
          <cell r="J617" t="str">
            <v>2042/43</v>
          </cell>
        </row>
        <row r="618">
          <cell r="A618" t="str">
            <v>08 MANAWATU-WANGANUI</v>
          </cell>
          <cell r="B618">
            <v>11</v>
          </cell>
          <cell r="C618">
            <v>2013</v>
          </cell>
          <cell r="D618">
            <v>12</v>
          </cell>
          <cell r="E618">
            <v>37</v>
          </cell>
          <cell r="F618">
            <v>1.6982787315000001</v>
          </cell>
          <cell r="G618">
            <v>38.826541556000002</v>
          </cell>
          <cell r="H618">
            <v>0.76899050189999996</v>
          </cell>
          <cell r="I618" t="str">
            <v>Non-Household Travel</v>
          </cell>
          <cell r="J618" t="str">
            <v>2012/13</v>
          </cell>
        </row>
        <row r="619">
          <cell r="A619" t="str">
            <v>08 MANAWATU-WANGANUI</v>
          </cell>
          <cell r="B619">
            <v>11</v>
          </cell>
          <cell r="C619">
            <v>2018</v>
          </cell>
          <cell r="D619">
            <v>12</v>
          </cell>
          <cell r="E619">
            <v>37</v>
          </cell>
          <cell r="F619">
            <v>1.7100380187999999</v>
          </cell>
          <cell r="G619">
            <v>38.317939297000002</v>
          </cell>
          <cell r="H619">
            <v>0.77409499520000002</v>
          </cell>
          <cell r="I619" t="str">
            <v>Non-Household Travel</v>
          </cell>
          <cell r="J619" t="str">
            <v>2017/18</v>
          </cell>
        </row>
        <row r="620">
          <cell r="A620" t="str">
            <v>08 MANAWATU-WANGANUI</v>
          </cell>
          <cell r="B620">
            <v>11</v>
          </cell>
          <cell r="C620">
            <v>2023</v>
          </cell>
          <cell r="D620">
            <v>12</v>
          </cell>
          <cell r="E620">
            <v>37</v>
          </cell>
          <cell r="F620">
            <v>1.7410704418</v>
          </cell>
          <cell r="G620">
            <v>38.847172538999999</v>
          </cell>
          <cell r="H620">
            <v>0.79229801030000002</v>
          </cell>
          <cell r="I620" t="str">
            <v>Non-Household Travel</v>
          </cell>
          <cell r="J620" t="str">
            <v>2022/23</v>
          </cell>
        </row>
        <row r="621">
          <cell r="A621" t="str">
            <v>08 MANAWATU-WANGANUI</v>
          </cell>
          <cell r="B621">
            <v>11</v>
          </cell>
          <cell r="C621">
            <v>2028</v>
          </cell>
          <cell r="D621">
            <v>12</v>
          </cell>
          <cell r="E621">
            <v>37</v>
          </cell>
          <cell r="F621">
            <v>1.7989480758</v>
          </cell>
          <cell r="G621">
            <v>40.593532592999999</v>
          </cell>
          <cell r="H621">
            <v>0.8253393752</v>
          </cell>
          <cell r="I621" t="str">
            <v>Non-Household Travel</v>
          </cell>
          <cell r="J621" t="str">
            <v>2027/28</v>
          </cell>
        </row>
        <row r="622">
          <cell r="A622" t="str">
            <v>08 MANAWATU-WANGANUI</v>
          </cell>
          <cell r="B622">
            <v>11</v>
          </cell>
          <cell r="C622">
            <v>2033</v>
          </cell>
          <cell r="D622">
            <v>12</v>
          </cell>
          <cell r="E622">
            <v>37</v>
          </cell>
          <cell r="F622">
            <v>1.8064593504999999</v>
          </cell>
          <cell r="G622">
            <v>42.213387245</v>
          </cell>
          <cell r="H622">
            <v>0.84730179350000001</v>
          </cell>
          <cell r="I622" t="str">
            <v>Non-Household Travel</v>
          </cell>
          <cell r="J622" t="str">
            <v>2032/33</v>
          </cell>
        </row>
        <row r="623">
          <cell r="A623" t="str">
            <v>08 MANAWATU-WANGANUI</v>
          </cell>
          <cell r="B623">
            <v>11</v>
          </cell>
          <cell r="C623">
            <v>2038</v>
          </cell>
          <cell r="D623">
            <v>12</v>
          </cell>
          <cell r="E623">
            <v>37</v>
          </cell>
          <cell r="F623">
            <v>1.7704480139000001</v>
          </cell>
          <cell r="G623">
            <v>42.196501388999998</v>
          </cell>
          <cell r="H623">
            <v>0.8407667244</v>
          </cell>
          <cell r="I623" t="str">
            <v>Non-Household Travel</v>
          </cell>
          <cell r="J623" t="str">
            <v>2037/38</v>
          </cell>
        </row>
        <row r="624">
          <cell r="A624" t="str">
            <v>08 MANAWATU-WANGANUI</v>
          </cell>
          <cell r="B624">
            <v>11</v>
          </cell>
          <cell r="C624">
            <v>2043</v>
          </cell>
          <cell r="D624">
            <v>12</v>
          </cell>
          <cell r="E624">
            <v>37</v>
          </cell>
          <cell r="F624">
            <v>1.7172798415999999</v>
          </cell>
          <cell r="G624">
            <v>41.848900186000002</v>
          </cell>
          <cell r="H624">
            <v>0.82754669759999999</v>
          </cell>
          <cell r="I624" t="str">
            <v>Non-Household Travel</v>
          </cell>
          <cell r="J624" t="str">
            <v>2042/43</v>
          </cell>
        </row>
        <row r="625">
          <cell r="A625" t="str">
            <v>09 WELLINGTON</v>
          </cell>
          <cell r="B625">
            <v>0</v>
          </cell>
          <cell r="C625">
            <v>2013</v>
          </cell>
          <cell r="D625">
            <v>941</v>
          </cell>
          <cell r="E625">
            <v>4221</v>
          </cell>
          <cell r="F625">
            <v>182.29561206</v>
          </cell>
          <cell r="G625">
            <v>126.13499251</v>
          </cell>
          <cell r="H625">
            <v>32.985647405999998</v>
          </cell>
          <cell r="I625" t="str">
            <v>Pedestrian</v>
          </cell>
          <cell r="J625" t="str">
            <v>2012/13</v>
          </cell>
        </row>
        <row r="626">
          <cell r="A626" t="str">
            <v>09 WELLINGTON</v>
          </cell>
          <cell r="B626">
            <v>0</v>
          </cell>
          <cell r="C626">
            <v>2018</v>
          </cell>
          <cell r="D626">
            <v>941</v>
          </cell>
          <cell r="E626">
            <v>4221</v>
          </cell>
          <cell r="F626">
            <v>190.40872615999999</v>
          </cell>
          <cell r="G626">
            <v>132.45113541000001</v>
          </cell>
          <cell r="H626">
            <v>34.628282974999998</v>
          </cell>
          <cell r="I626" t="str">
            <v>Pedestrian</v>
          </cell>
          <cell r="J626" t="str">
            <v>2017/18</v>
          </cell>
        </row>
        <row r="627">
          <cell r="A627" t="str">
            <v>09 WELLINGTON</v>
          </cell>
          <cell r="B627">
            <v>0</v>
          </cell>
          <cell r="C627">
            <v>2023</v>
          </cell>
          <cell r="D627">
            <v>941</v>
          </cell>
          <cell r="E627">
            <v>4221</v>
          </cell>
          <cell r="F627">
            <v>193.73310755</v>
          </cell>
          <cell r="G627">
            <v>135.06483802</v>
          </cell>
          <cell r="H627">
            <v>35.277926403000002</v>
          </cell>
          <cell r="I627" t="str">
            <v>Pedestrian</v>
          </cell>
          <cell r="J627" t="str">
            <v>2022/23</v>
          </cell>
        </row>
        <row r="628">
          <cell r="A628" t="str">
            <v>09 WELLINGTON</v>
          </cell>
          <cell r="B628">
            <v>0</v>
          </cell>
          <cell r="C628">
            <v>2028</v>
          </cell>
          <cell r="D628">
            <v>941</v>
          </cell>
          <cell r="E628">
            <v>4221</v>
          </cell>
          <cell r="F628">
            <v>196.80875022000001</v>
          </cell>
          <cell r="G628">
            <v>137.71668699</v>
          </cell>
          <cell r="H628">
            <v>36.091399938000002</v>
          </cell>
          <cell r="I628" t="str">
            <v>Pedestrian</v>
          </cell>
          <cell r="J628" t="str">
            <v>2027/28</v>
          </cell>
        </row>
        <row r="629">
          <cell r="A629" t="str">
            <v>09 WELLINGTON</v>
          </cell>
          <cell r="B629">
            <v>0</v>
          </cell>
          <cell r="C629">
            <v>2033</v>
          </cell>
          <cell r="D629">
            <v>941</v>
          </cell>
          <cell r="E629">
            <v>4221</v>
          </cell>
          <cell r="F629">
            <v>198.85145539999999</v>
          </cell>
          <cell r="G629">
            <v>139.79366095</v>
          </cell>
          <cell r="H629">
            <v>36.692474709000003</v>
          </cell>
          <cell r="I629" t="str">
            <v>Pedestrian</v>
          </cell>
          <cell r="J629" t="str">
            <v>2032/33</v>
          </cell>
        </row>
        <row r="630">
          <cell r="A630" t="str">
            <v>09 WELLINGTON</v>
          </cell>
          <cell r="B630">
            <v>0</v>
          </cell>
          <cell r="C630">
            <v>2038</v>
          </cell>
          <cell r="D630">
            <v>941</v>
          </cell>
          <cell r="E630">
            <v>4221</v>
          </cell>
          <cell r="F630">
            <v>200.68600108000001</v>
          </cell>
          <cell r="G630">
            <v>142.10474904</v>
          </cell>
          <cell r="H630">
            <v>37.223403345000001</v>
          </cell>
          <cell r="I630" t="str">
            <v>Pedestrian</v>
          </cell>
          <cell r="J630" t="str">
            <v>2037/38</v>
          </cell>
        </row>
        <row r="631">
          <cell r="A631" t="str">
            <v>09 WELLINGTON</v>
          </cell>
          <cell r="B631">
            <v>0</v>
          </cell>
          <cell r="C631">
            <v>2043</v>
          </cell>
          <cell r="D631">
            <v>941</v>
          </cell>
          <cell r="E631">
            <v>4221</v>
          </cell>
          <cell r="F631">
            <v>201.86804825999999</v>
          </cell>
          <cell r="G631">
            <v>144.08450284</v>
          </cell>
          <cell r="H631">
            <v>37.663206666000001</v>
          </cell>
          <cell r="I631" t="str">
            <v>Pedestrian</v>
          </cell>
          <cell r="J631" t="str">
            <v>2042/43</v>
          </cell>
        </row>
        <row r="632">
          <cell r="A632" t="str">
            <v>09 WELLINGTON</v>
          </cell>
          <cell r="B632">
            <v>1</v>
          </cell>
          <cell r="C632">
            <v>2013</v>
          </cell>
          <cell r="D632">
            <v>54</v>
          </cell>
          <cell r="E632">
            <v>164</v>
          </cell>
          <cell r="F632">
            <v>8.1327913301999999</v>
          </cell>
          <cell r="G632">
            <v>52.092312808000003</v>
          </cell>
          <cell r="H632">
            <v>3.6978261002999999</v>
          </cell>
          <cell r="I632" t="str">
            <v>Cyclist</v>
          </cell>
          <cell r="J632" t="str">
            <v>2012/13</v>
          </cell>
        </row>
        <row r="633">
          <cell r="A633" t="str">
            <v>09 WELLINGTON</v>
          </cell>
          <cell r="B633">
            <v>1</v>
          </cell>
          <cell r="C633">
            <v>2018</v>
          </cell>
          <cell r="D633">
            <v>54</v>
          </cell>
          <cell r="E633">
            <v>164</v>
          </cell>
          <cell r="F633">
            <v>8.2039512521999995</v>
          </cell>
          <cell r="G633">
            <v>54.619825529000003</v>
          </cell>
          <cell r="H633">
            <v>3.8706390237999999</v>
          </cell>
          <cell r="I633" t="str">
            <v>Cyclist</v>
          </cell>
          <cell r="J633" t="str">
            <v>2017/18</v>
          </cell>
        </row>
        <row r="634">
          <cell r="A634" t="str">
            <v>09 WELLINGTON</v>
          </cell>
          <cell r="B634">
            <v>1</v>
          </cell>
          <cell r="C634">
            <v>2023</v>
          </cell>
          <cell r="D634">
            <v>54</v>
          </cell>
          <cell r="E634">
            <v>164</v>
          </cell>
          <cell r="F634">
            <v>8.1176767918999992</v>
          </cell>
          <cell r="G634">
            <v>55.456239609999997</v>
          </cell>
          <cell r="H634">
            <v>3.9188412526</v>
          </cell>
          <cell r="I634" t="str">
            <v>Cyclist</v>
          </cell>
          <cell r="J634" t="str">
            <v>2022/23</v>
          </cell>
        </row>
        <row r="635">
          <cell r="A635" t="str">
            <v>09 WELLINGTON</v>
          </cell>
          <cell r="B635">
            <v>1</v>
          </cell>
          <cell r="C635">
            <v>2028</v>
          </cell>
          <cell r="D635">
            <v>54</v>
          </cell>
          <cell r="E635">
            <v>164</v>
          </cell>
          <cell r="F635">
            <v>7.8079709510999997</v>
          </cell>
          <cell r="G635">
            <v>56.716453205999997</v>
          </cell>
          <cell r="H635">
            <v>3.9715236813999999</v>
          </cell>
          <cell r="I635" t="str">
            <v>Cyclist</v>
          </cell>
          <cell r="J635" t="str">
            <v>2027/28</v>
          </cell>
        </row>
        <row r="636">
          <cell r="A636" t="str">
            <v>09 WELLINGTON</v>
          </cell>
          <cell r="B636">
            <v>1</v>
          </cell>
          <cell r="C636">
            <v>2033</v>
          </cell>
          <cell r="D636">
            <v>54</v>
          </cell>
          <cell r="E636">
            <v>164</v>
          </cell>
          <cell r="F636">
            <v>7.6109124194</v>
          </cell>
          <cell r="G636">
            <v>60.390584517000001</v>
          </cell>
          <cell r="H636">
            <v>4.1712015988999998</v>
          </cell>
          <cell r="I636" t="str">
            <v>Cyclist</v>
          </cell>
          <cell r="J636" t="str">
            <v>2032/33</v>
          </cell>
        </row>
        <row r="637">
          <cell r="A637" t="str">
            <v>09 WELLINGTON</v>
          </cell>
          <cell r="B637">
            <v>1</v>
          </cell>
          <cell r="C637">
            <v>2038</v>
          </cell>
          <cell r="D637">
            <v>54</v>
          </cell>
          <cell r="E637">
            <v>164</v>
          </cell>
          <cell r="F637">
            <v>7.5600450404000004</v>
          </cell>
          <cell r="G637">
            <v>65.895244525999999</v>
          </cell>
          <cell r="H637">
            <v>4.4943216531000001</v>
          </cell>
          <cell r="I637" t="str">
            <v>Cyclist</v>
          </cell>
          <cell r="J637" t="str">
            <v>2037/38</v>
          </cell>
        </row>
        <row r="638">
          <cell r="A638" t="str">
            <v>09 WELLINGTON</v>
          </cell>
          <cell r="B638">
            <v>1</v>
          </cell>
          <cell r="C638">
            <v>2043</v>
          </cell>
          <cell r="D638">
            <v>54</v>
          </cell>
          <cell r="E638">
            <v>164</v>
          </cell>
          <cell r="F638">
            <v>7.5180838595999999</v>
          </cell>
          <cell r="G638">
            <v>71.642121337000006</v>
          </cell>
          <cell r="H638">
            <v>4.8322216795999999</v>
          </cell>
          <cell r="I638" t="str">
            <v>Cyclist</v>
          </cell>
          <cell r="J638" t="str">
            <v>2042/43</v>
          </cell>
        </row>
        <row r="639">
          <cell r="A639" t="str">
            <v>09 WELLINGTON</v>
          </cell>
          <cell r="B639">
            <v>2</v>
          </cell>
          <cell r="C639">
            <v>2013</v>
          </cell>
          <cell r="D639">
            <v>1130</v>
          </cell>
          <cell r="E639">
            <v>8488</v>
          </cell>
          <cell r="F639">
            <v>377.93589692</v>
          </cell>
          <cell r="G639">
            <v>3481.4296611999998</v>
          </cell>
          <cell r="H639">
            <v>92.129697210000003</v>
          </cell>
          <cell r="I639" t="str">
            <v>Light Vehicle Driver</v>
          </cell>
          <cell r="J639" t="str">
            <v>2012/13</v>
          </cell>
        </row>
        <row r="640">
          <cell r="A640" t="str">
            <v>09 WELLINGTON</v>
          </cell>
          <cell r="B640">
            <v>2</v>
          </cell>
          <cell r="C640">
            <v>2018</v>
          </cell>
          <cell r="D640">
            <v>1130</v>
          </cell>
          <cell r="E640">
            <v>8488</v>
          </cell>
          <cell r="F640">
            <v>393.65461706000002</v>
          </cell>
          <cell r="G640">
            <v>3641.9345367999999</v>
          </cell>
          <cell r="H640">
            <v>96.431207155999999</v>
          </cell>
          <cell r="I640" t="str">
            <v>Light Vehicle Driver</v>
          </cell>
          <cell r="J640" t="str">
            <v>2017/18</v>
          </cell>
        </row>
        <row r="641">
          <cell r="A641" t="str">
            <v>09 WELLINGTON</v>
          </cell>
          <cell r="B641">
            <v>2</v>
          </cell>
          <cell r="C641">
            <v>2023</v>
          </cell>
          <cell r="D641">
            <v>1130</v>
          </cell>
          <cell r="E641">
            <v>8488</v>
          </cell>
          <cell r="F641">
            <v>402.66991358000001</v>
          </cell>
          <cell r="G641">
            <v>3731.1882663000001</v>
          </cell>
          <cell r="H641">
            <v>98.909793128000004</v>
          </cell>
          <cell r="I641" t="str">
            <v>Light Vehicle Driver</v>
          </cell>
          <cell r="J641" t="str">
            <v>2022/23</v>
          </cell>
        </row>
        <row r="642">
          <cell r="A642" t="str">
            <v>09 WELLINGTON</v>
          </cell>
          <cell r="B642">
            <v>2</v>
          </cell>
          <cell r="C642">
            <v>2028</v>
          </cell>
          <cell r="D642">
            <v>1130</v>
          </cell>
          <cell r="E642">
            <v>8488</v>
          </cell>
          <cell r="F642">
            <v>417.77474382999998</v>
          </cell>
          <cell r="G642">
            <v>3886.7419365000001</v>
          </cell>
          <cell r="H642">
            <v>102.84637115</v>
          </cell>
          <cell r="I642" t="str">
            <v>Light Vehicle Driver</v>
          </cell>
          <cell r="J642" t="str">
            <v>2027/28</v>
          </cell>
        </row>
        <row r="643">
          <cell r="A643" t="str">
            <v>09 WELLINGTON</v>
          </cell>
          <cell r="B643">
            <v>2</v>
          </cell>
          <cell r="C643">
            <v>2033</v>
          </cell>
          <cell r="D643">
            <v>1130</v>
          </cell>
          <cell r="E643">
            <v>8488</v>
          </cell>
          <cell r="F643">
            <v>430.57936690999998</v>
          </cell>
          <cell r="G643">
            <v>4036.5519002999999</v>
          </cell>
          <cell r="H643">
            <v>106.37558653000001</v>
          </cell>
          <cell r="I643" t="str">
            <v>Light Vehicle Driver</v>
          </cell>
          <cell r="J643" t="str">
            <v>2032/33</v>
          </cell>
        </row>
        <row r="644">
          <cell r="A644" t="str">
            <v>09 WELLINGTON</v>
          </cell>
          <cell r="B644">
            <v>2</v>
          </cell>
          <cell r="C644">
            <v>2038</v>
          </cell>
          <cell r="D644">
            <v>1130</v>
          </cell>
          <cell r="E644">
            <v>8488</v>
          </cell>
          <cell r="F644">
            <v>439.30549060999999</v>
          </cell>
          <cell r="G644">
            <v>4147.7905872000001</v>
          </cell>
          <cell r="H644">
            <v>108.99849632999999</v>
          </cell>
          <cell r="I644" t="str">
            <v>Light Vehicle Driver</v>
          </cell>
          <cell r="J644" t="str">
            <v>2037/38</v>
          </cell>
        </row>
        <row r="645">
          <cell r="A645" t="str">
            <v>09 WELLINGTON</v>
          </cell>
          <cell r="B645">
            <v>2</v>
          </cell>
          <cell r="C645">
            <v>2043</v>
          </cell>
          <cell r="D645">
            <v>1130</v>
          </cell>
          <cell r="E645">
            <v>8488</v>
          </cell>
          <cell r="F645">
            <v>446.15541109999998</v>
          </cell>
          <cell r="G645">
            <v>4240.9874411000001</v>
          </cell>
          <cell r="H645">
            <v>111.17557921</v>
          </cell>
          <cell r="I645" t="str">
            <v>Light Vehicle Driver</v>
          </cell>
          <cell r="J645" t="str">
            <v>2042/43</v>
          </cell>
        </row>
        <row r="646">
          <cell r="A646" t="str">
            <v>09 WELLINGTON</v>
          </cell>
          <cell r="B646">
            <v>3</v>
          </cell>
          <cell r="C646">
            <v>2013</v>
          </cell>
          <cell r="D646">
            <v>936</v>
          </cell>
          <cell r="E646">
            <v>4461</v>
          </cell>
          <cell r="F646">
            <v>183.55442563</v>
          </cell>
          <cell r="G646">
            <v>2005.8850408000001</v>
          </cell>
          <cell r="H646">
            <v>48.966354531</v>
          </cell>
          <cell r="I646" t="str">
            <v>Light Vehicle Passenger</v>
          </cell>
          <cell r="J646" t="str">
            <v>2012/13</v>
          </cell>
        </row>
        <row r="647">
          <cell r="A647" t="str">
            <v>09 WELLINGTON</v>
          </cell>
          <cell r="B647">
            <v>3</v>
          </cell>
          <cell r="C647">
            <v>2018</v>
          </cell>
          <cell r="D647">
            <v>936</v>
          </cell>
          <cell r="E647">
            <v>4461</v>
          </cell>
          <cell r="F647">
            <v>185.19623999999999</v>
          </cell>
          <cell r="G647">
            <v>1999.5831888</v>
          </cell>
          <cell r="H647">
            <v>49.178630364999997</v>
          </cell>
          <cell r="I647" t="str">
            <v>Light Vehicle Passenger</v>
          </cell>
          <cell r="J647" t="str">
            <v>2017/18</v>
          </cell>
        </row>
        <row r="648">
          <cell r="A648" t="str">
            <v>09 WELLINGTON</v>
          </cell>
          <cell r="B648">
            <v>3</v>
          </cell>
          <cell r="C648">
            <v>2023</v>
          </cell>
          <cell r="D648">
            <v>936</v>
          </cell>
          <cell r="E648">
            <v>4461</v>
          </cell>
          <cell r="F648">
            <v>184.76842518000001</v>
          </cell>
          <cell r="G648">
            <v>1970.7731154999999</v>
          </cell>
          <cell r="H648">
            <v>48.766577740000002</v>
          </cell>
          <cell r="I648" t="str">
            <v>Light Vehicle Passenger</v>
          </cell>
          <cell r="J648" t="str">
            <v>2022/23</v>
          </cell>
        </row>
        <row r="649">
          <cell r="A649" t="str">
            <v>09 WELLINGTON</v>
          </cell>
          <cell r="B649">
            <v>3</v>
          </cell>
          <cell r="C649">
            <v>2028</v>
          </cell>
          <cell r="D649">
            <v>936</v>
          </cell>
          <cell r="E649">
            <v>4461</v>
          </cell>
          <cell r="F649">
            <v>184.2742116</v>
          </cell>
          <cell r="G649">
            <v>1965.2787202</v>
          </cell>
          <cell r="H649">
            <v>48.654322915999998</v>
          </cell>
          <cell r="I649" t="str">
            <v>Light Vehicle Passenger</v>
          </cell>
          <cell r="J649" t="str">
            <v>2027/28</v>
          </cell>
        </row>
        <row r="650">
          <cell r="A650" t="str">
            <v>09 WELLINGTON</v>
          </cell>
          <cell r="B650">
            <v>3</v>
          </cell>
          <cell r="C650">
            <v>2033</v>
          </cell>
          <cell r="D650">
            <v>936</v>
          </cell>
          <cell r="E650">
            <v>4461</v>
          </cell>
          <cell r="F650">
            <v>184.11298127000001</v>
          </cell>
          <cell r="G650">
            <v>1965.0207774999999</v>
          </cell>
          <cell r="H650">
            <v>48.637526184999999</v>
          </cell>
          <cell r="I650" t="str">
            <v>Light Vehicle Passenger</v>
          </cell>
          <cell r="J650" t="str">
            <v>2032/33</v>
          </cell>
        </row>
        <row r="651">
          <cell r="A651" t="str">
            <v>09 WELLINGTON</v>
          </cell>
          <cell r="B651">
            <v>3</v>
          </cell>
          <cell r="C651">
            <v>2038</v>
          </cell>
          <cell r="D651">
            <v>936</v>
          </cell>
          <cell r="E651">
            <v>4461</v>
          </cell>
          <cell r="F651">
            <v>183.16953197000001</v>
          </cell>
          <cell r="G651">
            <v>1950.3790839000001</v>
          </cell>
          <cell r="H651">
            <v>48.282370092000001</v>
          </cell>
          <cell r="I651" t="str">
            <v>Light Vehicle Passenger</v>
          </cell>
          <cell r="J651" t="str">
            <v>2037/38</v>
          </cell>
        </row>
        <row r="652">
          <cell r="A652" t="str">
            <v>09 WELLINGTON</v>
          </cell>
          <cell r="B652">
            <v>3</v>
          </cell>
          <cell r="C652">
            <v>2043</v>
          </cell>
          <cell r="D652">
            <v>936</v>
          </cell>
          <cell r="E652">
            <v>4461</v>
          </cell>
          <cell r="F652">
            <v>181.24657514</v>
          </cell>
          <cell r="G652">
            <v>1926.4478180999999</v>
          </cell>
          <cell r="H652">
            <v>47.707554029000001</v>
          </cell>
          <cell r="I652" t="str">
            <v>Light Vehicle Passenger</v>
          </cell>
          <cell r="J652" t="str">
            <v>2042/43</v>
          </cell>
        </row>
        <row r="653">
          <cell r="A653" t="str">
            <v>09 WELLINGTON</v>
          </cell>
          <cell r="B653">
            <v>4</v>
          </cell>
          <cell r="C653">
            <v>2013</v>
          </cell>
          <cell r="D653">
            <v>31</v>
          </cell>
          <cell r="E653">
            <v>51</v>
          </cell>
          <cell r="F653">
            <v>2.3579512121000001</v>
          </cell>
          <cell r="G653">
            <v>19.359252680000001</v>
          </cell>
          <cell r="H653">
            <v>0.76229285280000003</v>
          </cell>
          <cell r="J653" t="str">
            <v>2012/13</v>
          </cell>
        </row>
        <row r="654">
          <cell r="A654" t="str">
            <v>09 WELLINGTON</v>
          </cell>
          <cell r="B654">
            <v>4</v>
          </cell>
          <cell r="C654">
            <v>2018</v>
          </cell>
          <cell r="D654">
            <v>31</v>
          </cell>
          <cell r="E654">
            <v>51</v>
          </cell>
          <cell r="F654">
            <v>2.5432772413000002</v>
          </cell>
          <cell r="G654">
            <v>20.293499299</v>
          </cell>
          <cell r="H654">
            <v>0.80752725110000001</v>
          </cell>
          <cell r="J654" t="str">
            <v>2017/18</v>
          </cell>
        </row>
        <row r="655">
          <cell r="A655" t="str">
            <v>09 WELLINGTON</v>
          </cell>
          <cell r="B655">
            <v>4</v>
          </cell>
          <cell r="C655">
            <v>2023</v>
          </cell>
          <cell r="D655">
            <v>31</v>
          </cell>
          <cell r="E655">
            <v>51</v>
          </cell>
          <cell r="F655">
            <v>2.6476384677000002</v>
          </cell>
          <cell r="G655">
            <v>21.173082781000002</v>
          </cell>
          <cell r="H655">
            <v>0.84598605199999999</v>
          </cell>
          <cell r="J655" t="str">
            <v>2022/23</v>
          </cell>
        </row>
        <row r="656">
          <cell r="A656" t="str">
            <v>09 WELLINGTON</v>
          </cell>
          <cell r="B656">
            <v>4</v>
          </cell>
          <cell r="C656">
            <v>2028</v>
          </cell>
          <cell r="D656">
            <v>31</v>
          </cell>
          <cell r="E656">
            <v>51</v>
          </cell>
          <cell r="F656">
            <v>2.7468313403</v>
          </cell>
          <cell r="G656">
            <v>22.585173241</v>
          </cell>
          <cell r="H656">
            <v>0.89929059430000002</v>
          </cell>
          <cell r="J656" t="str">
            <v>2027/28</v>
          </cell>
        </row>
        <row r="657">
          <cell r="A657" t="str">
            <v>09 WELLINGTON</v>
          </cell>
          <cell r="B657">
            <v>4</v>
          </cell>
          <cell r="C657">
            <v>2033</v>
          </cell>
          <cell r="D657">
            <v>31</v>
          </cell>
          <cell r="E657">
            <v>51</v>
          </cell>
          <cell r="F657">
            <v>2.8252487921</v>
          </cell>
          <cell r="G657">
            <v>23.936852735999999</v>
          </cell>
          <cell r="H657">
            <v>0.94109277199999997</v>
          </cell>
          <cell r="J657" t="str">
            <v>2032/33</v>
          </cell>
        </row>
        <row r="658">
          <cell r="A658" t="str">
            <v>09 WELLINGTON</v>
          </cell>
          <cell r="B658">
            <v>4</v>
          </cell>
          <cell r="C658">
            <v>2038</v>
          </cell>
          <cell r="D658">
            <v>31</v>
          </cell>
          <cell r="E658">
            <v>51</v>
          </cell>
          <cell r="F658">
            <v>2.8956268278000001</v>
          </cell>
          <cell r="G658">
            <v>24.949145009999999</v>
          </cell>
          <cell r="H658">
            <v>0.96691873650000004</v>
          </cell>
          <cell r="J658" t="str">
            <v>2037/38</v>
          </cell>
        </row>
        <row r="659">
          <cell r="A659" t="str">
            <v>09 WELLINGTON</v>
          </cell>
          <cell r="B659">
            <v>4</v>
          </cell>
          <cell r="C659">
            <v>2043</v>
          </cell>
          <cell r="D659">
            <v>31</v>
          </cell>
          <cell r="E659">
            <v>51</v>
          </cell>
          <cell r="F659">
            <v>2.9527106017000002</v>
          </cell>
          <cell r="G659">
            <v>25.765838730999999</v>
          </cell>
          <cell r="H659">
            <v>0.98696370619999996</v>
          </cell>
          <cell r="J659" t="str">
            <v>2042/43</v>
          </cell>
        </row>
        <row r="660">
          <cell r="A660" t="str">
            <v>09 WELLINGTON</v>
          </cell>
          <cell r="B660">
            <v>5</v>
          </cell>
          <cell r="C660">
            <v>2013</v>
          </cell>
          <cell r="D660">
            <v>16</v>
          </cell>
          <cell r="E660">
            <v>64</v>
          </cell>
          <cell r="F660">
            <v>2.4968267649999998</v>
          </cell>
          <cell r="G660">
            <v>24.444631151999999</v>
          </cell>
          <cell r="H660">
            <v>0.71073078609999996</v>
          </cell>
          <cell r="I660" t="str">
            <v>Motorcyclist</v>
          </cell>
          <cell r="J660" t="str">
            <v>2012/13</v>
          </cell>
        </row>
        <row r="661">
          <cell r="A661" t="str">
            <v>09 WELLINGTON</v>
          </cell>
          <cell r="B661">
            <v>5</v>
          </cell>
          <cell r="C661">
            <v>2018</v>
          </cell>
          <cell r="D661">
            <v>16</v>
          </cell>
          <cell r="E661">
            <v>64</v>
          </cell>
          <cell r="F661">
            <v>2.6093417345000001</v>
          </cell>
          <cell r="G661">
            <v>24.296201889999999</v>
          </cell>
          <cell r="H661">
            <v>0.72229804269999998</v>
          </cell>
          <cell r="I661" t="str">
            <v>Motorcyclist</v>
          </cell>
          <cell r="J661" t="str">
            <v>2017/18</v>
          </cell>
        </row>
        <row r="662">
          <cell r="A662" t="str">
            <v>09 WELLINGTON</v>
          </cell>
          <cell r="B662">
            <v>5</v>
          </cell>
          <cell r="C662">
            <v>2023</v>
          </cell>
          <cell r="D662">
            <v>16</v>
          </cell>
          <cell r="E662">
            <v>64</v>
          </cell>
          <cell r="F662">
            <v>2.6299500282000001</v>
          </cell>
          <cell r="G662">
            <v>23.759589644999998</v>
          </cell>
          <cell r="H662">
            <v>0.71145422179999995</v>
          </cell>
          <cell r="I662" t="str">
            <v>Motorcyclist</v>
          </cell>
          <cell r="J662" t="str">
            <v>2022/23</v>
          </cell>
        </row>
        <row r="663">
          <cell r="A663" t="str">
            <v>09 WELLINGTON</v>
          </cell>
          <cell r="B663">
            <v>5</v>
          </cell>
          <cell r="C663">
            <v>2028</v>
          </cell>
          <cell r="D663">
            <v>16</v>
          </cell>
          <cell r="E663">
            <v>64</v>
          </cell>
          <cell r="F663">
            <v>2.6708057522000002</v>
          </cell>
          <cell r="G663">
            <v>24.081453671999999</v>
          </cell>
          <cell r="H663">
            <v>0.7154514797</v>
          </cell>
          <cell r="I663" t="str">
            <v>Motorcyclist</v>
          </cell>
          <cell r="J663" t="str">
            <v>2027/28</v>
          </cell>
        </row>
        <row r="664">
          <cell r="A664" t="str">
            <v>09 WELLINGTON</v>
          </cell>
          <cell r="B664">
            <v>5</v>
          </cell>
          <cell r="C664">
            <v>2033</v>
          </cell>
          <cell r="D664">
            <v>16</v>
          </cell>
          <cell r="E664">
            <v>64</v>
          </cell>
          <cell r="F664">
            <v>2.7223856131000002</v>
          </cell>
          <cell r="G664">
            <v>25.052681531000001</v>
          </cell>
          <cell r="H664">
            <v>0.73612926219999997</v>
          </cell>
          <cell r="I664" t="str">
            <v>Motorcyclist</v>
          </cell>
          <cell r="J664" t="str">
            <v>2032/33</v>
          </cell>
        </row>
        <row r="665">
          <cell r="A665" t="str">
            <v>09 WELLINGTON</v>
          </cell>
          <cell r="B665">
            <v>5</v>
          </cell>
          <cell r="C665">
            <v>2038</v>
          </cell>
          <cell r="D665">
            <v>16</v>
          </cell>
          <cell r="E665">
            <v>64</v>
          </cell>
          <cell r="F665">
            <v>2.7492731103999999</v>
          </cell>
          <cell r="G665">
            <v>25.872757813</v>
          </cell>
          <cell r="H665">
            <v>0.75474360689999997</v>
          </cell>
          <cell r="I665" t="str">
            <v>Motorcyclist</v>
          </cell>
          <cell r="J665" t="str">
            <v>2037/38</v>
          </cell>
        </row>
        <row r="666">
          <cell r="A666" t="str">
            <v>09 WELLINGTON</v>
          </cell>
          <cell r="B666">
            <v>5</v>
          </cell>
          <cell r="C666">
            <v>2043</v>
          </cell>
          <cell r="D666">
            <v>16</v>
          </cell>
          <cell r="E666">
            <v>64</v>
          </cell>
          <cell r="F666">
            <v>2.7439070996999999</v>
          </cell>
          <cell r="G666">
            <v>26.366761792999998</v>
          </cell>
          <cell r="H666">
            <v>0.76316885479999996</v>
          </cell>
          <cell r="I666" t="str">
            <v>Motorcyclist</v>
          </cell>
          <cell r="J666" t="str">
            <v>2042/43</v>
          </cell>
        </row>
        <row r="667">
          <cell r="A667" t="str">
            <v>09 WELLINGTON</v>
          </cell>
          <cell r="B667">
            <v>6</v>
          </cell>
          <cell r="C667">
            <v>2013</v>
          </cell>
          <cell r="D667">
            <v>94</v>
          </cell>
          <cell r="E667">
            <v>228</v>
          </cell>
          <cell r="F667">
            <v>10.165258230999999</v>
          </cell>
          <cell r="G667">
            <v>251.12727889999999</v>
          </cell>
          <cell r="H667">
            <v>5.5268751299999996</v>
          </cell>
          <cell r="I667" t="str">
            <v>Local Train</v>
          </cell>
          <cell r="J667" t="str">
            <v>2012/13</v>
          </cell>
        </row>
        <row r="668">
          <cell r="A668" t="str">
            <v>09 WELLINGTON</v>
          </cell>
          <cell r="B668">
            <v>6</v>
          </cell>
          <cell r="C668">
            <v>2018</v>
          </cell>
          <cell r="D668">
            <v>94</v>
          </cell>
          <cell r="E668">
            <v>228</v>
          </cell>
          <cell r="F668">
            <v>10.797078745</v>
          </cell>
          <cell r="G668">
            <v>265.00934484999999</v>
          </cell>
          <cell r="H668">
            <v>5.8119776274000001</v>
          </cell>
          <cell r="I668" t="str">
            <v>Local Train</v>
          </cell>
          <cell r="J668" t="str">
            <v>2017/18</v>
          </cell>
        </row>
        <row r="669">
          <cell r="A669" t="str">
            <v>09 WELLINGTON</v>
          </cell>
          <cell r="B669">
            <v>6</v>
          </cell>
          <cell r="C669">
            <v>2023</v>
          </cell>
          <cell r="D669">
            <v>94</v>
          </cell>
          <cell r="E669">
            <v>228</v>
          </cell>
          <cell r="F669">
            <v>11.168125702999999</v>
          </cell>
          <cell r="G669">
            <v>274.59087191999998</v>
          </cell>
          <cell r="H669">
            <v>6.0056745876999997</v>
          </cell>
          <cell r="I669" t="str">
            <v>Local Train</v>
          </cell>
          <cell r="J669" t="str">
            <v>2022/23</v>
          </cell>
        </row>
        <row r="670">
          <cell r="A670" t="str">
            <v>09 WELLINGTON</v>
          </cell>
          <cell r="B670">
            <v>6</v>
          </cell>
          <cell r="C670">
            <v>2028</v>
          </cell>
          <cell r="D670">
            <v>94</v>
          </cell>
          <cell r="E670">
            <v>228</v>
          </cell>
          <cell r="F670">
            <v>11.279089557000001</v>
          </cell>
          <cell r="G670">
            <v>280.53891522999999</v>
          </cell>
          <cell r="H670">
            <v>6.1237727758</v>
          </cell>
          <cell r="I670" t="str">
            <v>Local Train</v>
          </cell>
          <cell r="J670" t="str">
            <v>2027/28</v>
          </cell>
        </row>
        <row r="671">
          <cell r="A671" t="str">
            <v>09 WELLINGTON</v>
          </cell>
          <cell r="B671">
            <v>6</v>
          </cell>
          <cell r="C671">
            <v>2033</v>
          </cell>
          <cell r="D671">
            <v>94</v>
          </cell>
          <cell r="E671">
            <v>228</v>
          </cell>
          <cell r="F671">
            <v>11.274533194</v>
          </cell>
          <cell r="G671">
            <v>280.46661624000001</v>
          </cell>
          <cell r="H671">
            <v>6.1345499878999998</v>
          </cell>
          <cell r="I671" t="str">
            <v>Local Train</v>
          </cell>
          <cell r="J671" t="str">
            <v>2032/33</v>
          </cell>
        </row>
        <row r="672">
          <cell r="A672" t="str">
            <v>09 WELLINGTON</v>
          </cell>
          <cell r="B672">
            <v>6</v>
          </cell>
          <cell r="C672">
            <v>2038</v>
          </cell>
          <cell r="D672">
            <v>94</v>
          </cell>
          <cell r="E672">
            <v>228</v>
          </cell>
          <cell r="F672">
            <v>11.332285597</v>
          </cell>
          <cell r="G672">
            <v>281.29711746999999</v>
          </cell>
          <cell r="H672">
            <v>6.1617167924</v>
          </cell>
          <cell r="I672" t="str">
            <v>Local Train</v>
          </cell>
          <cell r="J672" t="str">
            <v>2037/38</v>
          </cell>
        </row>
        <row r="673">
          <cell r="A673" t="str">
            <v>09 WELLINGTON</v>
          </cell>
          <cell r="B673">
            <v>6</v>
          </cell>
          <cell r="C673">
            <v>2043</v>
          </cell>
          <cell r="D673">
            <v>94</v>
          </cell>
          <cell r="E673">
            <v>228</v>
          </cell>
          <cell r="F673">
            <v>11.340319081000001</v>
          </cell>
          <cell r="G673">
            <v>280.54519583000001</v>
          </cell>
          <cell r="H673">
            <v>6.1591517609000004</v>
          </cell>
          <cell r="I673" t="str">
            <v>Local Train</v>
          </cell>
          <cell r="J673" t="str">
            <v>2042/43</v>
          </cell>
        </row>
        <row r="674">
          <cell r="A674" t="str">
            <v>09 WELLINGTON</v>
          </cell>
          <cell r="B674">
            <v>7</v>
          </cell>
          <cell r="C674">
            <v>2013</v>
          </cell>
          <cell r="D674">
            <v>211</v>
          </cell>
          <cell r="E674">
            <v>552</v>
          </cell>
          <cell r="F674">
            <v>24.821335829999999</v>
          </cell>
          <cell r="G674">
            <v>187.412398</v>
          </cell>
          <cell r="H674">
            <v>9.3956469076999998</v>
          </cell>
          <cell r="I674" t="str">
            <v>Local Bus</v>
          </cell>
          <cell r="J674" t="str">
            <v>2012/13</v>
          </cell>
        </row>
        <row r="675">
          <cell r="A675" t="str">
            <v>09 WELLINGTON</v>
          </cell>
          <cell r="B675">
            <v>7</v>
          </cell>
          <cell r="C675">
            <v>2018</v>
          </cell>
          <cell r="D675">
            <v>211</v>
          </cell>
          <cell r="E675">
            <v>552</v>
          </cell>
          <cell r="F675">
            <v>25.478594138999998</v>
          </cell>
          <cell r="G675">
            <v>194.02219538</v>
          </cell>
          <cell r="H675">
            <v>9.6849274415999993</v>
          </cell>
          <cell r="I675" t="str">
            <v>Local Bus</v>
          </cell>
          <cell r="J675" t="str">
            <v>2017/18</v>
          </cell>
        </row>
        <row r="676">
          <cell r="A676" t="str">
            <v>09 WELLINGTON</v>
          </cell>
          <cell r="B676">
            <v>7</v>
          </cell>
          <cell r="C676">
            <v>2023</v>
          </cell>
          <cell r="D676">
            <v>211</v>
          </cell>
          <cell r="E676">
            <v>552</v>
          </cell>
          <cell r="F676">
            <v>25.553104759</v>
          </cell>
          <cell r="G676">
            <v>195.43861494999999</v>
          </cell>
          <cell r="H676">
            <v>9.7519610038</v>
          </cell>
          <cell r="I676" t="str">
            <v>Local Bus</v>
          </cell>
          <cell r="J676" t="str">
            <v>2022/23</v>
          </cell>
        </row>
        <row r="677">
          <cell r="A677" t="str">
            <v>09 WELLINGTON</v>
          </cell>
          <cell r="B677">
            <v>7</v>
          </cell>
          <cell r="C677">
            <v>2028</v>
          </cell>
          <cell r="D677">
            <v>211</v>
          </cell>
          <cell r="E677">
            <v>552</v>
          </cell>
          <cell r="F677">
            <v>25.151368187999999</v>
          </cell>
          <cell r="G677">
            <v>195.36506292999999</v>
          </cell>
          <cell r="H677">
            <v>9.6209603155999996</v>
          </cell>
          <cell r="I677" t="str">
            <v>Local Bus</v>
          </cell>
          <cell r="J677" t="str">
            <v>2027/28</v>
          </cell>
        </row>
        <row r="678">
          <cell r="A678" t="str">
            <v>09 WELLINGTON</v>
          </cell>
          <cell r="B678">
            <v>7</v>
          </cell>
          <cell r="C678">
            <v>2033</v>
          </cell>
          <cell r="D678">
            <v>211</v>
          </cell>
          <cell r="E678">
            <v>552</v>
          </cell>
          <cell r="F678">
            <v>24.406180762000002</v>
          </cell>
          <cell r="G678">
            <v>193.63218957999999</v>
          </cell>
          <cell r="H678">
            <v>9.3692021358000002</v>
          </cell>
          <cell r="I678" t="str">
            <v>Local Bus</v>
          </cell>
          <cell r="J678" t="str">
            <v>2032/33</v>
          </cell>
        </row>
        <row r="679">
          <cell r="A679" t="str">
            <v>09 WELLINGTON</v>
          </cell>
          <cell r="B679">
            <v>7</v>
          </cell>
          <cell r="C679">
            <v>2038</v>
          </cell>
          <cell r="D679">
            <v>211</v>
          </cell>
          <cell r="E679">
            <v>552</v>
          </cell>
          <cell r="F679">
            <v>23.540603255000001</v>
          </cell>
          <cell r="G679">
            <v>191.16260774</v>
          </cell>
          <cell r="H679">
            <v>9.0822456122999995</v>
          </cell>
          <cell r="I679" t="str">
            <v>Local Bus</v>
          </cell>
          <cell r="J679" t="str">
            <v>2037/38</v>
          </cell>
        </row>
        <row r="680">
          <cell r="A680" t="str">
            <v>09 WELLINGTON</v>
          </cell>
          <cell r="B680">
            <v>7</v>
          </cell>
          <cell r="C680">
            <v>2043</v>
          </cell>
          <cell r="D680">
            <v>211</v>
          </cell>
          <cell r="E680">
            <v>552</v>
          </cell>
          <cell r="F680">
            <v>22.598963101999999</v>
          </cell>
          <cell r="G680">
            <v>187.86246208</v>
          </cell>
          <cell r="H680">
            <v>8.7596172426999992</v>
          </cell>
          <cell r="I680" t="str">
            <v>Local Bus</v>
          </cell>
          <cell r="J680" t="str">
            <v>2042/43</v>
          </cell>
        </row>
        <row r="681">
          <cell r="A681" t="str">
            <v>09 WELLINGTON</v>
          </cell>
          <cell r="B681">
            <v>8</v>
          </cell>
          <cell r="C681">
            <v>2013</v>
          </cell>
          <cell r="D681">
            <v>2</v>
          </cell>
          <cell r="E681">
            <v>4</v>
          </cell>
          <cell r="F681">
            <v>0.22615005399999999</v>
          </cell>
          <cell r="G681">
            <v>0</v>
          </cell>
          <cell r="H681">
            <v>5.6537513499999997E-2</v>
          </cell>
          <cell r="I681" t="str">
            <v>Local Ferry</v>
          </cell>
          <cell r="J681" t="str">
            <v>2012/13</v>
          </cell>
        </row>
        <row r="682">
          <cell r="A682" t="str">
            <v>09 WELLINGTON</v>
          </cell>
          <cell r="B682">
            <v>8</v>
          </cell>
          <cell r="C682">
            <v>2018</v>
          </cell>
          <cell r="D682">
            <v>2</v>
          </cell>
          <cell r="E682">
            <v>4</v>
          </cell>
          <cell r="F682">
            <v>0.26431697199999998</v>
          </cell>
          <cell r="G682">
            <v>0</v>
          </cell>
          <cell r="H682">
            <v>6.6079242999999996E-2</v>
          </cell>
          <cell r="I682" t="str">
            <v>Local Ferry</v>
          </cell>
          <cell r="J682" t="str">
            <v>2017/18</v>
          </cell>
        </row>
        <row r="683">
          <cell r="A683" t="str">
            <v>09 WELLINGTON</v>
          </cell>
          <cell r="B683">
            <v>8</v>
          </cell>
          <cell r="C683">
            <v>2023</v>
          </cell>
          <cell r="D683">
            <v>2</v>
          </cell>
          <cell r="E683">
            <v>4</v>
          </cell>
          <cell r="F683">
            <v>0.28857463049999998</v>
          </cell>
          <cell r="G683">
            <v>0</v>
          </cell>
          <cell r="H683">
            <v>7.2143657599999994E-2</v>
          </cell>
          <cell r="I683" t="str">
            <v>Local Ferry</v>
          </cell>
          <cell r="J683" t="str">
            <v>2022/23</v>
          </cell>
        </row>
        <row r="684">
          <cell r="A684" t="str">
            <v>09 WELLINGTON</v>
          </cell>
          <cell r="B684">
            <v>8</v>
          </cell>
          <cell r="C684">
            <v>2028</v>
          </cell>
          <cell r="D684">
            <v>2</v>
          </cell>
          <cell r="E684">
            <v>4</v>
          </cell>
          <cell r="F684">
            <v>0.31621654980000002</v>
          </cell>
          <cell r="G684">
            <v>0</v>
          </cell>
          <cell r="H684">
            <v>7.9054137400000002E-2</v>
          </cell>
          <cell r="I684" t="str">
            <v>Local Ferry</v>
          </cell>
          <cell r="J684" t="str">
            <v>2027/28</v>
          </cell>
        </row>
        <row r="685">
          <cell r="A685" t="str">
            <v>09 WELLINGTON</v>
          </cell>
          <cell r="B685">
            <v>8</v>
          </cell>
          <cell r="C685">
            <v>2033</v>
          </cell>
          <cell r="D685">
            <v>2</v>
          </cell>
          <cell r="E685">
            <v>4</v>
          </cell>
          <cell r="F685">
            <v>0.3451891547</v>
          </cell>
          <cell r="G685">
            <v>0</v>
          </cell>
          <cell r="H685">
            <v>8.6297288700000002E-2</v>
          </cell>
          <cell r="I685" t="str">
            <v>Local Ferry</v>
          </cell>
          <cell r="J685" t="str">
            <v>2032/33</v>
          </cell>
        </row>
        <row r="686">
          <cell r="A686" t="str">
            <v>09 WELLINGTON</v>
          </cell>
          <cell r="B686">
            <v>8</v>
          </cell>
          <cell r="C686">
            <v>2038</v>
          </cell>
          <cell r="D686">
            <v>2</v>
          </cell>
          <cell r="E686">
            <v>4</v>
          </cell>
          <cell r="F686">
            <v>0.38230067420000002</v>
          </cell>
          <cell r="G686">
            <v>0</v>
          </cell>
          <cell r="H686">
            <v>9.5575168599999996E-2</v>
          </cell>
          <cell r="I686" t="str">
            <v>Local Ferry</v>
          </cell>
          <cell r="J686" t="str">
            <v>2037/38</v>
          </cell>
        </row>
        <row r="687">
          <cell r="A687" t="str">
            <v>09 WELLINGTON</v>
          </cell>
          <cell r="B687">
            <v>8</v>
          </cell>
          <cell r="C687">
            <v>2043</v>
          </cell>
          <cell r="D687">
            <v>2</v>
          </cell>
          <cell r="E687">
            <v>4</v>
          </cell>
          <cell r="F687">
            <v>0.42183481340000001</v>
          </cell>
          <cell r="G687">
            <v>0</v>
          </cell>
          <cell r="H687">
            <v>0.10545870340000001</v>
          </cell>
          <cell r="I687" t="str">
            <v>Local Ferry</v>
          </cell>
          <cell r="J687" t="str">
            <v>2042/43</v>
          </cell>
        </row>
        <row r="688">
          <cell r="A688" t="str">
            <v>09 WELLINGTON</v>
          </cell>
          <cell r="B688">
            <v>9</v>
          </cell>
          <cell r="C688">
            <v>2013</v>
          </cell>
          <cell r="D688">
            <v>7</v>
          </cell>
          <cell r="E688">
            <v>10</v>
          </cell>
          <cell r="F688">
            <v>0.33422365529999998</v>
          </cell>
          <cell r="G688">
            <v>0</v>
          </cell>
          <cell r="H688">
            <v>0.36538599710000003</v>
          </cell>
          <cell r="I688" t="str">
            <v>Other Household Travel</v>
          </cell>
          <cell r="J688" t="str">
            <v>2012/13</v>
          </cell>
        </row>
        <row r="689">
          <cell r="A689" t="str">
            <v>09 WELLINGTON</v>
          </cell>
          <cell r="B689">
            <v>9</v>
          </cell>
          <cell r="C689">
            <v>2018</v>
          </cell>
          <cell r="D689">
            <v>7</v>
          </cell>
          <cell r="E689">
            <v>10</v>
          </cell>
          <cell r="F689">
            <v>0.33488079380000002</v>
          </cell>
          <cell r="G689">
            <v>0</v>
          </cell>
          <cell r="H689">
            <v>0.34000227849999998</v>
          </cell>
          <cell r="I689" t="str">
            <v>Other Household Travel</v>
          </cell>
          <cell r="J689" t="str">
            <v>2017/18</v>
          </cell>
        </row>
        <row r="690">
          <cell r="A690" t="str">
            <v>09 WELLINGTON</v>
          </cell>
          <cell r="B690">
            <v>9</v>
          </cell>
          <cell r="C690">
            <v>2023</v>
          </cell>
          <cell r="D690">
            <v>7</v>
          </cell>
          <cell r="E690">
            <v>10</v>
          </cell>
          <cell r="F690">
            <v>0.33806265470000002</v>
          </cell>
          <cell r="G690">
            <v>0</v>
          </cell>
          <cell r="H690">
            <v>0.35020196920000002</v>
          </cell>
          <cell r="I690" t="str">
            <v>Other Household Travel</v>
          </cell>
          <cell r="J690" t="str">
            <v>2022/23</v>
          </cell>
        </row>
        <row r="691">
          <cell r="A691" t="str">
            <v>09 WELLINGTON</v>
          </cell>
          <cell r="B691">
            <v>9</v>
          </cell>
          <cell r="C691">
            <v>2028</v>
          </cell>
          <cell r="D691">
            <v>7</v>
          </cell>
          <cell r="E691">
            <v>10</v>
          </cell>
          <cell r="F691">
            <v>0.33497066549999999</v>
          </cell>
          <cell r="G691">
            <v>0</v>
          </cell>
          <cell r="H691">
            <v>0.39326157960000002</v>
          </cell>
          <cell r="I691" t="str">
            <v>Other Household Travel</v>
          </cell>
          <cell r="J691" t="str">
            <v>2027/28</v>
          </cell>
        </row>
        <row r="692">
          <cell r="A692" t="str">
            <v>09 WELLINGTON</v>
          </cell>
          <cell r="B692">
            <v>9</v>
          </cell>
          <cell r="C692">
            <v>2033</v>
          </cell>
          <cell r="D692">
            <v>7</v>
          </cell>
          <cell r="E692">
            <v>10</v>
          </cell>
          <cell r="F692">
            <v>0.3219268227</v>
          </cell>
          <cell r="G692">
            <v>0</v>
          </cell>
          <cell r="H692">
            <v>0.42035086579999997</v>
          </cell>
          <cell r="I692" t="str">
            <v>Other Household Travel</v>
          </cell>
          <cell r="J692" t="str">
            <v>2032/33</v>
          </cell>
        </row>
        <row r="693">
          <cell r="A693" t="str">
            <v>09 WELLINGTON</v>
          </cell>
          <cell r="B693">
            <v>9</v>
          </cell>
          <cell r="C693">
            <v>2038</v>
          </cell>
          <cell r="D693">
            <v>7</v>
          </cell>
          <cell r="E693">
            <v>10</v>
          </cell>
          <cell r="F693">
            <v>0.31181591939999997</v>
          </cell>
          <cell r="G693">
            <v>0</v>
          </cell>
          <cell r="H693">
            <v>0.41294815779999999</v>
          </cell>
          <cell r="I693" t="str">
            <v>Other Household Travel</v>
          </cell>
          <cell r="J693" t="str">
            <v>2037/38</v>
          </cell>
        </row>
        <row r="694">
          <cell r="A694" t="str">
            <v>09 WELLINGTON</v>
          </cell>
          <cell r="B694">
            <v>9</v>
          </cell>
          <cell r="C694">
            <v>2043</v>
          </cell>
          <cell r="D694">
            <v>7</v>
          </cell>
          <cell r="E694">
            <v>10</v>
          </cell>
          <cell r="F694">
            <v>0.29940411049999999</v>
          </cell>
          <cell r="G694">
            <v>0</v>
          </cell>
          <cell r="H694">
            <v>0.40237083429999998</v>
          </cell>
          <cell r="I694" t="str">
            <v>Other Household Travel</v>
          </cell>
          <cell r="J694" t="str">
            <v>2042/43</v>
          </cell>
        </row>
        <row r="695">
          <cell r="A695" t="str">
            <v>09 WELLINGTON</v>
          </cell>
          <cell r="B695">
            <v>10</v>
          </cell>
          <cell r="C695">
            <v>2013</v>
          </cell>
          <cell r="D695">
            <v>44</v>
          </cell>
          <cell r="E695">
            <v>59</v>
          </cell>
          <cell r="F695">
            <v>2.6590020702000001</v>
          </cell>
          <cell r="G695">
            <v>67.715118274999995</v>
          </cell>
          <cell r="H695">
            <v>5.4178011538000002</v>
          </cell>
          <cell r="I695" t="str">
            <v>Air/Non-Local PT</v>
          </cell>
          <cell r="J695" t="str">
            <v>2012/13</v>
          </cell>
        </row>
        <row r="696">
          <cell r="A696" t="str">
            <v>09 WELLINGTON</v>
          </cell>
          <cell r="B696">
            <v>10</v>
          </cell>
          <cell r="C696">
            <v>2018</v>
          </cell>
          <cell r="D696">
            <v>44</v>
          </cell>
          <cell r="E696">
            <v>59</v>
          </cell>
          <cell r="F696">
            <v>2.8710897917999998</v>
          </cell>
          <cell r="G696">
            <v>79.116258962000003</v>
          </cell>
          <cell r="H696">
            <v>5.9343550265999996</v>
          </cell>
          <cell r="I696" t="str">
            <v>Air/Non-Local PT</v>
          </cell>
          <cell r="J696" t="str">
            <v>2017/18</v>
          </cell>
        </row>
        <row r="697">
          <cell r="A697" t="str">
            <v>09 WELLINGTON</v>
          </cell>
          <cell r="B697">
            <v>10</v>
          </cell>
          <cell r="C697">
            <v>2023</v>
          </cell>
          <cell r="D697">
            <v>44</v>
          </cell>
          <cell r="E697">
            <v>59</v>
          </cell>
          <cell r="F697">
            <v>3.0765514006000001</v>
          </cell>
          <cell r="G697">
            <v>87.939174520999998</v>
          </cell>
          <cell r="H697">
            <v>6.4863082568000001</v>
          </cell>
          <cell r="I697" t="str">
            <v>Air/Non-Local PT</v>
          </cell>
          <cell r="J697" t="str">
            <v>2022/23</v>
          </cell>
        </row>
        <row r="698">
          <cell r="A698" t="str">
            <v>09 WELLINGTON</v>
          </cell>
          <cell r="B698">
            <v>10</v>
          </cell>
          <cell r="C698">
            <v>2028</v>
          </cell>
          <cell r="D698">
            <v>44</v>
          </cell>
          <cell r="E698">
            <v>59</v>
          </cell>
          <cell r="F698">
            <v>3.2956602709</v>
          </cell>
          <cell r="G698">
            <v>90.336684117999994</v>
          </cell>
          <cell r="H698">
            <v>7.0918734171000004</v>
          </cell>
          <cell r="I698" t="str">
            <v>Air/Non-Local PT</v>
          </cell>
          <cell r="J698" t="str">
            <v>2027/28</v>
          </cell>
        </row>
        <row r="699">
          <cell r="A699" t="str">
            <v>09 WELLINGTON</v>
          </cell>
          <cell r="B699">
            <v>10</v>
          </cell>
          <cell r="C699">
            <v>2033</v>
          </cell>
          <cell r="D699">
            <v>44</v>
          </cell>
          <cell r="E699">
            <v>59</v>
          </cell>
          <cell r="F699">
            <v>3.4521304353</v>
          </cell>
          <cell r="G699">
            <v>89.916026278999993</v>
          </cell>
          <cell r="H699">
            <v>7.5104916558000001</v>
          </cell>
          <cell r="I699" t="str">
            <v>Air/Non-Local PT</v>
          </cell>
          <cell r="J699" t="str">
            <v>2032/33</v>
          </cell>
        </row>
        <row r="700">
          <cell r="A700" t="str">
            <v>09 WELLINGTON</v>
          </cell>
          <cell r="B700">
            <v>10</v>
          </cell>
          <cell r="C700">
            <v>2038</v>
          </cell>
          <cell r="D700">
            <v>44</v>
          </cell>
          <cell r="E700">
            <v>59</v>
          </cell>
          <cell r="F700">
            <v>3.5272522366999999</v>
          </cell>
          <cell r="G700">
            <v>87.392306137000006</v>
          </cell>
          <cell r="H700">
            <v>7.6650939221999996</v>
          </cell>
          <cell r="I700" t="str">
            <v>Air/Non-Local PT</v>
          </cell>
          <cell r="J700" t="str">
            <v>2037/38</v>
          </cell>
        </row>
        <row r="701">
          <cell r="A701" t="str">
            <v>09 WELLINGTON</v>
          </cell>
          <cell r="B701">
            <v>10</v>
          </cell>
          <cell r="C701">
            <v>2043</v>
          </cell>
          <cell r="D701">
            <v>44</v>
          </cell>
          <cell r="E701">
            <v>59</v>
          </cell>
          <cell r="F701">
            <v>3.5854261145000001</v>
          </cell>
          <cell r="G701">
            <v>84.228081196999995</v>
          </cell>
          <cell r="H701">
            <v>7.7698778697000002</v>
          </cell>
          <cell r="I701" t="str">
            <v>Air/Non-Local PT</v>
          </cell>
          <cell r="J701" t="str">
            <v>2042/43</v>
          </cell>
        </row>
        <row r="702">
          <cell r="A702" t="str">
            <v>09 WELLINGTON</v>
          </cell>
          <cell r="B702">
            <v>11</v>
          </cell>
          <cell r="C702">
            <v>2013</v>
          </cell>
          <cell r="D702">
            <v>22</v>
          </cell>
          <cell r="E702">
            <v>115</v>
          </cell>
          <cell r="F702">
            <v>5.4599503292999998</v>
          </cell>
          <cell r="G702">
            <v>100.96436647</v>
          </cell>
          <cell r="H702">
            <v>1.9758448391000001</v>
          </cell>
          <cell r="I702" t="str">
            <v>Non-Household Travel</v>
          </cell>
          <cell r="J702" t="str">
            <v>2012/13</v>
          </cell>
        </row>
        <row r="703">
          <cell r="A703" t="str">
            <v>09 WELLINGTON</v>
          </cell>
          <cell r="B703">
            <v>11</v>
          </cell>
          <cell r="C703">
            <v>2018</v>
          </cell>
          <cell r="D703">
            <v>22</v>
          </cell>
          <cell r="E703">
            <v>115</v>
          </cell>
          <cell r="F703">
            <v>5.65413985</v>
          </cell>
          <cell r="G703">
            <v>114.8172015</v>
          </cell>
          <cell r="H703">
            <v>2.1944772420000001</v>
          </cell>
          <cell r="I703" t="str">
            <v>Non-Household Travel</v>
          </cell>
          <cell r="J703" t="str">
            <v>2017/18</v>
          </cell>
        </row>
        <row r="704">
          <cell r="A704" t="str">
            <v>09 WELLINGTON</v>
          </cell>
          <cell r="B704">
            <v>11</v>
          </cell>
          <cell r="C704">
            <v>2023</v>
          </cell>
          <cell r="D704">
            <v>22</v>
          </cell>
          <cell r="E704">
            <v>115</v>
          </cell>
          <cell r="F704">
            <v>5.6992245069000003</v>
          </cell>
          <cell r="G704">
            <v>122.25507487</v>
          </cell>
          <cell r="H704">
            <v>2.3066151080999999</v>
          </cell>
          <cell r="I704" t="str">
            <v>Non-Household Travel</v>
          </cell>
          <cell r="J704" t="str">
            <v>2022/23</v>
          </cell>
        </row>
        <row r="705">
          <cell r="A705" t="str">
            <v>09 WELLINGTON</v>
          </cell>
          <cell r="B705">
            <v>11</v>
          </cell>
          <cell r="C705">
            <v>2028</v>
          </cell>
          <cell r="D705">
            <v>22</v>
          </cell>
          <cell r="E705">
            <v>115</v>
          </cell>
          <cell r="F705">
            <v>5.7860474436000002</v>
          </cell>
          <cell r="G705">
            <v>124.02493247</v>
          </cell>
          <cell r="H705">
            <v>2.3359455530000002</v>
          </cell>
          <cell r="I705" t="str">
            <v>Non-Household Travel</v>
          </cell>
          <cell r="J705" t="str">
            <v>2027/28</v>
          </cell>
        </row>
        <row r="706">
          <cell r="A706" t="str">
            <v>09 WELLINGTON</v>
          </cell>
          <cell r="B706">
            <v>11</v>
          </cell>
          <cell r="C706">
            <v>2033</v>
          </cell>
          <cell r="D706">
            <v>22</v>
          </cell>
          <cell r="E706">
            <v>115</v>
          </cell>
          <cell r="F706">
            <v>5.9675302331999998</v>
          </cell>
          <cell r="G706">
            <v>124.20269841</v>
          </cell>
          <cell r="H706">
            <v>2.3664416397000001</v>
          </cell>
          <cell r="I706" t="str">
            <v>Non-Household Travel</v>
          </cell>
          <cell r="J706" t="str">
            <v>2032/33</v>
          </cell>
        </row>
        <row r="707">
          <cell r="A707" t="str">
            <v>09 WELLINGTON</v>
          </cell>
          <cell r="B707">
            <v>11</v>
          </cell>
          <cell r="C707">
            <v>2038</v>
          </cell>
          <cell r="D707">
            <v>22</v>
          </cell>
          <cell r="E707">
            <v>115</v>
          </cell>
          <cell r="F707">
            <v>6.2418903682</v>
          </cell>
          <cell r="G707">
            <v>126.14757662</v>
          </cell>
          <cell r="H707">
            <v>2.4461322334000002</v>
          </cell>
          <cell r="I707" t="str">
            <v>Non-Household Travel</v>
          </cell>
          <cell r="J707" t="str">
            <v>2037/38</v>
          </cell>
        </row>
        <row r="708">
          <cell r="A708" t="str">
            <v>09 WELLINGTON</v>
          </cell>
          <cell r="B708">
            <v>11</v>
          </cell>
          <cell r="C708">
            <v>2043</v>
          </cell>
          <cell r="D708">
            <v>22</v>
          </cell>
          <cell r="E708">
            <v>115</v>
          </cell>
          <cell r="F708">
            <v>6.5372804907999997</v>
          </cell>
          <cell r="G708">
            <v>128.09292260000001</v>
          </cell>
          <cell r="H708">
            <v>2.5289052887999999</v>
          </cell>
          <cell r="I708" t="str">
            <v>Non-Household Travel</v>
          </cell>
          <cell r="J708" t="str">
            <v>2042/43</v>
          </cell>
        </row>
        <row r="709">
          <cell r="A709" t="str">
            <v>10 NELS-MARLB-TAS</v>
          </cell>
          <cell r="B709">
            <v>0</v>
          </cell>
          <cell r="C709">
            <v>2013</v>
          </cell>
          <cell r="D709">
            <v>333</v>
          </cell>
          <cell r="E709">
            <v>1184</v>
          </cell>
          <cell r="F709">
            <v>34.609993433</v>
          </cell>
          <cell r="G709">
            <v>28.582749250999999</v>
          </cell>
          <cell r="H709">
            <v>7.2640217022</v>
          </cell>
          <cell r="I709" t="str">
            <v>Pedestrian</v>
          </cell>
          <cell r="J709" t="str">
            <v>2012/13</v>
          </cell>
        </row>
        <row r="710">
          <cell r="A710" t="str">
            <v>10 NELS-MARLB-TAS</v>
          </cell>
          <cell r="B710">
            <v>0</v>
          </cell>
          <cell r="C710">
            <v>2018</v>
          </cell>
          <cell r="D710">
            <v>333</v>
          </cell>
          <cell r="E710">
            <v>1184</v>
          </cell>
          <cell r="F710">
            <v>35.412109807999997</v>
          </cell>
          <cell r="G710">
            <v>29.218006952</v>
          </cell>
          <cell r="H710">
            <v>7.4192933844000004</v>
          </cell>
          <cell r="I710" t="str">
            <v>Pedestrian</v>
          </cell>
          <cell r="J710" t="str">
            <v>2017/18</v>
          </cell>
        </row>
        <row r="711">
          <cell r="A711" t="str">
            <v>10 NELS-MARLB-TAS</v>
          </cell>
          <cell r="B711">
            <v>0</v>
          </cell>
          <cell r="C711">
            <v>2023</v>
          </cell>
          <cell r="D711">
            <v>333</v>
          </cell>
          <cell r="E711">
            <v>1184</v>
          </cell>
          <cell r="F711">
            <v>36.132588358</v>
          </cell>
          <cell r="G711">
            <v>29.915459591000001</v>
          </cell>
          <cell r="H711">
            <v>7.5926687733999998</v>
          </cell>
          <cell r="I711" t="str">
            <v>Pedestrian</v>
          </cell>
          <cell r="J711" t="str">
            <v>2022/23</v>
          </cell>
        </row>
        <row r="712">
          <cell r="A712" t="str">
            <v>10 NELS-MARLB-TAS</v>
          </cell>
          <cell r="B712">
            <v>0</v>
          </cell>
          <cell r="C712">
            <v>2028</v>
          </cell>
          <cell r="D712">
            <v>333</v>
          </cell>
          <cell r="E712">
            <v>1184</v>
          </cell>
          <cell r="F712">
            <v>36.943221762999997</v>
          </cell>
          <cell r="G712">
            <v>30.710865215999998</v>
          </cell>
          <cell r="H712">
            <v>7.8321744404000002</v>
          </cell>
          <cell r="I712" t="str">
            <v>Pedestrian</v>
          </cell>
          <cell r="J712" t="str">
            <v>2027/28</v>
          </cell>
        </row>
        <row r="713">
          <cell r="A713" t="str">
            <v>10 NELS-MARLB-TAS</v>
          </cell>
          <cell r="B713">
            <v>0</v>
          </cell>
          <cell r="C713">
            <v>2033</v>
          </cell>
          <cell r="D713">
            <v>333</v>
          </cell>
          <cell r="E713">
            <v>1184</v>
          </cell>
          <cell r="F713">
            <v>36.857263832999998</v>
          </cell>
          <cell r="G713">
            <v>30.793533067999999</v>
          </cell>
          <cell r="H713">
            <v>7.8844276371999999</v>
          </cell>
          <cell r="I713" t="str">
            <v>Pedestrian</v>
          </cell>
          <cell r="J713" t="str">
            <v>2032/33</v>
          </cell>
        </row>
        <row r="714">
          <cell r="A714" t="str">
            <v>10 NELS-MARLB-TAS</v>
          </cell>
          <cell r="B714">
            <v>0</v>
          </cell>
          <cell r="C714">
            <v>2038</v>
          </cell>
          <cell r="D714">
            <v>333</v>
          </cell>
          <cell r="E714">
            <v>1184</v>
          </cell>
          <cell r="F714">
            <v>36.301921978999999</v>
          </cell>
          <cell r="G714">
            <v>30.261559836</v>
          </cell>
          <cell r="H714">
            <v>7.7826606298999996</v>
          </cell>
          <cell r="I714" t="str">
            <v>Pedestrian</v>
          </cell>
          <cell r="J714" t="str">
            <v>2037/38</v>
          </cell>
        </row>
        <row r="715">
          <cell r="A715" t="str">
            <v>10 NELS-MARLB-TAS</v>
          </cell>
          <cell r="B715">
            <v>0</v>
          </cell>
          <cell r="C715">
            <v>2043</v>
          </cell>
          <cell r="D715">
            <v>333</v>
          </cell>
          <cell r="E715">
            <v>1184</v>
          </cell>
          <cell r="F715">
            <v>35.566581065999998</v>
          </cell>
          <cell r="G715">
            <v>29.572727163</v>
          </cell>
          <cell r="H715">
            <v>7.6338057050000003</v>
          </cell>
          <cell r="I715" t="str">
            <v>Pedestrian</v>
          </cell>
          <cell r="J715" t="str">
            <v>2042/43</v>
          </cell>
        </row>
        <row r="716">
          <cell r="A716" t="str">
            <v>10 NELS-MARLB-TAS</v>
          </cell>
          <cell r="B716">
            <v>1</v>
          </cell>
          <cell r="C716">
            <v>2013</v>
          </cell>
          <cell r="D716">
            <v>42</v>
          </cell>
          <cell r="E716">
            <v>121</v>
          </cell>
          <cell r="F716">
            <v>2.9519642961999999</v>
          </cell>
          <cell r="G716">
            <v>10.809874027999999</v>
          </cell>
          <cell r="H716">
            <v>1.0417220854</v>
          </cell>
          <cell r="I716" t="str">
            <v>Cyclist</v>
          </cell>
          <cell r="J716" t="str">
            <v>2012/13</v>
          </cell>
        </row>
        <row r="717">
          <cell r="A717" t="str">
            <v>10 NELS-MARLB-TAS</v>
          </cell>
          <cell r="B717">
            <v>1</v>
          </cell>
          <cell r="C717">
            <v>2018</v>
          </cell>
          <cell r="D717">
            <v>42</v>
          </cell>
          <cell r="E717">
            <v>121</v>
          </cell>
          <cell r="F717">
            <v>2.8996429138000002</v>
          </cell>
          <cell r="G717">
            <v>10.925292730000001</v>
          </cell>
          <cell r="H717">
            <v>1.0420593668</v>
          </cell>
          <cell r="I717" t="str">
            <v>Cyclist</v>
          </cell>
          <cell r="J717" t="str">
            <v>2017/18</v>
          </cell>
        </row>
        <row r="718">
          <cell r="A718" t="str">
            <v>10 NELS-MARLB-TAS</v>
          </cell>
          <cell r="B718">
            <v>1</v>
          </cell>
          <cell r="C718">
            <v>2023</v>
          </cell>
          <cell r="D718">
            <v>42</v>
          </cell>
          <cell r="E718">
            <v>121</v>
          </cell>
          <cell r="F718">
            <v>2.9024097035</v>
          </cell>
          <cell r="G718">
            <v>11.049815563999999</v>
          </cell>
          <cell r="H718">
            <v>1.0627563765000001</v>
          </cell>
          <cell r="I718" t="str">
            <v>Cyclist</v>
          </cell>
          <cell r="J718" t="str">
            <v>2022/23</v>
          </cell>
        </row>
        <row r="719">
          <cell r="A719" t="str">
            <v>10 NELS-MARLB-TAS</v>
          </cell>
          <cell r="B719">
            <v>1</v>
          </cell>
          <cell r="C719">
            <v>2028</v>
          </cell>
          <cell r="D719">
            <v>42</v>
          </cell>
          <cell r="E719">
            <v>121</v>
          </cell>
          <cell r="F719">
            <v>2.9727755146999999</v>
          </cell>
          <cell r="G719">
            <v>11.204092779</v>
          </cell>
          <cell r="H719">
            <v>1.1028986735999999</v>
          </cell>
          <cell r="I719" t="str">
            <v>Cyclist</v>
          </cell>
          <cell r="J719" t="str">
            <v>2027/28</v>
          </cell>
        </row>
        <row r="720">
          <cell r="A720" t="str">
            <v>10 NELS-MARLB-TAS</v>
          </cell>
          <cell r="B720">
            <v>1</v>
          </cell>
          <cell r="C720">
            <v>2033</v>
          </cell>
          <cell r="D720">
            <v>42</v>
          </cell>
          <cell r="E720">
            <v>121</v>
          </cell>
          <cell r="F720">
            <v>3.0234496254000001</v>
          </cell>
          <cell r="G720">
            <v>11.484619552</v>
          </cell>
          <cell r="H720">
            <v>1.1355188607</v>
          </cell>
          <cell r="I720" t="str">
            <v>Cyclist</v>
          </cell>
          <cell r="J720" t="str">
            <v>2032/33</v>
          </cell>
        </row>
        <row r="721">
          <cell r="A721" t="str">
            <v>10 NELS-MARLB-TAS</v>
          </cell>
          <cell r="B721">
            <v>1</v>
          </cell>
          <cell r="C721">
            <v>2038</v>
          </cell>
          <cell r="D721">
            <v>42</v>
          </cell>
          <cell r="E721">
            <v>121</v>
          </cell>
          <cell r="F721">
            <v>3.0546693206</v>
          </cell>
          <cell r="G721">
            <v>11.990194689000001</v>
          </cell>
          <cell r="H721">
            <v>1.1735064523000001</v>
          </cell>
          <cell r="I721" t="str">
            <v>Cyclist</v>
          </cell>
          <cell r="J721" t="str">
            <v>2037/38</v>
          </cell>
        </row>
        <row r="722">
          <cell r="A722" t="str">
            <v>10 NELS-MARLB-TAS</v>
          </cell>
          <cell r="B722">
            <v>1</v>
          </cell>
          <cell r="C722">
            <v>2043</v>
          </cell>
          <cell r="D722">
            <v>42</v>
          </cell>
          <cell r="E722">
            <v>121</v>
          </cell>
          <cell r="F722">
            <v>3.0689121532999999</v>
          </cell>
          <cell r="G722">
            <v>12.536337862</v>
          </cell>
          <cell r="H722">
            <v>1.2112505582999999</v>
          </cell>
          <cell r="I722" t="str">
            <v>Cyclist</v>
          </cell>
          <cell r="J722" t="str">
            <v>2042/43</v>
          </cell>
        </row>
        <row r="723">
          <cell r="A723" t="str">
            <v>10 NELS-MARLB-TAS</v>
          </cell>
          <cell r="B723">
            <v>2</v>
          </cell>
          <cell r="C723">
            <v>2013</v>
          </cell>
          <cell r="D723">
            <v>480</v>
          </cell>
          <cell r="E723">
            <v>3377</v>
          </cell>
          <cell r="F723">
            <v>98.206986838999995</v>
          </cell>
          <cell r="G723">
            <v>1012.1329009999999</v>
          </cell>
          <cell r="H723">
            <v>23.635435057999999</v>
          </cell>
          <cell r="I723" t="str">
            <v>Light Vehicle Driver</v>
          </cell>
          <cell r="J723" t="str">
            <v>2012/13</v>
          </cell>
        </row>
        <row r="724">
          <cell r="A724" t="str">
            <v>10 NELS-MARLB-TAS</v>
          </cell>
          <cell r="B724">
            <v>2</v>
          </cell>
          <cell r="C724">
            <v>2018</v>
          </cell>
          <cell r="D724">
            <v>480</v>
          </cell>
          <cell r="E724">
            <v>3377</v>
          </cell>
          <cell r="F724">
            <v>100.83257542</v>
          </cell>
          <cell r="G724">
            <v>1028.2362791999999</v>
          </cell>
          <cell r="H724">
            <v>24.179165622999999</v>
          </cell>
          <cell r="I724" t="str">
            <v>Light Vehicle Driver</v>
          </cell>
          <cell r="J724" t="str">
            <v>2017/18</v>
          </cell>
        </row>
        <row r="725">
          <cell r="A725" t="str">
            <v>10 NELS-MARLB-TAS</v>
          </cell>
          <cell r="B725">
            <v>2</v>
          </cell>
          <cell r="C725">
            <v>2023</v>
          </cell>
          <cell r="D725">
            <v>480</v>
          </cell>
          <cell r="E725">
            <v>3377</v>
          </cell>
          <cell r="F725">
            <v>101.81833698</v>
          </cell>
          <cell r="G725">
            <v>1024.2941461</v>
          </cell>
          <cell r="H725">
            <v>24.278405261</v>
          </cell>
          <cell r="I725" t="str">
            <v>Light Vehicle Driver</v>
          </cell>
          <cell r="J725" t="str">
            <v>2022/23</v>
          </cell>
        </row>
        <row r="726">
          <cell r="A726" t="str">
            <v>10 NELS-MARLB-TAS</v>
          </cell>
          <cell r="B726">
            <v>2</v>
          </cell>
          <cell r="C726">
            <v>2028</v>
          </cell>
          <cell r="D726">
            <v>480</v>
          </cell>
          <cell r="E726">
            <v>3377</v>
          </cell>
          <cell r="F726">
            <v>103.16927344</v>
          </cell>
          <cell r="G726">
            <v>1019.5480332</v>
          </cell>
          <cell r="H726">
            <v>24.400132134</v>
          </cell>
          <cell r="I726" t="str">
            <v>Light Vehicle Driver</v>
          </cell>
          <cell r="J726" t="str">
            <v>2027/28</v>
          </cell>
        </row>
        <row r="727">
          <cell r="A727" t="str">
            <v>10 NELS-MARLB-TAS</v>
          </cell>
          <cell r="B727">
            <v>2</v>
          </cell>
          <cell r="C727">
            <v>2033</v>
          </cell>
          <cell r="D727">
            <v>480</v>
          </cell>
          <cell r="E727">
            <v>3377</v>
          </cell>
          <cell r="F727">
            <v>104.20274843</v>
          </cell>
          <cell r="G727">
            <v>1012.0784126</v>
          </cell>
          <cell r="H727">
            <v>24.417601918999999</v>
          </cell>
          <cell r="I727" t="str">
            <v>Light Vehicle Driver</v>
          </cell>
          <cell r="J727" t="str">
            <v>2032/33</v>
          </cell>
        </row>
        <row r="728">
          <cell r="A728" t="str">
            <v>10 NELS-MARLB-TAS</v>
          </cell>
          <cell r="B728">
            <v>2</v>
          </cell>
          <cell r="C728">
            <v>2038</v>
          </cell>
          <cell r="D728">
            <v>480</v>
          </cell>
          <cell r="E728">
            <v>3377</v>
          </cell>
          <cell r="F728">
            <v>104.06905725999999</v>
          </cell>
          <cell r="G728">
            <v>995.60537398999998</v>
          </cell>
          <cell r="H728">
            <v>24.204137880000001</v>
          </cell>
          <cell r="I728" t="str">
            <v>Light Vehicle Driver</v>
          </cell>
          <cell r="J728" t="str">
            <v>2037/38</v>
          </cell>
        </row>
        <row r="729">
          <cell r="A729" t="str">
            <v>10 NELS-MARLB-TAS</v>
          </cell>
          <cell r="B729">
            <v>2</v>
          </cell>
          <cell r="C729">
            <v>2043</v>
          </cell>
          <cell r="D729">
            <v>480</v>
          </cell>
          <cell r="E729">
            <v>3377</v>
          </cell>
          <cell r="F729">
            <v>103.55998246999999</v>
          </cell>
          <cell r="G729">
            <v>976.73826785999995</v>
          </cell>
          <cell r="H729">
            <v>23.912650791000001</v>
          </cell>
          <cell r="I729" t="str">
            <v>Light Vehicle Driver</v>
          </cell>
          <cell r="J729" t="str">
            <v>2042/43</v>
          </cell>
        </row>
        <row r="730">
          <cell r="A730" t="str">
            <v>10 NELS-MARLB-TAS</v>
          </cell>
          <cell r="B730">
            <v>3</v>
          </cell>
          <cell r="C730">
            <v>2013</v>
          </cell>
          <cell r="D730">
            <v>346</v>
          </cell>
          <cell r="E730">
            <v>1569</v>
          </cell>
          <cell r="F730">
            <v>45.895773310999999</v>
          </cell>
          <cell r="G730">
            <v>528.66856442999995</v>
          </cell>
          <cell r="H730">
            <v>11.910351560000001</v>
          </cell>
          <cell r="I730" t="str">
            <v>Light Vehicle Passenger</v>
          </cell>
          <cell r="J730" t="str">
            <v>2012/13</v>
          </cell>
        </row>
        <row r="731">
          <cell r="A731" t="str">
            <v>10 NELS-MARLB-TAS</v>
          </cell>
          <cell r="B731">
            <v>3</v>
          </cell>
          <cell r="C731">
            <v>2018</v>
          </cell>
          <cell r="D731">
            <v>346</v>
          </cell>
          <cell r="E731">
            <v>1569</v>
          </cell>
          <cell r="F731">
            <v>44.984772403999997</v>
          </cell>
          <cell r="G731">
            <v>518.67977814999995</v>
          </cell>
          <cell r="H731">
            <v>11.755853864000001</v>
          </cell>
          <cell r="I731" t="str">
            <v>Light Vehicle Passenger</v>
          </cell>
          <cell r="J731" t="str">
            <v>2017/18</v>
          </cell>
        </row>
        <row r="732">
          <cell r="A732" t="str">
            <v>10 NELS-MARLB-TAS</v>
          </cell>
          <cell r="B732">
            <v>3</v>
          </cell>
          <cell r="C732">
            <v>2023</v>
          </cell>
          <cell r="D732">
            <v>346</v>
          </cell>
          <cell r="E732">
            <v>1569</v>
          </cell>
          <cell r="F732">
            <v>43.940166802999997</v>
          </cell>
          <cell r="G732">
            <v>505.20694666000003</v>
          </cell>
          <cell r="H732">
            <v>11.544163153</v>
          </cell>
          <cell r="I732" t="str">
            <v>Light Vehicle Passenger</v>
          </cell>
          <cell r="J732" t="str">
            <v>2022/23</v>
          </cell>
        </row>
        <row r="733">
          <cell r="A733" t="str">
            <v>10 NELS-MARLB-TAS</v>
          </cell>
          <cell r="B733">
            <v>3</v>
          </cell>
          <cell r="C733">
            <v>2028</v>
          </cell>
          <cell r="D733">
            <v>346</v>
          </cell>
          <cell r="E733">
            <v>1569</v>
          </cell>
          <cell r="F733">
            <v>43.231632124000001</v>
          </cell>
          <cell r="G733">
            <v>496.16170237</v>
          </cell>
          <cell r="H733">
            <v>11.408438206</v>
          </cell>
          <cell r="I733" t="str">
            <v>Light Vehicle Passenger</v>
          </cell>
          <cell r="J733" t="str">
            <v>2027/28</v>
          </cell>
        </row>
        <row r="734">
          <cell r="A734" t="str">
            <v>10 NELS-MARLB-TAS</v>
          </cell>
          <cell r="B734">
            <v>3</v>
          </cell>
          <cell r="C734">
            <v>2033</v>
          </cell>
          <cell r="D734">
            <v>346</v>
          </cell>
          <cell r="E734">
            <v>1569</v>
          </cell>
          <cell r="F734">
            <v>42.000474392000001</v>
          </cell>
          <cell r="G734">
            <v>482.51162153000001</v>
          </cell>
          <cell r="H734">
            <v>11.113787231</v>
          </cell>
          <cell r="I734" t="str">
            <v>Light Vehicle Passenger</v>
          </cell>
          <cell r="J734" t="str">
            <v>2032/33</v>
          </cell>
        </row>
        <row r="735">
          <cell r="A735" t="str">
            <v>10 NELS-MARLB-TAS</v>
          </cell>
          <cell r="B735">
            <v>3</v>
          </cell>
          <cell r="C735">
            <v>2038</v>
          </cell>
          <cell r="D735">
            <v>346</v>
          </cell>
          <cell r="E735">
            <v>1569</v>
          </cell>
          <cell r="F735">
            <v>40.636525716000001</v>
          </cell>
          <cell r="G735">
            <v>462.05360316000002</v>
          </cell>
          <cell r="H735">
            <v>10.706755230000001</v>
          </cell>
          <cell r="I735" t="str">
            <v>Light Vehicle Passenger</v>
          </cell>
          <cell r="J735" t="str">
            <v>2037/38</v>
          </cell>
        </row>
        <row r="736">
          <cell r="A736" t="str">
            <v>10 NELS-MARLB-TAS</v>
          </cell>
          <cell r="B736">
            <v>3</v>
          </cell>
          <cell r="C736">
            <v>2043</v>
          </cell>
          <cell r="D736">
            <v>346</v>
          </cell>
          <cell r="E736">
            <v>1569</v>
          </cell>
          <cell r="F736">
            <v>39.177557395000001</v>
          </cell>
          <cell r="G736">
            <v>441.17056710999998</v>
          </cell>
          <cell r="H736">
            <v>10.282828726</v>
          </cell>
          <cell r="I736" t="str">
            <v>Light Vehicle Passenger</v>
          </cell>
          <cell r="J736" t="str">
            <v>2042/43</v>
          </cell>
        </row>
        <row r="737">
          <cell r="A737" t="str">
            <v>10 NELS-MARLB-TAS</v>
          </cell>
          <cell r="B737">
            <v>4</v>
          </cell>
          <cell r="C737">
            <v>2013</v>
          </cell>
          <cell r="D737">
            <v>9</v>
          </cell>
          <cell r="E737">
            <v>16</v>
          </cell>
          <cell r="F737">
            <v>0.40359339709999997</v>
          </cell>
          <cell r="G737">
            <v>2.5483198348</v>
          </cell>
          <cell r="H737">
            <v>8.1526233300000001E-2</v>
          </cell>
          <cell r="J737" t="str">
            <v>2012/13</v>
          </cell>
        </row>
        <row r="738">
          <cell r="A738" t="str">
            <v>10 NELS-MARLB-TAS</v>
          </cell>
          <cell r="B738">
            <v>4</v>
          </cell>
          <cell r="C738">
            <v>2018</v>
          </cell>
          <cell r="D738">
            <v>9</v>
          </cell>
          <cell r="E738">
            <v>16</v>
          </cell>
          <cell r="F738">
            <v>0.47919379670000001</v>
          </cell>
          <cell r="G738">
            <v>2.8926528506000002</v>
          </cell>
          <cell r="H738">
            <v>9.4911018299999997E-2</v>
          </cell>
          <cell r="J738" t="str">
            <v>2017/18</v>
          </cell>
        </row>
        <row r="739">
          <cell r="A739" t="str">
            <v>10 NELS-MARLB-TAS</v>
          </cell>
          <cell r="B739">
            <v>4</v>
          </cell>
          <cell r="C739">
            <v>2023</v>
          </cell>
          <cell r="D739">
            <v>9</v>
          </cell>
          <cell r="E739">
            <v>16</v>
          </cell>
          <cell r="F739">
            <v>0.55008980620000003</v>
          </cell>
          <cell r="G739">
            <v>3.1149751873999998</v>
          </cell>
          <cell r="H739">
            <v>0.1067897837</v>
          </cell>
          <cell r="J739" t="str">
            <v>2022/23</v>
          </cell>
        </row>
        <row r="740">
          <cell r="A740" t="str">
            <v>10 NELS-MARLB-TAS</v>
          </cell>
          <cell r="B740">
            <v>4</v>
          </cell>
          <cell r="C740">
            <v>2028</v>
          </cell>
          <cell r="D740">
            <v>9</v>
          </cell>
          <cell r="E740">
            <v>16</v>
          </cell>
          <cell r="F740">
            <v>0.58919997930000001</v>
          </cell>
          <cell r="G740">
            <v>3.2149763494000001</v>
          </cell>
          <cell r="H740">
            <v>0.1130422738</v>
          </cell>
          <cell r="J740" t="str">
            <v>2027/28</v>
          </cell>
        </row>
        <row r="741">
          <cell r="A741" t="str">
            <v>10 NELS-MARLB-TAS</v>
          </cell>
          <cell r="B741">
            <v>4</v>
          </cell>
          <cell r="C741">
            <v>2033</v>
          </cell>
          <cell r="D741">
            <v>9</v>
          </cell>
          <cell r="E741">
            <v>16</v>
          </cell>
          <cell r="F741">
            <v>0.60907284559999997</v>
          </cell>
          <cell r="G741">
            <v>3.2924691902999998</v>
          </cell>
          <cell r="H741">
            <v>0.1164617048</v>
          </cell>
          <cell r="J741" t="str">
            <v>2032/33</v>
          </cell>
        </row>
        <row r="742">
          <cell r="A742" t="str">
            <v>10 NELS-MARLB-TAS</v>
          </cell>
          <cell r="B742">
            <v>4</v>
          </cell>
          <cell r="C742">
            <v>2038</v>
          </cell>
          <cell r="D742">
            <v>9</v>
          </cell>
          <cell r="E742">
            <v>16</v>
          </cell>
          <cell r="F742">
            <v>0.60845237070000002</v>
          </cell>
          <cell r="G742">
            <v>3.2657928888000001</v>
          </cell>
          <cell r="H742">
            <v>0.1157559365</v>
          </cell>
          <cell r="J742" t="str">
            <v>2037/38</v>
          </cell>
        </row>
        <row r="743">
          <cell r="A743" t="str">
            <v>10 NELS-MARLB-TAS</v>
          </cell>
          <cell r="B743">
            <v>4</v>
          </cell>
          <cell r="C743">
            <v>2043</v>
          </cell>
          <cell r="D743">
            <v>9</v>
          </cell>
          <cell r="E743">
            <v>16</v>
          </cell>
          <cell r="F743">
            <v>0.60568438430000004</v>
          </cell>
          <cell r="G743">
            <v>3.2338873887999999</v>
          </cell>
          <cell r="H743">
            <v>0.1146745373</v>
          </cell>
          <cell r="J743" t="str">
            <v>2042/43</v>
          </cell>
        </row>
        <row r="744">
          <cell r="A744" t="str">
            <v>10 NELS-MARLB-TAS</v>
          </cell>
          <cell r="B744">
            <v>5</v>
          </cell>
          <cell r="C744">
            <v>2013</v>
          </cell>
          <cell r="D744">
            <v>14</v>
          </cell>
          <cell r="E744">
            <v>52</v>
          </cell>
          <cell r="F744">
            <v>1.5095151791999999</v>
          </cell>
          <cell r="G744">
            <v>34.127286998000002</v>
          </cell>
          <cell r="H744">
            <v>0.60769230029999999</v>
          </cell>
          <cell r="I744" t="str">
            <v>Motorcyclist</v>
          </cell>
          <cell r="J744" t="str">
            <v>2012/13</v>
          </cell>
        </row>
        <row r="745">
          <cell r="A745" t="str">
            <v>10 NELS-MARLB-TAS</v>
          </cell>
          <cell r="B745">
            <v>5</v>
          </cell>
          <cell r="C745">
            <v>2018</v>
          </cell>
          <cell r="D745">
            <v>14</v>
          </cell>
          <cell r="E745">
            <v>52</v>
          </cell>
          <cell r="F745">
            <v>1.5298356796999999</v>
          </cell>
          <cell r="G745">
            <v>34.695855907000002</v>
          </cell>
          <cell r="H745">
            <v>0.61347351159999997</v>
          </cell>
          <cell r="I745" t="str">
            <v>Motorcyclist</v>
          </cell>
          <cell r="J745" t="str">
            <v>2017/18</v>
          </cell>
        </row>
        <row r="746">
          <cell r="A746" t="str">
            <v>10 NELS-MARLB-TAS</v>
          </cell>
          <cell r="B746">
            <v>5</v>
          </cell>
          <cell r="C746">
            <v>2023</v>
          </cell>
          <cell r="D746">
            <v>14</v>
          </cell>
          <cell r="E746">
            <v>52</v>
          </cell>
          <cell r="F746">
            <v>1.5526989294</v>
          </cell>
          <cell r="G746">
            <v>35.039109050999997</v>
          </cell>
          <cell r="H746">
            <v>0.61676123650000003</v>
          </cell>
          <cell r="I746" t="str">
            <v>Motorcyclist</v>
          </cell>
          <cell r="J746" t="str">
            <v>2022/23</v>
          </cell>
        </row>
        <row r="747">
          <cell r="A747" t="str">
            <v>10 NELS-MARLB-TAS</v>
          </cell>
          <cell r="B747">
            <v>5</v>
          </cell>
          <cell r="C747">
            <v>2028</v>
          </cell>
          <cell r="D747">
            <v>14</v>
          </cell>
          <cell r="E747">
            <v>52</v>
          </cell>
          <cell r="F747">
            <v>1.5771042610999999</v>
          </cell>
          <cell r="G747">
            <v>34.750453806000003</v>
          </cell>
          <cell r="H747">
            <v>0.61142580940000002</v>
          </cell>
          <cell r="I747" t="str">
            <v>Motorcyclist</v>
          </cell>
          <cell r="J747" t="str">
            <v>2027/28</v>
          </cell>
        </row>
        <row r="748">
          <cell r="A748" t="str">
            <v>10 NELS-MARLB-TAS</v>
          </cell>
          <cell r="B748">
            <v>5</v>
          </cell>
          <cell r="C748">
            <v>2033</v>
          </cell>
          <cell r="D748">
            <v>14</v>
          </cell>
          <cell r="E748">
            <v>52</v>
          </cell>
          <cell r="F748">
            <v>1.5796654539999999</v>
          </cell>
          <cell r="G748">
            <v>34.937319273</v>
          </cell>
          <cell r="H748">
            <v>0.61322040229999997</v>
          </cell>
          <cell r="I748" t="str">
            <v>Motorcyclist</v>
          </cell>
          <cell r="J748" t="str">
            <v>2032/33</v>
          </cell>
        </row>
        <row r="749">
          <cell r="A749" t="str">
            <v>10 NELS-MARLB-TAS</v>
          </cell>
          <cell r="B749">
            <v>5</v>
          </cell>
          <cell r="C749">
            <v>2038</v>
          </cell>
          <cell r="D749">
            <v>14</v>
          </cell>
          <cell r="E749">
            <v>52</v>
          </cell>
          <cell r="F749">
            <v>1.5432043933999999</v>
          </cell>
          <cell r="G749">
            <v>34.882346364999997</v>
          </cell>
          <cell r="H749">
            <v>0.61067612059999998</v>
          </cell>
          <cell r="I749" t="str">
            <v>Motorcyclist</v>
          </cell>
          <cell r="J749" t="str">
            <v>2037/38</v>
          </cell>
        </row>
        <row r="750">
          <cell r="A750" t="str">
            <v>10 NELS-MARLB-TAS</v>
          </cell>
          <cell r="B750">
            <v>5</v>
          </cell>
          <cell r="C750">
            <v>2043</v>
          </cell>
          <cell r="D750">
            <v>14</v>
          </cell>
          <cell r="E750">
            <v>52</v>
          </cell>
          <cell r="F750">
            <v>1.5012740930999999</v>
          </cell>
          <cell r="G750">
            <v>34.669041395999997</v>
          </cell>
          <cell r="H750">
            <v>0.60537409180000001</v>
          </cell>
          <cell r="I750" t="str">
            <v>Motorcyclist</v>
          </cell>
          <cell r="J750" t="str">
            <v>2042/43</v>
          </cell>
        </row>
        <row r="751">
          <cell r="A751" t="str">
            <v>10 NELS-MARLB-TAS</v>
          </cell>
          <cell r="B751">
            <v>6</v>
          </cell>
          <cell r="C751">
            <v>2013</v>
          </cell>
          <cell r="D751">
            <v>1</v>
          </cell>
          <cell r="E751">
            <v>4</v>
          </cell>
          <cell r="F751">
            <v>0.1284956481</v>
          </cell>
          <cell r="G751">
            <v>5.3733082988999996</v>
          </cell>
          <cell r="H751">
            <v>9.9048728700000005E-2</v>
          </cell>
          <cell r="I751" t="str">
            <v>Local Train</v>
          </cell>
          <cell r="J751" t="str">
            <v>2012/13</v>
          </cell>
        </row>
        <row r="752">
          <cell r="A752" t="str">
            <v>10 NELS-MARLB-TAS</v>
          </cell>
          <cell r="B752">
            <v>6</v>
          </cell>
          <cell r="C752">
            <v>2018</v>
          </cell>
          <cell r="D752">
            <v>1</v>
          </cell>
          <cell r="E752">
            <v>4</v>
          </cell>
          <cell r="F752">
            <v>0.1134896059</v>
          </cell>
          <cell r="G752">
            <v>4.7510430171999998</v>
          </cell>
          <cell r="H752">
            <v>8.7578540199999999E-2</v>
          </cell>
          <cell r="I752" t="str">
            <v>Local Train</v>
          </cell>
          <cell r="J752" t="str">
            <v>2017/18</v>
          </cell>
        </row>
        <row r="753">
          <cell r="A753" t="str">
            <v>10 NELS-MARLB-TAS</v>
          </cell>
          <cell r="B753">
            <v>6</v>
          </cell>
          <cell r="C753">
            <v>2023</v>
          </cell>
          <cell r="D753">
            <v>1</v>
          </cell>
          <cell r="E753">
            <v>4</v>
          </cell>
          <cell r="F753">
            <v>9.4112662700000002E-2</v>
          </cell>
          <cell r="G753">
            <v>3.9433421000000002</v>
          </cell>
          <cell r="H753">
            <v>7.2689966199999997E-2</v>
          </cell>
          <cell r="I753" t="str">
            <v>Local Train</v>
          </cell>
          <cell r="J753" t="str">
            <v>2022/23</v>
          </cell>
        </row>
        <row r="754">
          <cell r="A754" t="str">
            <v>10 NELS-MARLB-TAS</v>
          </cell>
          <cell r="B754">
            <v>6</v>
          </cell>
          <cell r="C754">
            <v>2028</v>
          </cell>
          <cell r="D754">
            <v>1</v>
          </cell>
          <cell r="E754">
            <v>4</v>
          </cell>
          <cell r="F754">
            <v>7.0660532299999995E-2</v>
          </cell>
          <cell r="G754">
            <v>2.9641180115000001</v>
          </cell>
          <cell r="H754">
            <v>5.46395566E-2</v>
          </cell>
          <cell r="I754" t="str">
            <v>Local Train</v>
          </cell>
          <cell r="J754" t="str">
            <v>2027/28</v>
          </cell>
        </row>
        <row r="755">
          <cell r="A755" t="str">
            <v>10 NELS-MARLB-TAS</v>
          </cell>
          <cell r="B755">
            <v>6</v>
          </cell>
          <cell r="C755">
            <v>2033</v>
          </cell>
          <cell r="D755">
            <v>1</v>
          </cell>
          <cell r="E755">
            <v>4</v>
          </cell>
          <cell r="F755">
            <v>5.7692273000000002E-2</v>
          </cell>
          <cell r="G755">
            <v>2.4229867529</v>
          </cell>
          <cell r="H755">
            <v>4.46646999E-2</v>
          </cell>
          <cell r="I755" t="str">
            <v>Local Train</v>
          </cell>
          <cell r="J755" t="str">
            <v>2032/33</v>
          </cell>
        </row>
        <row r="756">
          <cell r="A756" t="str">
            <v>10 NELS-MARLB-TAS</v>
          </cell>
          <cell r="B756">
            <v>6</v>
          </cell>
          <cell r="C756">
            <v>2038</v>
          </cell>
          <cell r="D756">
            <v>1</v>
          </cell>
          <cell r="E756">
            <v>4</v>
          </cell>
          <cell r="F756">
            <v>5.1121848499999997E-2</v>
          </cell>
          <cell r="G756">
            <v>2.1490975754999999</v>
          </cell>
          <cell r="H756">
            <v>3.9616024399999998E-2</v>
          </cell>
          <cell r="I756" t="str">
            <v>Local Train</v>
          </cell>
          <cell r="J756" t="str">
            <v>2037/38</v>
          </cell>
        </row>
        <row r="757">
          <cell r="A757" t="str">
            <v>10 NELS-MARLB-TAS</v>
          </cell>
          <cell r="B757">
            <v>6</v>
          </cell>
          <cell r="C757">
            <v>2043</v>
          </cell>
          <cell r="D757">
            <v>1</v>
          </cell>
          <cell r="E757">
            <v>4</v>
          </cell>
          <cell r="F757">
            <v>4.2699806700000002E-2</v>
          </cell>
          <cell r="G757">
            <v>1.7972795133999999</v>
          </cell>
          <cell r="H757">
            <v>3.3130818499999999E-2</v>
          </cell>
          <cell r="I757" t="str">
            <v>Local Train</v>
          </cell>
          <cell r="J757" t="str">
            <v>2042/43</v>
          </cell>
        </row>
        <row r="758">
          <cell r="A758" t="str">
            <v>10 NELS-MARLB-TAS</v>
          </cell>
          <cell r="B758">
            <v>7</v>
          </cell>
          <cell r="C758">
            <v>2013</v>
          </cell>
          <cell r="D758">
            <v>38</v>
          </cell>
          <cell r="E758">
            <v>79</v>
          </cell>
          <cell r="F758">
            <v>2.0764681202999999</v>
          </cell>
          <cell r="G758">
            <v>19.807462209000001</v>
          </cell>
          <cell r="H758">
            <v>0.94491203199999996</v>
          </cell>
          <cell r="I758" t="str">
            <v>Local Bus</v>
          </cell>
          <cell r="J758" t="str">
            <v>2012/13</v>
          </cell>
        </row>
        <row r="759">
          <cell r="A759" t="str">
            <v>10 NELS-MARLB-TAS</v>
          </cell>
          <cell r="B759">
            <v>7</v>
          </cell>
          <cell r="C759">
            <v>2018</v>
          </cell>
          <cell r="D759">
            <v>38</v>
          </cell>
          <cell r="E759">
            <v>79</v>
          </cell>
          <cell r="F759">
            <v>1.9501721902</v>
          </cell>
          <cell r="G759">
            <v>17.986433473000002</v>
          </cell>
          <cell r="H759">
            <v>0.85904426140000001</v>
          </cell>
          <cell r="I759" t="str">
            <v>Local Bus</v>
          </cell>
          <cell r="J759" t="str">
            <v>2017/18</v>
          </cell>
        </row>
        <row r="760">
          <cell r="A760" t="str">
            <v>10 NELS-MARLB-TAS</v>
          </cell>
          <cell r="B760">
            <v>7</v>
          </cell>
          <cell r="C760">
            <v>2023</v>
          </cell>
          <cell r="D760">
            <v>38</v>
          </cell>
          <cell r="E760">
            <v>79</v>
          </cell>
          <cell r="F760">
            <v>1.866246732</v>
          </cell>
          <cell r="G760">
            <v>16.641980147999998</v>
          </cell>
          <cell r="H760">
            <v>0.79714238800000004</v>
          </cell>
          <cell r="I760" t="str">
            <v>Local Bus</v>
          </cell>
          <cell r="J760" t="str">
            <v>2022/23</v>
          </cell>
        </row>
        <row r="761">
          <cell r="A761" t="str">
            <v>10 NELS-MARLB-TAS</v>
          </cell>
          <cell r="B761">
            <v>7</v>
          </cell>
          <cell r="C761">
            <v>2028</v>
          </cell>
          <cell r="D761">
            <v>38</v>
          </cell>
          <cell r="E761">
            <v>79</v>
          </cell>
          <cell r="F761">
            <v>1.8701886668000001</v>
          </cell>
          <cell r="G761">
            <v>16.114446565000001</v>
          </cell>
          <cell r="H761">
            <v>0.77485717359999995</v>
          </cell>
          <cell r="I761" t="str">
            <v>Local Bus</v>
          </cell>
          <cell r="J761" t="str">
            <v>2027/28</v>
          </cell>
        </row>
        <row r="762">
          <cell r="A762" t="str">
            <v>10 NELS-MARLB-TAS</v>
          </cell>
          <cell r="B762">
            <v>7</v>
          </cell>
          <cell r="C762">
            <v>2033</v>
          </cell>
          <cell r="D762">
            <v>38</v>
          </cell>
          <cell r="E762">
            <v>79</v>
          </cell>
          <cell r="F762">
            <v>1.7695148225999999</v>
          </cell>
          <cell r="G762">
            <v>14.947029371999999</v>
          </cell>
          <cell r="H762">
            <v>0.72189484479999999</v>
          </cell>
          <cell r="I762" t="str">
            <v>Local Bus</v>
          </cell>
          <cell r="J762" t="str">
            <v>2032/33</v>
          </cell>
        </row>
        <row r="763">
          <cell r="A763" t="str">
            <v>10 NELS-MARLB-TAS</v>
          </cell>
          <cell r="B763">
            <v>7</v>
          </cell>
          <cell r="C763">
            <v>2038</v>
          </cell>
          <cell r="D763">
            <v>38</v>
          </cell>
          <cell r="E763">
            <v>79</v>
          </cell>
          <cell r="F763">
            <v>1.7795549256000001</v>
          </cell>
          <cell r="G763">
            <v>14.660609039000001</v>
          </cell>
          <cell r="H763">
            <v>0.70853911260000002</v>
          </cell>
          <cell r="I763" t="str">
            <v>Local Bus</v>
          </cell>
          <cell r="J763" t="str">
            <v>2037/38</v>
          </cell>
        </row>
        <row r="764">
          <cell r="A764" t="str">
            <v>10 NELS-MARLB-TAS</v>
          </cell>
          <cell r="B764">
            <v>7</v>
          </cell>
          <cell r="C764">
            <v>2043</v>
          </cell>
          <cell r="D764">
            <v>38</v>
          </cell>
          <cell r="E764">
            <v>79</v>
          </cell>
          <cell r="F764">
            <v>1.7863552908</v>
          </cell>
          <cell r="G764">
            <v>14.403535255</v>
          </cell>
          <cell r="H764">
            <v>0.69653890289999998</v>
          </cell>
          <cell r="I764" t="str">
            <v>Local Bus</v>
          </cell>
          <cell r="J764" t="str">
            <v>2042/43</v>
          </cell>
        </row>
        <row r="765">
          <cell r="A765" t="str">
            <v>10 NELS-MARLB-TAS</v>
          </cell>
          <cell r="B765">
            <v>9</v>
          </cell>
          <cell r="C765">
            <v>2013</v>
          </cell>
          <cell r="D765">
            <v>24</v>
          </cell>
          <cell r="E765">
            <v>56</v>
          </cell>
          <cell r="F765">
            <v>1.495105957</v>
          </cell>
          <cell r="G765">
            <v>0</v>
          </cell>
          <cell r="H765">
            <v>0.51346004550000002</v>
          </cell>
          <cell r="I765" t="str">
            <v>Other Household Travel</v>
          </cell>
          <cell r="J765" t="str">
            <v>2012/13</v>
          </cell>
        </row>
        <row r="766">
          <cell r="A766" t="str">
            <v>10 NELS-MARLB-TAS</v>
          </cell>
          <cell r="B766">
            <v>9</v>
          </cell>
          <cell r="C766">
            <v>2018</v>
          </cell>
          <cell r="D766">
            <v>24</v>
          </cell>
          <cell r="E766">
            <v>56</v>
          </cell>
          <cell r="F766">
            <v>1.4846608834999999</v>
          </cell>
          <cell r="G766">
            <v>0</v>
          </cell>
          <cell r="H766">
            <v>0.50557466539999996</v>
          </cell>
          <cell r="I766" t="str">
            <v>Other Household Travel</v>
          </cell>
          <cell r="J766" t="str">
            <v>2017/18</v>
          </cell>
        </row>
        <row r="767">
          <cell r="A767" t="str">
            <v>10 NELS-MARLB-TAS</v>
          </cell>
          <cell r="B767">
            <v>9</v>
          </cell>
          <cell r="C767">
            <v>2023</v>
          </cell>
          <cell r="D767">
            <v>24</v>
          </cell>
          <cell r="E767">
            <v>56</v>
          </cell>
          <cell r="F767">
            <v>1.4770050393</v>
          </cell>
          <cell r="G767">
            <v>0</v>
          </cell>
          <cell r="H767">
            <v>0.50187198659999999</v>
          </cell>
          <cell r="I767" t="str">
            <v>Other Household Travel</v>
          </cell>
          <cell r="J767" t="str">
            <v>2022/23</v>
          </cell>
        </row>
        <row r="768">
          <cell r="A768" t="str">
            <v>10 NELS-MARLB-TAS</v>
          </cell>
          <cell r="B768">
            <v>9</v>
          </cell>
          <cell r="C768">
            <v>2028</v>
          </cell>
          <cell r="D768">
            <v>24</v>
          </cell>
          <cell r="E768">
            <v>56</v>
          </cell>
          <cell r="F768">
            <v>1.5121176313</v>
          </cell>
          <cell r="G768">
            <v>0</v>
          </cell>
          <cell r="H768">
            <v>0.51573438640000002</v>
          </cell>
          <cell r="I768" t="str">
            <v>Other Household Travel</v>
          </cell>
          <cell r="J768" t="str">
            <v>2027/28</v>
          </cell>
        </row>
        <row r="769">
          <cell r="A769" t="str">
            <v>10 NELS-MARLB-TAS</v>
          </cell>
          <cell r="B769">
            <v>9</v>
          </cell>
          <cell r="C769">
            <v>2033</v>
          </cell>
          <cell r="D769">
            <v>24</v>
          </cell>
          <cell r="E769">
            <v>56</v>
          </cell>
          <cell r="F769">
            <v>1.5299452587</v>
          </cell>
          <cell r="G769">
            <v>0</v>
          </cell>
          <cell r="H769">
            <v>0.51974025000000001</v>
          </cell>
          <cell r="I769" t="str">
            <v>Other Household Travel</v>
          </cell>
          <cell r="J769" t="str">
            <v>2032/33</v>
          </cell>
        </row>
        <row r="770">
          <cell r="A770" t="str">
            <v>10 NELS-MARLB-TAS</v>
          </cell>
          <cell r="B770">
            <v>9</v>
          </cell>
          <cell r="C770">
            <v>2038</v>
          </cell>
          <cell r="D770">
            <v>24</v>
          </cell>
          <cell r="E770">
            <v>56</v>
          </cell>
          <cell r="F770">
            <v>1.5753644444999999</v>
          </cell>
          <cell r="G770">
            <v>0</v>
          </cell>
          <cell r="H770">
            <v>0.53604662540000003</v>
          </cell>
          <cell r="I770" t="str">
            <v>Other Household Travel</v>
          </cell>
          <cell r="J770" t="str">
            <v>2037/38</v>
          </cell>
        </row>
        <row r="771">
          <cell r="A771" t="str">
            <v>10 NELS-MARLB-TAS</v>
          </cell>
          <cell r="B771">
            <v>9</v>
          </cell>
          <cell r="C771">
            <v>2043</v>
          </cell>
          <cell r="D771">
            <v>24</v>
          </cell>
          <cell r="E771">
            <v>56</v>
          </cell>
          <cell r="F771">
            <v>1.6032982712999999</v>
          </cell>
          <cell r="G771">
            <v>0</v>
          </cell>
          <cell r="H771">
            <v>0.54695967249999999</v>
          </cell>
          <cell r="I771" t="str">
            <v>Other Household Travel</v>
          </cell>
          <cell r="J771" t="str">
            <v>2042/43</v>
          </cell>
        </row>
        <row r="772">
          <cell r="A772" t="str">
            <v>10 NELS-MARLB-TAS</v>
          </cell>
          <cell r="B772">
            <v>10</v>
          </cell>
          <cell r="C772">
            <v>2013</v>
          </cell>
          <cell r="D772">
            <v>11</v>
          </cell>
          <cell r="E772">
            <v>13</v>
          </cell>
          <cell r="F772">
            <v>0.38277994659999998</v>
          </cell>
          <cell r="G772">
            <v>0</v>
          </cell>
          <cell r="H772">
            <v>0.45211944030000001</v>
          </cell>
          <cell r="I772" t="str">
            <v>Air/Non-Local PT</v>
          </cell>
          <cell r="J772" t="str">
            <v>2012/13</v>
          </cell>
        </row>
        <row r="773">
          <cell r="A773" t="str">
            <v>10 NELS-MARLB-TAS</v>
          </cell>
          <cell r="B773">
            <v>10</v>
          </cell>
          <cell r="C773">
            <v>2018</v>
          </cell>
          <cell r="D773">
            <v>11</v>
          </cell>
          <cell r="E773">
            <v>13</v>
          </cell>
          <cell r="F773">
            <v>0.40264213589999998</v>
          </cell>
          <cell r="G773">
            <v>0</v>
          </cell>
          <cell r="H773">
            <v>0.46613795159999999</v>
          </cell>
          <cell r="I773" t="str">
            <v>Air/Non-Local PT</v>
          </cell>
          <cell r="J773" t="str">
            <v>2017/18</v>
          </cell>
        </row>
        <row r="774">
          <cell r="A774" t="str">
            <v>10 NELS-MARLB-TAS</v>
          </cell>
          <cell r="B774">
            <v>10</v>
          </cell>
          <cell r="C774">
            <v>2023</v>
          </cell>
          <cell r="D774">
            <v>11</v>
          </cell>
          <cell r="E774">
            <v>13</v>
          </cell>
          <cell r="F774">
            <v>0.41210854740000002</v>
          </cell>
          <cell r="G774">
            <v>0</v>
          </cell>
          <cell r="H774">
            <v>0.47248051590000001</v>
          </cell>
          <cell r="I774" t="str">
            <v>Air/Non-Local PT</v>
          </cell>
          <cell r="J774" t="str">
            <v>2022/23</v>
          </cell>
        </row>
        <row r="775">
          <cell r="A775" t="str">
            <v>10 NELS-MARLB-TAS</v>
          </cell>
          <cell r="B775">
            <v>10</v>
          </cell>
          <cell r="C775">
            <v>2028</v>
          </cell>
          <cell r="D775">
            <v>11</v>
          </cell>
          <cell r="E775">
            <v>13</v>
          </cell>
          <cell r="F775">
            <v>0.420189374</v>
          </cell>
          <cell r="G775">
            <v>0</v>
          </cell>
          <cell r="H775">
            <v>0.46967324049999998</v>
          </cell>
          <cell r="I775" t="str">
            <v>Air/Non-Local PT</v>
          </cell>
          <cell r="J775" t="str">
            <v>2027/28</v>
          </cell>
        </row>
        <row r="776">
          <cell r="A776" t="str">
            <v>10 NELS-MARLB-TAS</v>
          </cell>
          <cell r="B776">
            <v>10</v>
          </cell>
          <cell r="C776">
            <v>2033</v>
          </cell>
          <cell r="D776">
            <v>11</v>
          </cell>
          <cell r="E776">
            <v>13</v>
          </cell>
          <cell r="F776">
            <v>0.42658861529999997</v>
          </cell>
          <cell r="G776">
            <v>0</v>
          </cell>
          <cell r="H776">
            <v>0.44801607710000002</v>
          </cell>
          <cell r="I776" t="str">
            <v>Air/Non-Local PT</v>
          </cell>
          <cell r="J776" t="str">
            <v>2032/33</v>
          </cell>
        </row>
        <row r="777">
          <cell r="A777" t="str">
            <v>10 NELS-MARLB-TAS</v>
          </cell>
          <cell r="B777">
            <v>10</v>
          </cell>
          <cell r="C777">
            <v>2038</v>
          </cell>
          <cell r="D777">
            <v>11</v>
          </cell>
          <cell r="E777">
            <v>13</v>
          </cell>
          <cell r="F777">
            <v>0.42670529540000002</v>
          </cell>
          <cell r="G777">
            <v>0</v>
          </cell>
          <cell r="H777">
            <v>0.41285278710000001</v>
          </cell>
          <cell r="I777" t="str">
            <v>Air/Non-Local PT</v>
          </cell>
          <cell r="J777" t="str">
            <v>2037/38</v>
          </cell>
        </row>
        <row r="778">
          <cell r="A778" t="str">
            <v>10 NELS-MARLB-TAS</v>
          </cell>
          <cell r="B778">
            <v>10</v>
          </cell>
          <cell r="C778">
            <v>2043</v>
          </cell>
          <cell r="D778">
            <v>11</v>
          </cell>
          <cell r="E778">
            <v>13</v>
          </cell>
          <cell r="F778">
            <v>0.4257004311</v>
          </cell>
          <cell r="G778">
            <v>0</v>
          </cell>
          <cell r="H778">
            <v>0.38090082199999997</v>
          </cell>
          <cell r="I778" t="str">
            <v>Air/Non-Local PT</v>
          </cell>
          <cell r="J778" t="str">
            <v>2042/43</v>
          </cell>
        </row>
        <row r="779">
          <cell r="A779" t="str">
            <v>10 NELS-MARLB-TAS</v>
          </cell>
          <cell r="B779">
            <v>11</v>
          </cell>
          <cell r="C779">
            <v>2013</v>
          </cell>
          <cell r="D779">
            <v>10</v>
          </cell>
          <cell r="E779">
            <v>59</v>
          </cell>
          <cell r="F779">
            <v>1.9294573958000001</v>
          </cell>
          <cell r="G779">
            <v>30.128221894999999</v>
          </cell>
          <cell r="H779">
            <v>0.79809006319999998</v>
          </cell>
          <cell r="I779" t="str">
            <v>Non-Household Travel</v>
          </cell>
          <cell r="J779" t="str">
            <v>2012/13</v>
          </cell>
        </row>
        <row r="780">
          <cell r="A780" t="str">
            <v>10 NELS-MARLB-TAS</v>
          </cell>
          <cell r="B780">
            <v>11</v>
          </cell>
          <cell r="C780">
            <v>2018</v>
          </cell>
          <cell r="D780">
            <v>10</v>
          </cell>
          <cell r="E780">
            <v>59</v>
          </cell>
          <cell r="F780">
            <v>1.7953095885999999</v>
          </cell>
          <cell r="G780">
            <v>30.770294766999999</v>
          </cell>
          <cell r="H780">
            <v>0.80546878879999995</v>
          </cell>
          <cell r="I780" t="str">
            <v>Non-Household Travel</v>
          </cell>
          <cell r="J780" t="str">
            <v>2017/18</v>
          </cell>
        </row>
        <row r="781">
          <cell r="A781" t="str">
            <v>10 NELS-MARLB-TAS</v>
          </cell>
          <cell r="B781">
            <v>11</v>
          </cell>
          <cell r="C781">
            <v>2023</v>
          </cell>
          <cell r="D781">
            <v>10</v>
          </cell>
          <cell r="E781">
            <v>59</v>
          </cell>
          <cell r="F781">
            <v>1.6252712969000001</v>
          </cell>
          <cell r="G781">
            <v>30.20281211</v>
          </cell>
          <cell r="H781">
            <v>0.77744629170000001</v>
          </cell>
          <cell r="I781" t="str">
            <v>Non-Household Travel</v>
          </cell>
          <cell r="J781" t="str">
            <v>2022/23</v>
          </cell>
        </row>
        <row r="782">
          <cell r="A782" t="str">
            <v>10 NELS-MARLB-TAS</v>
          </cell>
          <cell r="B782">
            <v>11</v>
          </cell>
          <cell r="C782">
            <v>2028</v>
          </cell>
          <cell r="D782">
            <v>10</v>
          </cell>
          <cell r="E782">
            <v>59</v>
          </cell>
          <cell r="F782">
            <v>1.5107051443999999</v>
          </cell>
          <cell r="G782">
            <v>28.420698623</v>
          </cell>
          <cell r="H782">
            <v>0.72626302809999999</v>
          </cell>
          <cell r="I782" t="str">
            <v>Non-Household Travel</v>
          </cell>
          <cell r="J782" t="str">
            <v>2027/28</v>
          </cell>
        </row>
        <row r="783">
          <cell r="A783" t="str">
            <v>10 NELS-MARLB-TAS</v>
          </cell>
          <cell r="B783">
            <v>11</v>
          </cell>
          <cell r="C783">
            <v>2033</v>
          </cell>
          <cell r="D783">
            <v>10</v>
          </cell>
          <cell r="E783">
            <v>59</v>
          </cell>
          <cell r="F783">
            <v>1.4709145977</v>
          </cell>
          <cell r="G783">
            <v>26.117119672000001</v>
          </cell>
          <cell r="H783">
            <v>0.67269017769999995</v>
          </cell>
          <cell r="I783" t="str">
            <v>Non-Household Travel</v>
          </cell>
          <cell r="J783" t="str">
            <v>2032/33</v>
          </cell>
        </row>
        <row r="784">
          <cell r="A784" t="str">
            <v>10 NELS-MARLB-TAS</v>
          </cell>
          <cell r="B784">
            <v>11</v>
          </cell>
          <cell r="C784">
            <v>2038</v>
          </cell>
          <cell r="D784">
            <v>10</v>
          </cell>
          <cell r="E784">
            <v>59</v>
          </cell>
          <cell r="F784">
            <v>1.5200622892</v>
          </cell>
          <cell r="G784">
            <v>23.797450974</v>
          </cell>
          <cell r="H784">
            <v>0.62744499050000002</v>
          </cell>
          <cell r="I784" t="str">
            <v>Non-Household Travel</v>
          </cell>
          <cell r="J784" t="str">
            <v>2037/38</v>
          </cell>
        </row>
        <row r="785">
          <cell r="A785" t="str">
            <v>10 NELS-MARLB-TAS</v>
          </cell>
          <cell r="B785">
            <v>11</v>
          </cell>
          <cell r="C785">
            <v>2043</v>
          </cell>
          <cell r="D785">
            <v>10</v>
          </cell>
          <cell r="E785">
            <v>59</v>
          </cell>
          <cell r="F785">
            <v>1.5480158654</v>
          </cell>
          <cell r="G785">
            <v>21.549968978999999</v>
          </cell>
          <cell r="H785">
            <v>0.58120924210000002</v>
          </cell>
          <cell r="I785" t="str">
            <v>Non-Household Travel</v>
          </cell>
          <cell r="J785" t="str">
            <v>2042/43</v>
          </cell>
        </row>
        <row r="786">
          <cell r="A786" t="str">
            <v>12 WEST COAST</v>
          </cell>
          <cell r="B786">
            <v>0</v>
          </cell>
          <cell r="C786">
            <v>2013</v>
          </cell>
          <cell r="D786">
            <v>145</v>
          </cell>
          <cell r="E786">
            <v>451</v>
          </cell>
          <cell r="F786">
            <v>5.2699511529</v>
          </cell>
          <cell r="G786">
            <v>4.6474841125999999</v>
          </cell>
          <cell r="H786">
            <v>1.1518220776999999</v>
          </cell>
          <cell r="I786" t="str">
            <v>Pedestrian</v>
          </cell>
          <cell r="J786" t="str">
            <v>2012/13</v>
          </cell>
        </row>
        <row r="787">
          <cell r="A787" t="str">
            <v>12 WEST COAST</v>
          </cell>
          <cell r="B787">
            <v>0</v>
          </cell>
          <cell r="C787">
            <v>2018</v>
          </cell>
          <cell r="D787">
            <v>145</v>
          </cell>
          <cell r="E787">
            <v>451</v>
          </cell>
          <cell r="F787">
            <v>4.8971719419999999</v>
          </cell>
          <cell r="G787">
            <v>4.4036516173000004</v>
          </cell>
          <cell r="H787">
            <v>1.1045135034</v>
          </cell>
          <cell r="I787" t="str">
            <v>Pedestrian</v>
          </cell>
          <cell r="J787" t="str">
            <v>2017/18</v>
          </cell>
        </row>
        <row r="788">
          <cell r="A788" t="str">
            <v>12 WEST COAST</v>
          </cell>
          <cell r="B788">
            <v>0</v>
          </cell>
          <cell r="C788">
            <v>2023</v>
          </cell>
          <cell r="D788">
            <v>145</v>
          </cell>
          <cell r="E788">
            <v>451</v>
          </cell>
          <cell r="F788">
            <v>4.4243053725000001</v>
          </cell>
          <cell r="G788">
            <v>4.0114813512999996</v>
          </cell>
          <cell r="H788">
            <v>1.0206355013999999</v>
          </cell>
          <cell r="I788" t="str">
            <v>Pedestrian</v>
          </cell>
          <cell r="J788" t="str">
            <v>2022/23</v>
          </cell>
        </row>
        <row r="789">
          <cell r="A789" t="str">
            <v>12 WEST COAST</v>
          </cell>
          <cell r="B789">
            <v>0</v>
          </cell>
          <cell r="C789">
            <v>2028</v>
          </cell>
          <cell r="D789">
            <v>145</v>
          </cell>
          <cell r="E789">
            <v>451</v>
          </cell>
          <cell r="F789">
            <v>4.0880509228999999</v>
          </cell>
          <cell r="G789">
            <v>3.797880492</v>
          </cell>
          <cell r="H789">
            <v>0.97248027240000001</v>
          </cell>
          <cell r="I789" t="str">
            <v>Pedestrian</v>
          </cell>
          <cell r="J789" t="str">
            <v>2027/28</v>
          </cell>
        </row>
        <row r="790">
          <cell r="A790" t="str">
            <v>12 WEST COAST</v>
          </cell>
          <cell r="B790">
            <v>0</v>
          </cell>
          <cell r="C790">
            <v>2033</v>
          </cell>
          <cell r="D790">
            <v>145</v>
          </cell>
          <cell r="E790">
            <v>451</v>
          </cell>
          <cell r="F790">
            <v>3.7489539073999998</v>
          </cell>
          <cell r="G790">
            <v>3.5674526892</v>
          </cell>
          <cell r="H790">
            <v>0.91566530140000002</v>
          </cell>
          <cell r="I790" t="str">
            <v>Pedestrian</v>
          </cell>
          <cell r="J790" t="str">
            <v>2032/33</v>
          </cell>
        </row>
        <row r="791">
          <cell r="A791" t="str">
            <v>12 WEST COAST</v>
          </cell>
          <cell r="B791">
            <v>0</v>
          </cell>
          <cell r="C791">
            <v>2038</v>
          </cell>
          <cell r="D791">
            <v>145</v>
          </cell>
          <cell r="E791">
            <v>451</v>
          </cell>
          <cell r="F791">
            <v>3.4247532602000001</v>
          </cell>
          <cell r="G791">
            <v>3.3447319767999999</v>
          </cell>
          <cell r="H791">
            <v>0.85890678330000003</v>
          </cell>
          <cell r="I791" t="str">
            <v>Pedestrian</v>
          </cell>
          <cell r="J791" t="str">
            <v>2037/38</v>
          </cell>
        </row>
        <row r="792">
          <cell r="A792" t="str">
            <v>12 WEST COAST</v>
          </cell>
          <cell r="B792">
            <v>0</v>
          </cell>
          <cell r="C792">
            <v>2043</v>
          </cell>
          <cell r="D792">
            <v>145</v>
          </cell>
          <cell r="E792">
            <v>451</v>
          </cell>
          <cell r="F792">
            <v>3.1530552308000002</v>
          </cell>
          <cell r="G792">
            <v>3.1620964855000002</v>
          </cell>
          <cell r="H792">
            <v>0.81030989580000001</v>
          </cell>
          <cell r="I792" t="str">
            <v>Pedestrian</v>
          </cell>
          <cell r="J792" t="str">
            <v>2042/43</v>
          </cell>
        </row>
        <row r="793">
          <cell r="A793" t="str">
            <v>12 WEST COAST</v>
          </cell>
          <cell r="B793">
            <v>1</v>
          </cell>
          <cell r="C793">
            <v>2013</v>
          </cell>
          <cell r="D793">
            <v>23</v>
          </cell>
          <cell r="E793">
            <v>75</v>
          </cell>
          <cell r="F793">
            <v>0.73381292249999996</v>
          </cell>
          <cell r="G793">
            <v>1.9571055828999999</v>
          </cell>
          <cell r="H793">
            <v>0.17528853950000001</v>
          </cell>
          <cell r="I793" t="str">
            <v>Cyclist</v>
          </cell>
          <cell r="J793" t="str">
            <v>2012/13</v>
          </cell>
        </row>
        <row r="794">
          <cell r="A794" t="str">
            <v>12 WEST COAST</v>
          </cell>
          <cell r="B794">
            <v>1</v>
          </cell>
          <cell r="C794">
            <v>2018</v>
          </cell>
          <cell r="D794">
            <v>23</v>
          </cell>
          <cell r="E794">
            <v>75</v>
          </cell>
          <cell r="F794">
            <v>0.7045123807</v>
          </cell>
          <cell r="G794">
            <v>1.9602378965</v>
          </cell>
          <cell r="H794">
            <v>0.16907585429999999</v>
          </cell>
          <cell r="I794" t="str">
            <v>Cyclist</v>
          </cell>
          <cell r="J794" t="str">
            <v>2017/18</v>
          </cell>
        </row>
        <row r="795">
          <cell r="A795" t="str">
            <v>12 WEST COAST</v>
          </cell>
          <cell r="B795">
            <v>1</v>
          </cell>
          <cell r="C795">
            <v>2023</v>
          </cell>
          <cell r="D795">
            <v>23</v>
          </cell>
          <cell r="E795">
            <v>75</v>
          </cell>
          <cell r="F795">
            <v>0.65592883639999999</v>
          </cell>
          <cell r="G795">
            <v>1.8980732244</v>
          </cell>
          <cell r="H795">
            <v>0.1587344114</v>
          </cell>
          <cell r="I795" t="str">
            <v>Cyclist</v>
          </cell>
          <cell r="J795" t="str">
            <v>2022/23</v>
          </cell>
        </row>
        <row r="796">
          <cell r="A796" t="str">
            <v>12 WEST COAST</v>
          </cell>
          <cell r="B796">
            <v>1</v>
          </cell>
          <cell r="C796">
            <v>2028</v>
          </cell>
          <cell r="D796">
            <v>23</v>
          </cell>
          <cell r="E796">
            <v>75</v>
          </cell>
          <cell r="F796">
            <v>0.6304516885</v>
          </cell>
          <cell r="G796">
            <v>1.8096679818000001</v>
          </cell>
          <cell r="H796">
            <v>0.14992278340000001</v>
          </cell>
          <cell r="I796" t="str">
            <v>Cyclist</v>
          </cell>
          <cell r="J796" t="str">
            <v>2027/28</v>
          </cell>
        </row>
        <row r="797">
          <cell r="A797" t="str">
            <v>12 WEST COAST</v>
          </cell>
          <cell r="B797">
            <v>1</v>
          </cell>
          <cell r="C797">
            <v>2033</v>
          </cell>
          <cell r="D797">
            <v>23</v>
          </cell>
          <cell r="E797">
            <v>75</v>
          </cell>
          <cell r="F797">
            <v>0.581820051</v>
          </cell>
          <cell r="G797">
            <v>1.7304941193000001</v>
          </cell>
          <cell r="H797">
            <v>0.13901431689999999</v>
          </cell>
          <cell r="I797" t="str">
            <v>Cyclist</v>
          </cell>
          <cell r="J797" t="str">
            <v>2032/33</v>
          </cell>
        </row>
        <row r="798">
          <cell r="A798" t="str">
            <v>12 WEST COAST</v>
          </cell>
          <cell r="B798">
            <v>1</v>
          </cell>
          <cell r="C798">
            <v>2038</v>
          </cell>
          <cell r="D798">
            <v>23</v>
          </cell>
          <cell r="E798">
            <v>75</v>
          </cell>
          <cell r="F798">
            <v>0.5422196105</v>
          </cell>
          <cell r="G798">
            <v>1.7589072611000001</v>
          </cell>
          <cell r="H798">
            <v>0.1324652861</v>
          </cell>
          <cell r="I798" t="str">
            <v>Cyclist</v>
          </cell>
          <cell r="J798" t="str">
            <v>2037/38</v>
          </cell>
        </row>
        <row r="799">
          <cell r="A799" t="str">
            <v>12 WEST COAST</v>
          </cell>
          <cell r="B799">
            <v>1</v>
          </cell>
          <cell r="C799">
            <v>2043</v>
          </cell>
          <cell r="D799">
            <v>23</v>
          </cell>
          <cell r="E799">
            <v>75</v>
          </cell>
          <cell r="F799">
            <v>0.50170419190000004</v>
          </cell>
          <cell r="G799">
            <v>1.7744572251999999</v>
          </cell>
          <cell r="H799">
            <v>0.12561356639999999</v>
          </cell>
          <cell r="I799" t="str">
            <v>Cyclist</v>
          </cell>
          <cell r="J799" t="str">
            <v>2042/43</v>
          </cell>
        </row>
        <row r="800">
          <cell r="A800" t="str">
            <v>12 WEST COAST</v>
          </cell>
          <cell r="B800">
            <v>2</v>
          </cell>
          <cell r="C800">
            <v>2013</v>
          </cell>
          <cell r="D800">
            <v>269</v>
          </cell>
          <cell r="E800">
            <v>1828</v>
          </cell>
          <cell r="F800">
            <v>21.329902885999999</v>
          </cell>
          <cell r="G800">
            <v>226.22434741999999</v>
          </cell>
          <cell r="H800">
            <v>5.0852916584000001</v>
          </cell>
          <cell r="I800" t="str">
            <v>Light Vehicle Driver</v>
          </cell>
          <cell r="J800" t="str">
            <v>2012/13</v>
          </cell>
        </row>
        <row r="801">
          <cell r="A801" t="str">
            <v>12 WEST COAST</v>
          </cell>
          <cell r="B801">
            <v>2</v>
          </cell>
          <cell r="C801">
            <v>2018</v>
          </cell>
          <cell r="D801">
            <v>269</v>
          </cell>
          <cell r="E801">
            <v>1828</v>
          </cell>
          <cell r="F801">
            <v>20.953896258</v>
          </cell>
          <cell r="G801">
            <v>226.76919437999999</v>
          </cell>
          <cell r="H801">
            <v>5.0606306735000004</v>
          </cell>
          <cell r="I801" t="str">
            <v>Light Vehicle Driver</v>
          </cell>
          <cell r="J801" t="str">
            <v>2017/18</v>
          </cell>
        </row>
        <row r="802">
          <cell r="A802" t="str">
            <v>12 WEST COAST</v>
          </cell>
          <cell r="B802">
            <v>2</v>
          </cell>
          <cell r="C802">
            <v>2023</v>
          </cell>
          <cell r="D802">
            <v>269</v>
          </cell>
          <cell r="E802">
            <v>1828</v>
          </cell>
          <cell r="F802">
            <v>19.757387843</v>
          </cell>
          <cell r="G802">
            <v>218.47035701999999</v>
          </cell>
          <cell r="H802">
            <v>4.8319052183000002</v>
          </cell>
          <cell r="I802" t="str">
            <v>Light Vehicle Driver</v>
          </cell>
          <cell r="J802" t="str">
            <v>2022/23</v>
          </cell>
        </row>
        <row r="803">
          <cell r="A803" t="str">
            <v>12 WEST COAST</v>
          </cell>
          <cell r="B803">
            <v>2</v>
          </cell>
          <cell r="C803">
            <v>2028</v>
          </cell>
          <cell r="D803">
            <v>269</v>
          </cell>
          <cell r="E803">
            <v>1828</v>
          </cell>
          <cell r="F803">
            <v>19.190715725</v>
          </cell>
          <cell r="G803">
            <v>214.79120030000001</v>
          </cell>
          <cell r="H803">
            <v>4.7289966861000003</v>
          </cell>
          <cell r="I803" t="str">
            <v>Light Vehicle Driver</v>
          </cell>
          <cell r="J803" t="str">
            <v>2027/28</v>
          </cell>
        </row>
        <row r="804">
          <cell r="A804" t="str">
            <v>12 WEST COAST</v>
          </cell>
          <cell r="B804">
            <v>2</v>
          </cell>
          <cell r="C804">
            <v>2033</v>
          </cell>
          <cell r="D804">
            <v>269</v>
          </cell>
          <cell r="E804">
            <v>1828</v>
          </cell>
          <cell r="F804">
            <v>18.305491980999999</v>
          </cell>
          <cell r="G804">
            <v>206.90045739999999</v>
          </cell>
          <cell r="H804">
            <v>4.5356870396</v>
          </cell>
          <cell r="I804" t="str">
            <v>Light Vehicle Driver</v>
          </cell>
          <cell r="J804" t="str">
            <v>2032/33</v>
          </cell>
        </row>
        <row r="805">
          <cell r="A805" t="str">
            <v>12 WEST COAST</v>
          </cell>
          <cell r="B805">
            <v>2</v>
          </cell>
          <cell r="C805">
            <v>2038</v>
          </cell>
          <cell r="D805">
            <v>269</v>
          </cell>
          <cell r="E805">
            <v>1828</v>
          </cell>
          <cell r="F805">
            <v>17.691253008</v>
          </cell>
          <cell r="G805">
            <v>202.86250271</v>
          </cell>
          <cell r="H805">
            <v>4.4185398068000001</v>
          </cell>
          <cell r="I805" t="str">
            <v>Light Vehicle Driver</v>
          </cell>
          <cell r="J805" t="str">
            <v>2037/38</v>
          </cell>
        </row>
        <row r="806">
          <cell r="A806" t="str">
            <v>12 WEST COAST</v>
          </cell>
          <cell r="B806">
            <v>2</v>
          </cell>
          <cell r="C806">
            <v>2043</v>
          </cell>
          <cell r="D806">
            <v>269</v>
          </cell>
          <cell r="E806">
            <v>1828</v>
          </cell>
          <cell r="F806">
            <v>17.053718071999999</v>
          </cell>
          <cell r="G806">
            <v>198.86366161999999</v>
          </cell>
          <cell r="H806">
            <v>4.2975288203000002</v>
          </cell>
          <cell r="I806" t="str">
            <v>Light Vehicle Driver</v>
          </cell>
          <cell r="J806" t="str">
            <v>2042/43</v>
          </cell>
        </row>
        <row r="807">
          <cell r="A807" t="str">
            <v>12 WEST COAST</v>
          </cell>
          <cell r="B807">
            <v>3</v>
          </cell>
          <cell r="C807">
            <v>2013</v>
          </cell>
          <cell r="D807">
            <v>210</v>
          </cell>
          <cell r="E807">
            <v>1017</v>
          </cell>
          <cell r="F807">
            <v>11.090105214999999</v>
          </cell>
          <cell r="G807">
            <v>160.37072223999999</v>
          </cell>
          <cell r="H807">
            <v>3.4140139011000001</v>
          </cell>
          <cell r="I807" t="str">
            <v>Light Vehicle Passenger</v>
          </cell>
          <cell r="J807" t="str">
            <v>2012/13</v>
          </cell>
        </row>
        <row r="808">
          <cell r="A808" t="str">
            <v>12 WEST COAST</v>
          </cell>
          <cell r="B808">
            <v>3</v>
          </cell>
          <cell r="C808">
            <v>2018</v>
          </cell>
          <cell r="D808">
            <v>210</v>
          </cell>
          <cell r="E808">
            <v>1017</v>
          </cell>
          <cell r="F808">
            <v>10.306065443</v>
          </cell>
          <cell r="G808">
            <v>157.36112613</v>
          </cell>
          <cell r="H808">
            <v>3.3375342696999999</v>
          </cell>
          <cell r="I808" t="str">
            <v>Light Vehicle Passenger</v>
          </cell>
          <cell r="J808" t="str">
            <v>2017/18</v>
          </cell>
        </row>
        <row r="809">
          <cell r="A809" t="str">
            <v>12 WEST COAST</v>
          </cell>
          <cell r="B809">
            <v>3</v>
          </cell>
          <cell r="C809">
            <v>2023</v>
          </cell>
          <cell r="D809">
            <v>210</v>
          </cell>
          <cell r="E809">
            <v>1017</v>
          </cell>
          <cell r="F809">
            <v>9.3868131552000005</v>
          </cell>
          <cell r="G809">
            <v>147.81246711</v>
          </cell>
          <cell r="H809">
            <v>3.1416209746999999</v>
          </cell>
          <cell r="I809" t="str">
            <v>Light Vehicle Passenger</v>
          </cell>
          <cell r="J809" t="str">
            <v>2022/23</v>
          </cell>
        </row>
        <row r="810">
          <cell r="A810" t="str">
            <v>12 WEST COAST</v>
          </cell>
          <cell r="B810">
            <v>3</v>
          </cell>
          <cell r="C810">
            <v>2028</v>
          </cell>
          <cell r="D810">
            <v>210</v>
          </cell>
          <cell r="E810">
            <v>1017</v>
          </cell>
          <cell r="F810">
            <v>8.8977334607999996</v>
          </cell>
          <cell r="G810">
            <v>144.20808851000001</v>
          </cell>
          <cell r="H810">
            <v>3.0709438500999999</v>
          </cell>
          <cell r="I810" t="str">
            <v>Light Vehicle Passenger</v>
          </cell>
          <cell r="J810" t="str">
            <v>2027/28</v>
          </cell>
        </row>
        <row r="811">
          <cell r="A811" t="str">
            <v>12 WEST COAST</v>
          </cell>
          <cell r="B811">
            <v>3</v>
          </cell>
          <cell r="C811">
            <v>2033</v>
          </cell>
          <cell r="D811">
            <v>210</v>
          </cell>
          <cell r="E811">
            <v>1017</v>
          </cell>
          <cell r="F811">
            <v>8.2339480200999997</v>
          </cell>
          <cell r="G811">
            <v>134.6900292</v>
          </cell>
          <cell r="H811">
            <v>2.8936343896999999</v>
          </cell>
          <cell r="I811" t="str">
            <v>Light Vehicle Passenger</v>
          </cell>
          <cell r="J811" t="str">
            <v>2032/33</v>
          </cell>
        </row>
        <row r="812">
          <cell r="A812" t="str">
            <v>12 WEST COAST</v>
          </cell>
          <cell r="B812">
            <v>3</v>
          </cell>
          <cell r="C812">
            <v>2038</v>
          </cell>
          <cell r="D812">
            <v>210</v>
          </cell>
          <cell r="E812">
            <v>1017</v>
          </cell>
          <cell r="F812">
            <v>7.5332235138000003</v>
          </cell>
          <cell r="G812">
            <v>125.30941117</v>
          </cell>
          <cell r="H812">
            <v>2.6930939808000001</v>
          </cell>
          <cell r="I812" t="str">
            <v>Light Vehicle Passenger</v>
          </cell>
          <cell r="J812" t="str">
            <v>2037/38</v>
          </cell>
        </row>
        <row r="813">
          <cell r="A813" t="str">
            <v>12 WEST COAST</v>
          </cell>
          <cell r="B813">
            <v>3</v>
          </cell>
          <cell r="C813">
            <v>2043</v>
          </cell>
          <cell r="D813">
            <v>210</v>
          </cell>
          <cell r="E813">
            <v>1017</v>
          </cell>
          <cell r="F813">
            <v>6.8546224590999998</v>
          </cell>
          <cell r="G813">
            <v>116.32395984</v>
          </cell>
          <cell r="H813">
            <v>2.4948878249000002</v>
          </cell>
          <cell r="I813" t="str">
            <v>Light Vehicle Passenger</v>
          </cell>
          <cell r="J813" t="str">
            <v>2042/43</v>
          </cell>
        </row>
        <row r="814">
          <cell r="A814" t="str">
            <v>12 WEST COAST</v>
          </cell>
          <cell r="B814">
            <v>4</v>
          </cell>
          <cell r="C814">
            <v>2013</v>
          </cell>
          <cell r="D814">
            <v>12</v>
          </cell>
          <cell r="E814">
            <v>23</v>
          </cell>
          <cell r="F814">
            <v>0.29973375209999997</v>
          </cell>
          <cell r="G814">
            <v>1.6916956777000001</v>
          </cell>
          <cell r="H814">
            <v>6.5507808299999998E-2</v>
          </cell>
          <cell r="J814" t="str">
            <v>2012/13</v>
          </cell>
        </row>
        <row r="815">
          <cell r="A815" t="str">
            <v>12 WEST COAST</v>
          </cell>
          <cell r="B815">
            <v>4</v>
          </cell>
          <cell r="C815">
            <v>2018</v>
          </cell>
          <cell r="D815">
            <v>12</v>
          </cell>
          <cell r="E815">
            <v>23</v>
          </cell>
          <cell r="F815">
            <v>0.34684764379999999</v>
          </cell>
          <cell r="G815">
            <v>1.9145078357</v>
          </cell>
          <cell r="H815">
            <v>7.6289899699999997E-2</v>
          </cell>
          <cell r="J815" t="str">
            <v>2017/18</v>
          </cell>
        </row>
        <row r="816">
          <cell r="A816" t="str">
            <v>12 WEST COAST</v>
          </cell>
          <cell r="B816">
            <v>4</v>
          </cell>
          <cell r="C816">
            <v>2023</v>
          </cell>
          <cell r="D816">
            <v>12</v>
          </cell>
          <cell r="E816">
            <v>23</v>
          </cell>
          <cell r="F816">
            <v>0.37321370780000002</v>
          </cell>
          <cell r="G816">
            <v>2.009976531</v>
          </cell>
          <cell r="H816">
            <v>8.2384308200000006E-2</v>
          </cell>
          <cell r="J816" t="str">
            <v>2022/23</v>
          </cell>
        </row>
        <row r="817">
          <cell r="A817" t="str">
            <v>12 WEST COAST</v>
          </cell>
          <cell r="B817">
            <v>4</v>
          </cell>
          <cell r="C817">
            <v>2028</v>
          </cell>
          <cell r="D817">
            <v>12</v>
          </cell>
          <cell r="E817">
            <v>23</v>
          </cell>
          <cell r="F817">
            <v>0.37145374310000001</v>
          </cell>
          <cell r="G817">
            <v>2.1367417183000001</v>
          </cell>
          <cell r="H817">
            <v>8.3902759300000004E-2</v>
          </cell>
          <cell r="J817" t="str">
            <v>2027/28</v>
          </cell>
        </row>
        <row r="818">
          <cell r="A818" t="str">
            <v>12 WEST COAST</v>
          </cell>
          <cell r="B818">
            <v>4</v>
          </cell>
          <cell r="C818">
            <v>2033</v>
          </cell>
          <cell r="D818">
            <v>12</v>
          </cell>
          <cell r="E818">
            <v>23</v>
          </cell>
          <cell r="F818">
            <v>0.35109570880000002</v>
          </cell>
          <cell r="G818">
            <v>2.0424660099</v>
          </cell>
          <cell r="H818">
            <v>7.9800362E-2</v>
          </cell>
          <cell r="J818" t="str">
            <v>2032/33</v>
          </cell>
        </row>
        <row r="819">
          <cell r="A819" t="str">
            <v>12 WEST COAST</v>
          </cell>
          <cell r="B819">
            <v>4</v>
          </cell>
          <cell r="C819">
            <v>2038</v>
          </cell>
          <cell r="D819">
            <v>12</v>
          </cell>
          <cell r="E819">
            <v>23</v>
          </cell>
          <cell r="F819">
            <v>0.33488629180000001</v>
          </cell>
          <cell r="G819">
            <v>1.9979538278</v>
          </cell>
          <cell r="H819">
            <v>7.6957602700000002E-2</v>
          </cell>
          <cell r="J819" t="str">
            <v>2037/38</v>
          </cell>
        </row>
        <row r="820">
          <cell r="A820" t="str">
            <v>12 WEST COAST</v>
          </cell>
          <cell r="B820">
            <v>4</v>
          </cell>
          <cell r="C820">
            <v>2043</v>
          </cell>
          <cell r="D820">
            <v>12</v>
          </cell>
          <cell r="E820">
            <v>23</v>
          </cell>
          <cell r="F820">
            <v>0.31544404500000001</v>
          </cell>
          <cell r="G820">
            <v>1.9184308257</v>
          </cell>
          <cell r="H820">
            <v>7.3297641299999994E-2</v>
          </cell>
          <cell r="J820" t="str">
            <v>2042/43</v>
          </cell>
        </row>
        <row r="821">
          <cell r="A821" t="str">
            <v>12 WEST COAST</v>
          </cell>
          <cell r="B821">
            <v>5</v>
          </cell>
          <cell r="C821">
            <v>2013</v>
          </cell>
          <cell r="D821">
            <v>2</v>
          </cell>
          <cell r="E821">
            <v>5</v>
          </cell>
          <cell r="F821">
            <v>6.1723256599999998E-2</v>
          </cell>
          <cell r="G821">
            <v>0.29466348679999999</v>
          </cell>
          <cell r="H821">
            <v>9.7989774000000005E-3</v>
          </cell>
          <cell r="I821" t="str">
            <v>Motorcyclist</v>
          </cell>
          <cell r="J821" t="str">
            <v>2012/13</v>
          </cell>
        </row>
        <row r="822">
          <cell r="A822" t="str">
            <v>12 WEST COAST</v>
          </cell>
          <cell r="B822">
            <v>5</v>
          </cell>
          <cell r="C822">
            <v>2018</v>
          </cell>
          <cell r="D822">
            <v>2</v>
          </cell>
          <cell r="E822">
            <v>5</v>
          </cell>
          <cell r="F822">
            <v>6.9650529799999999E-2</v>
          </cell>
          <cell r="G822">
            <v>0.33492242290000002</v>
          </cell>
          <cell r="H822">
            <v>1.1118691199999999E-2</v>
          </cell>
          <cell r="I822" t="str">
            <v>Motorcyclist</v>
          </cell>
          <cell r="J822" t="str">
            <v>2017/18</v>
          </cell>
        </row>
        <row r="823">
          <cell r="A823" t="str">
            <v>12 WEST COAST</v>
          </cell>
          <cell r="B823">
            <v>5</v>
          </cell>
          <cell r="C823">
            <v>2023</v>
          </cell>
          <cell r="D823">
            <v>2</v>
          </cell>
          <cell r="E823">
            <v>5</v>
          </cell>
          <cell r="F823">
            <v>7.3824414899999996E-2</v>
          </cell>
          <cell r="G823">
            <v>0.33415798930000001</v>
          </cell>
          <cell r="H823">
            <v>1.1256846500000001E-2</v>
          </cell>
          <cell r="I823" t="str">
            <v>Motorcyclist</v>
          </cell>
          <cell r="J823" t="str">
            <v>2022/23</v>
          </cell>
        </row>
        <row r="824">
          <cell r="A824" t="str">
            <v>12 WEST COAST</v>
          </cell>
          <cell r="B824">
            <v>5</v>
          </cell>
          <cell r="C824">
            <v>2028</v>
          </cell>
          <cell r="D824">
            <v>2</v>
          </cell>
          <cell r="E824">
            <v>5</v>
          </cell>
          <cell r="F824">
            <v>8.0306246900000003E-2</v>
          </cell>
          <cell r="G824">
            <v>0.3502175729</v>
          </cell>
          <cell r="H824">
            <v>1.1908579399999999E-2</v>
          </cell>
          <cell r="I824" t="str">
            <v>Motorcyclist</v>
          </cell>
          <cell r="J824" t="str">
            <v>2027/28</v>
          </cell>
        </row>
        <row r="825">
          <cell r="A825" t="str">
            <v>12 WEST COAST</v>
          </cell>
          <cell r="B825">
            <v>5</v>
          </cell>
          <cell r="C825">
            <v>2033</v>
          </cell>
          <cell r="D825">
            <v>2</v>
          </cell>
          <cell r="E825">
            <v>5</v>
          </cell>
          <cell r="F825">
            <v>8.6941624199999998E-2</v>
          </cell>
          <cell r="G825">
            <v>0.37979788660000002</v>
          </cell>
          <cell r="H825">
            <v>1.2908842699999999E-2</v>
          </cell>
          <cell r="I825" t="str">
            <v>Motorcyclist</v>
          </cell>
          <cell r="J825" t="str">
            <v>2032/33</v>
          </cell>
        </row>
        <row r="826">
          <cell r="A826" t="str">
            <v>12 WEST COAST</v>
          </cell>
          <cell r="B826">
            <v>5</v>
          </cell>
          <cell r="C826">
            <v>2038</v>
          </cell>
          <cell r="D826">
            <v>2</v>
          </cell>
          <cell r="E826">
            <v>5</v>
          </cell>
          <cell r="F826">
            <v>9.6624051599999997E-2</v>
          </cell>
          <cell r="G826">
            <v>0.4189990952</v>
          </cell>
          <cell r="H826">
            <v>1.42679882E-2</v>
          </cell>
          <cell r="I826" t="str">
            <v>Motorcyclist</v>
          </cell>
          <cell r="J826" t="str">
            <v>2037/38</v>
          </cell>
        </row>
        <row r="827">
          <cell r="A827" t="str">
            <v>12 WEST COAST</v>
          </cell>
          <cell r="B827">
            <v>5</v>
          </cell>
          <cell r="C827">
            <v>2043</v>
          </cell>
          <cell r="D827">
            <v>2</v>
          </cell>
          <cell r="E827">
            <v>5</v>
          </cell>
          <cell r="F827">
            <v>0.1033886827</v>
          </cell>
          <cell r="G827">
            <v>0.44477333499999999</v>
          </cell>
          <cell r="H827">
            <v>1.5176650200000001E-2</v>
          </cell>
          <cell r="I827" t="str">
            <v>Motorcyclist</v>
          </cell>
          <cell r="J827" t="str">
            <v>2042/43</v>
          </cell>
        </row>
        <row r="828">
          <cell r="A828" t="str">
            <v>12 WEST COAST</v>
          </cell>
          <cell r="B828">
            <v>7</v>
          </cell>
          <cell r="C828">
            <v>2013</v>
          </cell>
          <cell r="D828">
            <v>15</v>
          </cell>
          <cell r="E828">
            <v>42</v>
          </cell>
          <cell r="F828">
            <v>0.50805546800000001</v>
          </cell>
          <cell r="G828">
            <v>6.0600083682000001</v>
          </cell>
          <cell r="H828">
            <v>0.18249519829999999</v>
          </cell>
          <cell r="I828" t="str">
            <v>Local Bus</v>
          </cell>
          <cell r="J828" t="str">
            <v>2012/13</v>
          </cell>
        </row>
        <row r="829">
          <cell r="A829" t="str">
            <v>12 WEST COAST</v>
          </cell>
          <cell r="B829">
            <v>7</v>
          </cell>
          <cell r="C829">
            <v>2018</v>
          </cell>
          <cell r="D829">
            <v>15</v>
          </cell>
          <cell r="E829">
            <v>42</v>
          </cell>
          <cell r="F829">
            <v>0.4780004658</v>
          </cell>
          <cell r="G829">
            <v>5.7075676608999997</v>
          </cell>
          <cell r="H829">
            <v>0.1708121444</v>
          </cell>
          <cell r="I829" t="str">
            <v>Local Bus</v>
          </cell>
          <cell r="J829" t="str">
            <v>2017/18</v>
          </cell>
        </row>
        <row r="830">
          <cell r="A830" t="str">
            <v>12 WEST COAST</v>
          </cell>
          <cell r="B830">
            <v>7</v>
          </cell>
          <cell r="C830">
            <v>2023</v>
          </cell>
          <cell r="D830">
            <v>15</v>
          </cell>
          <cell r="E830">
            <v>42</v>
          </cell>
          <cell r="F830">
            <v>0.4300318273</v>
          </cell>
          <cell r="G830">
            <v>5.1667210223</v>
          </cell>
          <cell r="H830">
            <v>0.15341595820000001</v>
          </cell>
          <cell r="I830" t="str">
            <v>Local Bus</v>
          </cell>
          <cell r="J830" t="str">
            <v>2022/23</v>
          </cell>
        </row>
        <row r="831">
          <cell r="A831" t="str">
            <v>12 WEST COAST</v>
          </cell>
          <cell r="B831">
            <v>7</v>
          </cell>
          <cell r="C831">
            <v>2028</v>
          </cell>
          <cell r="D831">
            <v>15</v>
          </cell>
          <cell r="E831">
            <v>42</v>
          </cell>
          <cell r="F831">
            <v>0.40924305290000002</v>
          </cell>
          <cell r="G831">
            <v>4.8212451188000003</v>
          </cell>
          <cell r="H831">
            <v>0.14486248400000001</v>
          </cell>
          <cell r="I831" t="str">
            <v>Local Bus</v>
          </cell>
          <cell r="J831" t="str">
            <v>2027/28</v>
          </cell>
        </row>
        <row r="832">
          <cell r="A832" t="str">
            <v>12 WEST COAST</v>
          </cell>
          <cell r="B832">
            <v>7</v>
          </cell>
          <cell r="C832">
            <v>2033</v>
          </cell>
          <cell r="D832">
            <v>15</v>
          </cell>
          <cell r="E832">
            <v>42</v>
          </cell>
          <cell r="F832">
            <v>0.37875555150000001</v>
          </cell>
          <cell r="G832">
            <v>4.4856052052999997</v>
          </cell>
          <cell r="H832">
            <v>0.1344948923</v>
          </cell>
          <cell r="I832" t="str">
            <v>Local Bus</v>
          </cell>
          <cell r="J832" t="str">
            <v>2032/33</v>
          </cell>
        </row>
        <row r="833">
          <cell r="A833" t="str">
            <v>12 WEST COAST</v>
          </cell>
          <cell r="B833">
            <v>7</v>
          </cell>
          <cell r="C833">
            <v>2038</v>
          </cell>
          <cell r="D833">
            <v>15</v>
          </cell>
          <cell r="E833">
            <v>42</v>
          </cell>
          <cell r="F833">
            <v>0.34372816350000002</v>
          </cell>
          <cell r="G833">
            <v>4.1877024437000001</v>
          </cell>
          <cell r="H833">
            <v>0.1235634905</v>
          </cell>
          <cell r="I833" t="str">
            <v>Local Bus</v>
          </cell>
          <cell r="J833" t="str">
            <v>2037/38</v>
          </cell>
        </row>
        <row r="834">
          <cell r="A834" t="str">
            <v>12 WEST COAST</v>
          </cell>
          <cell r="B834">
            <v>7</v>
          </cell>
          <cell r="C834">
            <v>2043</v>
          </cell>
          <cell r="D834">
            <v>15</v>
          </cell>
          <cell r="E834">
            <v>42</v>
          </cell>
          <cell r="F834">
            <v>0.31013663540000003</v>
          </cell>
          <cell r="G834">
            <v>3.9458011989999999</v>
          </cell>
          <cell r="H834">
            <v>0.113677634</v>
          </cell>
          <cell r="I834" t="str">
            <v>Local Bus</v>
          </cell>
          <cell r="J834" t="str">
            <v>2042/43</v>
          </cell>
        </row>
        <row r="835">
          <cell r="A835" t="str">
            <v>12 WEST COAST</v>
          </cell>
          <cell r="B835">
            <v>9</v>
          </cell>
          <cell r="C835">
            <v>2013</v>
          </cell>
          <cell r="D835">
            <v>3</v>
          </cell>
          <cell r="E835">
            <v>3</v>
          </cell>
          <cell r="F835">
            <v>2.77012627E-2</v>
          </cell>
          <cell r="G835">
            <v>0</v>
          </cell>
          <cell r="H835">
            <v>3.6766106000000001E-3</v>
          </cell>
          <cell r="I835" t="str">
            <v>Other Household Travel</v>
          </cell>
          <cell r="J835" t="str">
            <v>2012/13</v>
          </cell>
        </row>
        <row r="836">
          <cell r="A836" t="str">
            <v>12 WEST COAST</v>
          </cell>
          <cell r="B836">
            <v>9</v>
          </cell>
          <cell r="C836">
            <v>2018</v>
          </cell>
          <cell r="D836">
            <v>3</v>
          </cell>
          <cell r="E836">
            <v>3</v>
          </cell>
          <cell r="F836">
            <v>2.6985750499999999E-2</v>
          </cell>
          <cell r="G836">
            <v>0</v>
          </cell>
          <cell r="H836">
            <v>3.5103360999999998E-3</v>
          </cell>
          <cell r="I836" t="str">
            <v>Other Household Travel</v>
          </cell>
          <cell r="J836" t="str">
            <v>2017/18</v>
          </cell>
        </row>
        <row r="837">
          <cell r="A837" t="str">
            <v>12 WEST COAST</v>
          </cell>
          <cell r="B837">
            <v>9</v>
          </cell>
          <cell r="C837">
            <v>2023</v>
          </cell>
          <cell r="D837">
            <v>3</v>
          </cell>
          <cell r="E837">
            <v>3</v>
          </cell>
          <cell r="F837">
            <v>2.5017010100000001E-2</v>
          </cell>
          <cell r="G837">
            <v>0</v>
          </cell>
          <cell r="H837">
            <v>3.2047709999999999E-3</v>
          </cell>
          <cell r="I837" t="str">
            <v>Other Household Travel</v>
          </cell>
          <cell r="J837" t="str">
            <v>2022/23</v>
          </cell>
        </row>
        <row r="838">
          <cell r="A838" t="str">
            <v>12 WEST COAST</v>
          </cell>
          <cell r="B838">
            <v>9</v>
          </cell>
          <cell r="C838">
            <v>2028</v>
          </cell>
          <cell r="D838">
            <v>3</v>
          </cell>
          <cell r="E838">
            <v>3</v>
          </cell>
          <cell r="F838">
            <v>2.1808722400000001E-2</v>
          </cell>
          <cell r="G838">
            <v>0</v>
          </cell>
          <cell r="H838">
            <v>2.7431955000000001E-3</v>
          </cell>
          <cell r="I838" t="str">
            <v>Other Household Travel</v>
          </cell>
          <cell r="J838" t="str">
            <v>2027/28</v>
          </cell>
        </row>
        <row r="839">
          <cell r="A839" t="str">
            <v>12 WEST COAST</v>
          </cell>
          <cell r="B839">
            <v>9</v>
          </cell>
          <cell r="C839">
            <v>2033</v>
          </cell>
          <cell r="D839">
            <v>3</v>
          </cell>
          <cell r="E839">
            <v>3</v>
          </cell>
          <cell r="F839">
            <v>1.9668801100000001E-2</v>
          </cell>
          <cell r="G839">
            <v>0</v>
          </cell>
          <cell r="H839">
            <v>2.4925037999999999E-3</v>
          </cell>
          <cell r="I839" t="str">
            <v>Other Household Travel</v>
          </cell>
          <cell r="J839" t="str">
            <v>2032/33</v>
          </cell>
        </row>
        <row r="840">
          <cell r="A840" t="str">
            <v>12 WEST COAST</v>
          </cell>
          <cell r="B840">
            <v>9</v>
          </cell>
          <cell r="C840">
            <v>2038</v>
          </cell>
          <cell r="D840">
            <v>3</v>
          </cell>
          <cell r="E840">
            <v>3</v>
          </cell>
          <cell r="F840">
            <v>1.9387709100000001E-2</v>
          </cell>
          <cell r="G840">
            <v>0</v>
          </cell>
          <cell r="H840">
            <v>2.5155822999999998E-3</v>
          </cell>
          <cell r="I840" t="str">
            <v>Other Household Travel</v>
          </cell>
          <cell r="J840" t="str">
            <v>2037/38</v>
          </cell>
        </row>
        <row r="841">
          <cell r="A841" t="str">
            <v>12 WEST COAST</v>
          </cell>
          <cell r="B841">
            <v>9</v>
          </cell>
          <cell r="C841">
            <v>2043</v>
          </cell>
          <cell r="D841">
            <v>3</v>
          </cell>
          <cell r="E841">
            <v>3</v>
          </cell>
          <cell r="F841">
            <v>1.8943876799999999E-2</v>
          </cell>
          <cell r="G841">
            <v>0</v>
          </cell>
          <cell r="H841">
            <v>2.5123369999999999E-3</v>
          </cell>
          <cell r="I841" t="str">
            <v>Other Household Travel</v>
          </cell>
          <cell r="J841" t="str">
            <v>2042/43</v>
          </cell>
        </row>
        <row r="842">
          <cell r="A842" t="str">
            <v>12 WEST COAST</v>
          </cell>
          <cell r="B842">
            <v>10</v>
          </cell>
          <cell r="C842">
            <v>2013</v>
          </cell>
          <cell r="D842">
            <v>4</v>
          </cell>
          <cell r="E842">
            <v>8</v>
          </cell>
          <cell r="F842">
            <v>0.10084271459999999</v>
          </cell>
          <cell r="G842">
            <v>10.387194593</v>
          </cell>
          <cell r="H842">
            <v>0.1870167032</v>
          </cell>
          <cell r="I842" t="str">
            <v>Air/Non-Local PT</v>
          </cell>
          <cell r="J842" t="str">
            <v>2012/13</v>
          </cell>
        </row>
        <row r="843">
          <cell r="A843" t="str">
            <v>12 WEST COAST</v>
          </cell>
          <cell r="B843">
            <v>10</v>
          </cell>
          <cell r="C843">
            <v>2018</v>
          </cell>
          <cell r="D843">
            <v>4</v>
          </cell>
          <cell r="E843">
            <v>8</v>
          </cell>
          <cell r="F843">
            <v>0.1072802224</v>
          </cell>
          <cell r="G843">
            <v>10.913065719</v>
          </cell>
          <cell r="H843">
            <v>0.1997039531</v>
          </cell>
          <cell r="I843" t="str">
            <v>Air/Non-Local PT</v>
          </cell>
          <cell r="J843" t="str">
            <v>2017/18</v>
          </cell>
        </row>
        <row r="844">
          <cell r="A844" t="str">
            <v>12 WEST COAST</v>
          </cell>
          <cell r="B844">
            <v>10</v>
          </cell>
          <cell r="C844">
            <v>2023</v>
          </cell>
          <cell r="D844">
            <v>4</v>
          </cell>
          <cell r="E844">
            <v>8</v>
          </cell>
          <cell r="F844">
            <v>0.10689401010000001</v>
          </cell>
          <cell r="G844">
            <v>10.740368633999999</v>
          </cell>
          <cell r="H844">
            <v>0.19971302939999999</v>
          </cell>
          <cell r="I844" t="str">
            <v>Air/Non-Local PT</v>
          </cell>
          <cell r="J844" t="str">
            <v>2022/23</v>
          </cell>
        </row>
        <row r="845">
          <cell r="A845" t="str">
            <v>12 WEST COAST</v>
          </cell>
          <cell r="B845">
            <v>10</v>
          </cell>
          <cell r="C845">
            <v>2028</v>
          </cell>
          <cell r="D845">
            <v>4</v>
          </cell>
          <cell r="E845">
            <v>8</v>
          </cell>
          <cell r="F845">
            <v>0.1013212436</v>
          </cell>
          <cell r="G845">
            <v>9.9110779793999999</v>
          </cell>
          <cell r="H845">
            <v>0.19077122939999999</v>
          </cell>
          <cell r="I845" t="str">
            <v>Air/Non-Local PT</v>
          </cell>
          <cell r="J845" t="str">
            <v>2027/28</v>
          </cell>
        </row>
        <row r="846">
          <cell r="A846" t="str">
            <v>12 WEST COAST</v>
          </cell>
          <cell r="B846">
            <v>10</v>
          </cell>
          <cell r="C846">
            <v>2033</v>
          </cell>
          <cell r="D846">
            <v>4</v>
          </cell>
          <cell r="E846">
            <v>8</v>
          </cell>
          <cell r="F846">
            <v>9.3593470999999998E-2</v>
          </cell>
          <cell r="G846">
            <v>8.9943139670000001</v>
          </cell>
          <cell r="H846">
            <v>0.1770988912</v>
          </cell>
          <cell r="I846" t="str">
            <v>Air/Non-Local PT</v>
          </cell>
          <cell r="J846" t="str">
            <v>2032/33</v>
          </cell>
        </row>
        <row r="847">
          <cell r="A847" t="str">
            <v>12 WEST COAST</v>
          </cell>
          <cell r="B847">
            <v>10</v>
          </cell>
          <cell r="C847">
            <v>2038</v>
          </cell>
          <cell r="D847">
            <v>4</v>
          </cell>
          <cell r="E847">
            <v>8</v>
          </cell>
          <cell r="F847">
            <v>9.0932409800000003E-2</v>
          </cell>
          <cell r="G847">
            <v>8.6864565925000008</v>
          </cell>
          <cell r="H847">
            <v>0.17234806929999999</v>
          </cell>
          <cell r="I847" t="str">
            <v>Air/Non-Local PT</v>
          </cell>
          <cell r="J847" t="str">
            <v>2037/38</v>
          </cell>
        </row>
        <row r="848">
          <cell r="A848" t="str">
            <v>12 WEST COAST</v>
          </cell>
          <cell r="B848">
            <v>10</v>
          </cell>
          <cell r="C848">
            <v>2043</v>
          </cell>
          <cell r="D848">
            <v>4</v>
          </cell>
          <cell r="E848">
            <v>8</v>
          </cell>
          <cell r="F848">
            <v>8.7466363300000002E-2</v>
          </cell>
          <cell r="G848">
            <v>8.2978942915000005</v>
          </cell>
          <cell r="H848">
            <v>0.16609230720000001</v>
          </cell>
          <cell r="I848" t="str">
            <v>Air/Non-Local PT</v>
          </cell>
          <cell r="J848" t="str">
            <v>2042/43</v>
          </cell>
        </row>
        <row r="849">
          <cell r="A849" t="str">
            <v>12 WEST COAST</v>
          </cell>
          <cell r="B849">
            <v>11</v>
          </cell>
          <cell r="C849">
            <v>2013</v>
          </cell>
          <cell r="D849">
            <v>9</v>
          </cell>
          <cell r="E849">
            <v>44</v>
          </cell>
          <cell r="F849">
            <v>0.57649160089999996</v>
          </cell>
          <cell r="G849">
            <v>20.958164275000001</v>
          </cell>
          <cell r="H849">
            <v>0.34686230169999999</v>
          </cell>
          <cell r="I849" t="str">
            <v>Non-Household Travel</v>
          </cell>
          <cell r="J849" t="str">
            <v>2012/13</v>
          </cell>
        </row>
        <row r="850">
          <cell r="A850" t="str">
            <v>12 WEST COAST</v>
          </cell>
          <cell r="B850">
            <v>11</v>
          </cell>
          <cell r="C850">
            <v>2018</v>
          </cell>
          <cell r="D850">
            <v>9</v>
          </cell>
          <cell r="E850">
            <v>44</v>
          </cell>
          <cell r="F850">
            <v>0.6091139941</v>
          </cell>
          <cell r="G850">
            <v>21.937485677000002</v>
          </cell>
          <cell r="H850">
            <v>0.36383033149999999</v>
          </cell>
          <cell r="I850" t="str">
            <v>Non-Household Travel</v>
          </cell>
          <cell r="J850" t="str">
            <v>2017/18</v>
          </cell>
        </row>
        <row r="851">
          <cell r="A851" t="str">
            <v>12 WEST COAST</v>
          </cell>
          <cell r="B851">
            <v>11</v>
          </cell>
          <cell r="C851">
            <v>2023</v>
          </cell>
          <cell r="D851">
            <v>9</v>
          </cell>
          <cell r="E851">
            <v>44</v>
          </cell>
          <cell r="F851">
            <v>0.58672225349999996</v>
          </cell>
          <cell r="G851">
            <v>21.450941844999999</v>
          </cell>
          <cell r="H851">
            <v>0.3559482699</v>
          </cell>
          <cell r="I851" t="str">
            <v>Non-Household Travel</v>
          </cell>
          <cell r="J851" t="str">
            <v>2022/23</v>
          </cell>
        </row>
        <row r="852">
          <cell r="A852" t="str">
            <v>12 WEST COAST</v>
          </cell>
          <cell r="B852">
            <v>11</v>
          </cell>
          <cell r="C852">
            <v>2028</v>
          </cell>
          <cell r="D852">
            <v>9</v>
          </cell>
          <cell r="E852">
            <v>44</v>
          </cell>
          <cell r="F852">
            <v>0.5880424192</v>
          </cell>
          <cell r="G852">
            <v>21.165219260000001</v>
          </cell>
          <cell r="H852">
            <v>0.35150454370000001</v>
          </cell>
          <cell r="I852" t="str">
            <v>Non-Household Travel</v>
          </cell>
          <cell r="J852" t="str">
            <v>2027/28</v>
          </cell>
        </row>
        <row r="853">
          <cell r="A853" t="str">
            <v>12 WEST COAST</v>
          </cell>
          <cell r="B853">
            <v>11</v>
          </cell>
          <cell r="C853">
            <v>2033</v>
          </cell>
          <cell r="D853">
            <v>9</v>
          </cell>
          <cell r="E853">
            <v>44</v>
          </cell>
          <cell r="F853">
            <v>0.57162476880000002</v>
          </cell>
          <cell r="G853">
            <v>20.232531360999999</v>
          </cell>
          <cell r="H853">
            <v>0.33652477520000001</v>
          </cell>
          <cell r="I853" t="str">
            <v>Non-Household Travel</v>
          </cell>
          <cell r="J853" t="str">
            <v>2032/33</v>
          </cell>
        </row>
        <row r="854">
          <cell r="A854" t="str">
            <v>12 WEST COAST</v>
          </cell>
          <cell r="B854">
            <v>11</v>
          </cell>
          <cell r="C854">
            <v>2038</v>
          </cell>
          <cell r="D854">
            <v>9</v>
          </cell>
          <cell r="E854">
            <v>44</v>
          </cell>
          <cell r="F854">
            <v>0.55645920010000005</v>
          </cell>
          <cell r="G854">
            <v>19.469928998</v>
          </cell>
          <cell r="H854">
            <v>0.32433173809999999</v>
          </cell>
          <cell r="I854" t="str">
            <v>Non-Household Travel</v>
          </cell>
          <cell r="J854" t="str">
            <v>2037/38</v>
          </cell>
        </row>
        <row r="855">
          <cell r="A855" t="str">
            <v>12 WEST COAST</v>
          </cell>
          <cell r="B855">
            <v>11</v>
          </cell>
          <cell r="C855">
            <v>2043</v>
          </cell>
          <cell r="D855">
            <v>9</v>
          </cell>
          <cell r="E855">
            <v>44</v>
          </cell>
          <cell r="F855">
            <v>0.53251747670000005</v>
          </cell>
          <cell r="G855">
            <v>18.494143017999999</v>
          </cell>
          <cell r="H855">
            <v>0.30863035859999999</v>
          </cell>
          <cell r="I855" t="str">
            <v>Non-Household Travel</v>
          </cell>
          <cell r="J855" t="str">
            <v>2042/43</v>
          </cell>
        </row>
        <row r="856">
          <cell r="A856" t="str">
            <v>13 CANTERBURY</v>
          </cell>
          <cell r="B856">
            <v>0</v>
          </cell>
          <cell r="C856">
            <v>2013</v>
          </cell>
          <cell r="D856">
            <v>2073</v>
          </cell>
          <cell r="E856">
            <v>7645</v>
          </cell>
          <cell r="F856">
            <v>131.04676542000001</v>
          </cell>
          <cell r="G856">
            <v>113.37513976</v>
          </cell>
          <cell r="H856">
            <v>27.07651954</v>
          </cell>
          <cell r="I856" t="str">
            <v>Pedestrian</v>
          </cell>
          <cell r="J856" t="str">
            <v>2012/13</v>
          </cell>
        </row>
        <row r="857">
          <cell r="A857" t="str">
            <v>13 CANTERBURY</v>
          </cell>
          <cell r="B857">
            <v>0</v>
          </cell>
          <cell r="C857">
            <v>2018</v>
          </cell>
          <cell r="D857">
            <v>2073</v>
          </cell>
          <cell r="E857">
            <v>7645</v>
          </cell>
          <cell r="F857">
            <v>137.62234237000001</v>
          </cell>
          <cell r="G857">
            <v>118.90758648000001</v>
          </cell>
          <cell r="H857">
            <v>28.254144254</v>
          </cell>
          <cell r="I857" t="str">
            <v>Pedestrian</v>
          </cell>
          <cell r="J857" t="str">
            <v>2017/18</v>
          </cell>
        </row>
        <row r="858">
          <cell r="A858" t="str">
            <v>13 CANTERBURY</v>
          </cell>
          <cell r="B858">
            <v>0</v>
          </cell>
          <cell r="C858">
            <v>2023</v>
          </cell>
          <cell r="D858">
            <v>2073</v>
          </cell>
          <cell r="E858">
            <v>7645</v>
          </cell>
          <cell r="F858">
            <v>139.85934610000001</v>
          </cell>
          <cell r="G858">
            <v>119.99817864000001</v>
          </cell>
          <cell r="H858">
            <v>28.463007369</v>
          </cell>
          <cell r="I858" t="str">
            <v>Pedestrian</v>
          </cell>
          <cell r="J858" t="str">
            <v>2022/23</v>
          </cell>
        </row>
        <row r="859">
          <cell r="A859" t="str">
            <v>13 CANTERBURY</v>
          </cell>
          <cell r="B859">
            <v>0</v>
          </cell>
          <cell r="C859">
            <v>2028</v>
          </cell>
          <cell r="D859">
            <v>2073</v>
          </cell>
          <cell r="E859">
            <v>7645</v>
          </cell>
          <cell r="F859">
            <v>141.32226632999999</v>
          </cell>
          <cell r="G859">
            <v>120.58137821</v>
          </cell>
          <cell r="H859">
            <v>28.51192416</v>
          </cell>
          <cell r="I859" t="str">
            <v>Pedestrian</v>
          </cell>
          <cell r="J859" t="str">
            <v>2027/28</v>
          </cell>
        </row>
        <row r="860">
          <cell r="A860" t="str">
            <v>13 CANTERBURY</v>
          </cell>
          <cell r="B860">
            <v>0</v>
          </cell>
          <cell r="C860">
            <v>2033</v>
          </cell>
          <cell r="D860">
            <v>2073</v>
          </cell>
          <cell r="E860">
            <v>7645</v>
          </cell>
          <cell r="F860">
            <v>140.92750760999999</v>
          </cell>
          <cell r="G860">
            <v>119.55818336999999</v>
          </cell>
          <cell r="H860">
            <v>28.247148519</v>
          </cell>
          <cell r="I860" t="str">
            <v>Pedestrian</v>
          </cell>
          <cell r="J860" t="str">
            <v>2032/33</v>
          </cell>
        </row>
        <row r="861">
          <cell r="A861" t="str">
            <v>13 CANTERBURY</v>
          </cell>
          <cell r="B861">
            <v>0</v>
          </cell>
          <cell r="C861">
            <v>2038</v>
          </cell>
          <cell r="D861">
            <v>2073</v>
          </cell>
          <cell r="E861">
            <v>7645</v>
          </cell>
          <cell r="F861">
            <v>139.69566753000001</v>
          </cell>
          <cell r="G861">
            <v>117.95824456</v>
          </cell>
          <cell r="H861">
            <v>27.789374018</v>
          </cell>
          <cell r="I861" t="str">
            <v>Pedestrian</v>
          </cell>
          <cell r="J861" t="str">
            <v>2037/38</v>
          </cell>
        </row>
        <row r="862">
          <cell r="A862" t="str">
            <v>13 CANTERBURY</v>
          </cell>
          <cell r="B862">
            <v>0</v>
          </cell>
          <cell r="C862">
            <v>2043</v>
          </cell>
          <cell r="D862">
            <v>2073</v>
          </cell>
          <cell r="E862">
            <v>7645</v>
          </cell>
          <cell r="F862">
            <v>138.14709187</v>
          </cell>
          <cell r="G862">
            <v>116.13972198</v>
          </cell>
          <cell r="H862">
            <v>27.290085767000001</v>
          </cell>
          <cell r="I862" t="str">
            <v>Pedestrian</v>
          </cell>
          <cell r="J862" t="str">
            <v>2042/43</v>
          </cell>
        </row>
        <row r="863">
          <cell r="A863" t="str">
            <v>13 CANTERBURY</v>
          </cell>
          <cell r="B863">
            <v>1</v>
          </cell>
          <cell r="C863">
            <v>2013</v>
          </cell>
          <cell r="D863">
            <v>335</v>
          </cell>
          <cell r="E863">
            <v>1282</v>
          </cell>
          <cell r="F863">
            <v>23.740018446000001</v>
          </cell>
          <cell r="G863">
            <v>97.023488555</v>
          </cell>
          <cell r="H863">
            <v>7.2445897615000003</v>
          </cell>
          <cell r="I863" t="str">
            <v>Cyclist</v>
          </cell>
          <cell r="J863" t="str">
            <v>2012/13</v>
          </cell>
        </row>
        <row r="864">
          <cell r="A864" t="str">
            <v>13 CANTERBURY</v>
          </cell>
          <cell r="B864">
            <v>1</v>
          </cell>
          <cell r="C864">
            <v>2018</v>
          </cell>
          <cell r="D864">
            <v>335</v>
          </cell>
          <cell r="E864">
            <v>1282</v>
          </cell>
          <cell r="F864">
            <v>25.417578553999999</v>
          </cell>
          <cell r="G864">
            <v>106.46325953</v>
          </cell>
          <cell r="H864">
            <v>7.8378756414000001</v>
          </cell>
          <cell r="I864" t="str">
            <v>Cyclist</v>
          </cell>
          <cell r="J864" t="str">
            <v>2017/18</v>
          </cell>
        </row>
        <row r="865">
          <cell r="A865" t="str">
            <v>13 CANTERBURY</v>
          </cell>
          <cell r="B865">
            <v>1</v>
          </cell>
          <cell r="C865">
            <v>2023</v>
          </cell>
          <cell r="D865">
            <v>335</v>
          </cell>
          <cell r="E865">
            <v>1282</v>
          </cell>
          <cell r="F865">
            <v>25.42587597</v>
          </cell>
          <cell r="G865">
            <v>108.69247494</v>
          </cell>
          <cell r="H865">
            <v>7.9296589745999997</v>
          </cell>
          <cell r="I865" t="str">
            <v>Cyclist</v>
          </cell>
          <cell r="J865" t="str">
            <v>2022/23</v>
          </cell>
        </row>
        <row r="866">
          <cell r="A866" t="str">
            <v>13 CANTERBURY</v>
          </cell>
          <cell r="B866">
            <v>1</v>
          </cell>
          <cell r="C866">
            <v>2028</v>
          </cell>
          <cell r="D866">
            <v>335</v>
          </cell>
          <cell r="E866">
            <v>1282</v>
          </cell>
          <cell r="F866">
            <v>25.220827229000001</v>
          </cell>
          <cell r="G866">
            <v>109.40569431999999</v>
          </cell>
          <cell r="H866">
            <v>7.9263498508000003</v>
          </cell>
          <cell r="I866" t="str">
            <v>Cyclist</v>
          </cell>
          <cell r="J866" t="str">
            <v>2027/28</v>
          </cell>
        </row>
        <row r="867">
          <cell r="A867" t="str">
            <v>13 CANTERBURY</v>
          </cell>
          <cell r="B867">
            <v>1</v>
          </cell>
          <cell r="C867">
            <v>2033</v>
          </cell>
          <cell r="D867">
            <v>335</v>
          </cell>
          <cell r="E867">
            <v>1282</v>
          </cell>
          <cell r="F867">
            <v>25.083951463999998</v>
          </cell>
          <cell r="G867">
            <v>111.35267871000001</v>
          </cell>
          <cell r="H867">
            <v>7.9811847995000003</v>
          </cell>
          <cell r="I867" t="str">
            <v>Cyclist</v>
          </cell>
          <cell r="J867" t="str">
            <v>2032/33</v>
          </cell>
        </row>
        <row r="868">
          <cell r="A868" t="str">
            <v>13 CANTERBURY</v>
          </cell>
          <cell r="B868">
            <v>1</v>
          </cell>
          <cell r="C868">
            <v>2038</v>
          </cell>
          <cell r="D868">
            <v>335</v>
          </cell>
          <cell r="E868">
            <v>1282</v>
          </cell>
          <cell r="F868">
            <v>24.806932477</v>
          </cell>
          <cell r="G868">
            <v>114.47612672</v>
          </cell>
          <cell r="H868">
            <v>8.0739824757999994</v>
          </cell>
          <cell r="I868" t="str">
            <v>Cyclist</v>
          </cell>
          <cell r="J868" t="str">
            <v>2037/38</v>
          </cell>
        </row>
        <row r="869">
          <cell r="A869" t="str">
            <v>13 CANTERBURY</v>
          </cell>
          <cell r="B869">
            <v>1</v>
          </cell>
          <cell r="C869">
            <v>2043</v>
          </cell>
          <cell r="D869">
            <v>335</v>
          </cell>
          <cell r="E869">
            <v>1282</v>
          </cell>
          <cell r="F869">
            <v>24.561853533000001</v>
          </cell>
          <cell r="G869">
            <v>117.86646498</v>
          </cell>
          <cell r="H869">
            <v>8.1826118609999998</v>
          </cell>
          <cell r="I869" t="str">
            <v>Cyclist</v>
          </cell>
          <cell r="J869" t="str">
            <v>2042/43</v>
          </cell>
        </row>
        <row r="870">
          <cell r="A870" t="str">
            <v>13 CANTERBURY</v>
          </cell>
          <cell r="B870">
            <v>2</v>
          </cell>
          <cell r="C870">
            <v>2013</v>
          </cell>
          <cell r="D870">
            <v>3326</v>
          </cell>
          <cell r="E870">
            <v>23816</v>
          </cell>
          <cell r="F870">
            <v>417.41567177000002</v>
          </cell>
          <cell r="G870">
            <v>3777.041205</v>
          </cell>
          <cell r="H870">
            <v>111.06814274</v>
          </cell>
          <cell r="I870" t="str">
            <v>Light Vehicle Driver</v>
          </cell>
          <cell r="J870" t="str">
            <v>2012/13</v>
          </cell>
        </row>
        <row r="871">
          <cell r="A871" t="str">
            <v>13 CANTERBURY</v>
          </cell>
          <cell r="B871">
            <v>2</v>
          </cell>
          <cell r="C871">
            <v>2018</v>
          </cell>
          <cell r="D871">
            <v>3326</v>
          </cell>
          <cell r="E871">
            <v>23816</v>
          </cell>
          <cell r="F871">
            <v>456.88618625999999</v>
          </cell>
          <cell r="G871">
            <v>4183.1327351</v>
          </cell>
          <cell r="H871">
            <v>122.72302619</v>
          </cell>
          <cell r="I871" t="str">
            <v>Light Vehicle Driver</v>
          </cell>
          <cell r="J871" t="str">
            <v>2017/18</v>
          </cell>
        </row>
        <row r="872">
          <cell r="A872" t="str">
            <v>13 CANTERBURY</v>
          </cell>
          <cell r="B872">
            <v>2</v>
          </cell>
          <cell r="C872">
            <v>2023</v>
          </cell>
          <cell r="D872">
            <v>3326</v>
          </cell>
          <cell r="E872">
            <v>23816</v>
          </cell>
          <cell r="F872">
            <v>476.23280511000002</v>
          </cell>
          <cell r="G872">
            <v>4373.4417552000004</v>
          </cell>
          <cell r="H872">
            <v>128.30051982000001</v>
          </cell>
          <cell r="I872" t="str">
            <v>Light Vehicle Driver</v>
          </cell>
          <cell r="J872" t="str">
            <v>2022/23</v>
          </cell>
        </row>
        <row r="873">
          <cell r="A873" t="str">
            <v>13 CANTERBURY</v>
          </cell>
          <cell r="B873">
            <v>2</v>
          </cell>
          <cell r="C873">
            <v>2028</v>
          </cell>
          <cell r="D873">
            <v>3326</v>
          </cell>
          <cell r="E873">
            <v>23816</v>
          </cell>
          <cell r="F873">
            <v>499.14627985999999</v>
          </cell>
          <cell r="G873">
            <v>4590.1699712999998</v>
          </cell>
          <cell r="H873">
            <v>134.54109561999999</v>
          </cell>
          <cell r="I873" t="str">
            <v>Light Vehicle Driver</v>
          </cell>
          <cell r="J873" t="str">
            <v>2027/28</v>
          </cell>
        </row>
        <row r="874">
          <cell r="A874" t="str">
            <v>13 CANTERBURY</v>
          </cell>
          <cell r="B874">
            <v>2</v>
          </cell>
          <cell r="C874">
            <v>2033</v>
          </cell>
          <cell r="D874">
            <v>3326</v>
          </cell>
          <cell r="E874">
            <v>23816</v>
          </cell>
          <cell r="F874">
            <v>519.51235643999996</v>
          </cell>
          <cell r="G874">
            <v>4788.8704564999998</v>
          </cell>
          <cell r="H874">
            <v>140.26407354</v>
          </cell>
          <cell r="I874" t="str">
            <v>Light Vehicle Driver</v>
          </cell>
          <cell r="J874" t="str">
            <v>2032/33</v>
          </cell>
        </row>
        <row r="875">
          <cell r="A875" t="str">
            <v>13 CANTERBURY</v>
          </cell>
          <cell r="B875">
            <v>2</v>
          </cell>
          <cell r="C875">
            <v>2038</v>
          </cell>
          <cell r="D875">
            <v>3326</v>
          </cell>
          <cell r="E875">
            <v>23816</v>
          </cell>
          <cell r="F875">
            <v>532.90488145999996</v>
          </cell>
          <cell r="G875">
            <v>4927.6012693000002</v>
          </cell>
          <cell r="H875">
            <v>144.25808574000001</v>
          </cell>
          <cell r="I875" t="str">
            <v>Light Vehicle Driver</v>
          </cell>
          <cell r="J875" t="str">
            <v>2037/38</v>
          </cell>
        </row>
        <row r="876">
          <cell r="A876" t="str">
            <v>13 CANTERBURY</v>
          </cell>
          <cell r="B876">
            <v>2</v>
          </cell>
          <cell r="C876">
            <v>2043</v>
          </cell>
          <cell r="D876">
            <v>3326</v>
          </cell>
          <cell r="E876">
            <v>23816</v>
          </cell>
          <cell r="F876">
            <v>544.09149822999996</v>
          </cell>
          <cell r="G876">
            <v>5047.0858925000002</v>
          </cell>
          <cell r="H876">
            <v>147.69919095</v>
          </cell>
          <cell r="I876" t="str">
            <v>Light Vehicle Driver</v>
          </cell>
          <cell r="J876" t="str">
            <v>2042/43</v>
          </cell>
        </row>
        <row r="877">
          <cell r="A877" t="str">
            <v>13 CANTERBURY</v>
          </cell>
          <cell r="B877">
            <v>3</v>
          </cell>
          <cell r="C877">
            <v>2013</v>
          </cell>
          <cell r="D877">
            <v>2416</v>
          </cell>
          <cell r="E877">
            <v>11025</v>
          </cell>
          <cell r="F877">
            <v>189.77500577999999</v>
          </cell>
          <cell r="G877">
            <v>2033.7115475000001</v>
          </cell>
          <cell r="H877">
            <v>53.544276449999998</v>
          </cell>
          <cell r="I877" t="str">
            <v>Light Vehicle Passenger</v>
          </cell>
          <cell r="J877" t="str">
            <v>2012/13</v>
          </cell>
        </row>
        <row r="878">
          <cell r="A878" t="str">
            <v>13 CANTERBURY</v>
          </cell>
          <cell r="B878">
            <v>3</v>
          </cell>
          <cell r="C878">
            <v>2018</v>
          </cell>
          <cell r="D878">
            <v>2416</v>
          </cell>
          <cell r="E878">
            <v>11025</v>
          </cell>
          <cell r="F878">
            <v>196.69660003000001</v>
          </cell>
          <cell r="G878">
            <v>2140.1258689000001</v>
          </cell>
          <cell r="H878">
            <v>56.016323798000002</v>
          </cell>
          <cell r="I878" t="str">
            <v>Light Vehicle Passenger</v>
          </cell>
          <cell r="J878" t="str">
            <v>2017/18</v>
          </cell>
        </row>
        <row r="879">
          <cell r="A879" t="str">
            <v>13 CANTERBURY</v>
          </cell>
          <cell r="B879">
            <v>3</v>
          </cell>
          <cell r="C879">
            <v>2023</v>
          </cell>
          <cell r="D879">
            <v>2416</v>
          </cell>
          <cell r="E879">
            <v>11025</v>
          </cell>
          <cell r="F879">
            <v>197.82385070000001</v>
          </cell>
          <cell r="G879">
            <v>2176.4917810000002</v>
          </cell>
          <cell r="H879">
            <v>56.70104044</v>
          </cell>
          <cell r="I879" t="str">
            <v>Light Vehicle Passenger</v>
          </cell>
          <cell r="J879" t="str">
            <v>2022/23</v>
          </cell>
        </row>
        <row r="880">
          <cell r="A880" t="str">
            <v>13 CANTERBURY</v>
          </cell>
          <cell r="B880">
            <v>3</v>
          </cell>
          <cell r="C880">
            <v>2028</v>
          </cell>
          <cell r="D880">
            <v>2416</v>
          </cell>
          <cell r="E880">
            <v>11025</v>
          </cell>
          <cell r="F880">
            <v>200.41244144000001</v>
          </cell>
          <cell r="G880">
            <v>2237.9710503000001</v>
          </cell>
          <cell r="H880">
            <v>57.862792802000001</v>
          </cell>
          <cell r="I880" t="str">
            <v>Light Vehicle Passenger</v>
          </cell>
          <cell r="J880" t="str">
            <v>2027/28</v>
          </cell>
        </row>
        <row r="881">
          <cell r="A881" t="str">
            <v>13 CANTERBURY</v>
          </cell>
          <cell r="B881">
            <v>3</v>
          </cell>
          <cell r="C881">
            <v>2033</v>
          </cell>
          <cell r="D881">
            <v>2416</v>
          </cell>
          <cell r="E881">
            <v>11025</v>
          </cell>
          <cell r="F881">
            <v>202.04019518000001</v>
          </cell>
          <cell r="G881">
            <v>2286.4231782000002</v>
          </cell>
          <cell r="H881">
            <v>58.729080967000002</v>
          </cell>
          <cell r="I881" t="str">
            <v>Light Vehicle Passenger</v>
          </cell>
          <cell r="J881" t="str">
            <v>2032/33</v>
          </cell>
        </row>
        <row r="882">
          <cell r="A882" t="str">
            <v>13 CANTERBURY</v>
          </cell>
          <cell r="B882">
            <v>3</v>
          </cell>
          <cell r="C882">
            <v>2038</v>
          </cell>
          <cell r="D882">
            <v>2416</v>
          </cell>
          <cell r="E882">
            <v>11025</v>
          </cell>
          <cell r="F882">
            <v>203.03009499999999</v>
          </cell>
          <cell r="G882">
            <v>2323.0310897999998</v>
          </cell>
          <cell r="H882">
            <v>59.387033621</v>
          </cell>
          <cell r="I882" t="str">
            <v>Light Vehicle Passenger</v>
          </cell>
          <cell r="J882" t="str">
            <v>2037/38</v>
          </cell>
        </row>
        <row r="883">
          <cell r="A883" t="str">
            <v>13 CANTERBURY</v>
          </cell>
          <cell r="B883">
            <v>3</v>
          </cell>
          <cell r="C883">
            <v>2043</v>
          </cell>
          <cell r="D883">
            <v>2416</v>
          </cell>
          <cell r="E883">
            <v>11025</v>
          </cell>
          <cell r="F883">
            <v>203.08168089</v>
          </cell>
          <cell r="G883">
            <v>2349.2401129</v>
          </cell>
          <cell r="H883">
            <v>59.785038673999999</v>
          </cell>
          <cell r="I883" t="str">
            <v>Light Vehicle Passenger</v>
          </cell>
          <cell r="J883" t="str">
            <v>2042/43</v>
          </cell>
        </row>
        <row r="884">
          <cell r="A884" t="str">
            <v>13 CANTERBURY</v>
          </cell>
          <cell r="B884">
            <v>4</v>
          </cell>
          <cell r="C884">
            <v>2013</v>
          </cell>
          <cell r="D884">
            <v>68</v>
          </cell>
          <cell r="E884">
            <v>116</v>
          </cell>
          <cell r="F884">
            <v>2.2446435044999999</v>
          </cell>
          <cell r="G884">
            <v>16.530142167000001</v>
          </cell>
          <cell r="H884">
            <v>0.86554787379999998</v>
          </cell>
          <cell r="J884" t="str">
            <v>2012/13</v>
          </cell>
        </row>
        <row r="885">
          <cell r="A885" t="str">
            <v>13 CANTERBURY</v>
          </cell>
          <cell r="B885">
            <v>4</v>
          </cell>
          <cell r="C885">
            <v>2018</v>
          </cell>
          <cell r="D885">
            <v>68</v>
          </cell>
          <cell r="E885">
            <v>116</v>
          </cell>
          <cell r="F885">
            <v>2.4513720858000001</v>
          </cell>
          <cell r="G885">
            <v>18.72563229</v>
          </cell>
          <cell r="H885">
            <v>0.95403280580000005</v>
          </cell>
          <cell r="J885" t="str">
            <v>2017/18</v>
          </cell>
        </row>
        <row r="886">
          <cell r="A886" t="str">
            <v>13 CANTERBURY</v>
          </cell>
          <cell r="B886">
            <v>4</v>
          </cell>
          <cell r="C886">
            <v>2023</v>
          </cell>
          <cell r="D886">
            <v>68</v>
          </cell>
          <cell r="E886">
            <v>116</v>
          </cell>
          <cell r="F886">
            <v>2.5487065212000002</v>
          </cell>
          <cell r="G886">
            <v>19.857974495000001</v>
          </cell>
          <cell r="H886">
            <v>0.99633355749999997</v>
          </cell>
          <cell r="J886" t="str">
            <v>2022/23</v>
          </cell>
        </row>
        <row r="887">
          <cell r="A887" t="str">
            <v>13 CANTERBURY</v>
          </cell>
          <cell r="B887">
            <v>4</v>
          </cell>
          <cell r="C887">
            <v>2028</v>
          </cell>
          <cell r="D887">
            <v>68</v>
          </cell>
          <cell r="E887">
            <v>116</v>
          </cell>
          <cell r="F887">
            <v>2.6171188869000002</v>
          </cell>
          <cell r="G887">
            <v>20.595019342000001</v>
          </cell>
          <cell r="H887">
            <v>1.0318682409</v>
          </cell>
          <cell r="J887" t="str">
            <v>2027/28</v>
          </cell>
        </row>
        <row r="888">
          <cell r="A888" t="str">
            <v>13 CANTERBURY</v>
          </cell>
          <cell r="B888">
            <v>4</v>
          </cell>
          <cell r="C888">
            <v>2033</v>
          </cell>
          <cell r="D888">
            <v>68</v>
          </cell>
          <cell r="E888">
            <v>116</v>
          </cell>
          <cell r="F888">
            <v>2.6804354780000001</v>
          </cell>
          <cell r="G888">
            <v>21.343412953000001</v>
          </cell>
          <cell r="H888">
            <v>1.0695799653</v>
          </cell>
          <cell r="J888" t="str">
            <v>2032/33</v>
          </cell>
        </row>
        <row r="889">
          <cell r="A889" t="str">
            <v>13 CANTERBURY</v>
          </cell>
          <cell r="B889">
            <v>4</v>
          </cell>
          <cell r="C889">
            <v>2038</v>
          </cell>
          <cell r="D889">
            <v>68</v>
          </cell>
          <cell r="E889">
            <v>116</v>
          </cell>
          <cell r="F889">
            <v>2.6883079357000002</v>
          </cell>
          <cell r="G889">
            <v>21.799716954000001</v>
          </cell>
          <cell r="H889">
            <v>1.0783943313</v>
          </cell>
          <cell r="J889" t="str">
            <v>2037/38</v>
          </cell>
        </row>
        <row r="890">
          <cell r="A890" t="str">
            <v>13 CANTERBURY</v>
          </cell>
          <cell r="B890">
            <v>4</v>
          </cell>
          <cell r="C890">
            <v>2043</v>
          </cell>
          <cell r="D890">
            <v>68</v>
          </cell>
          <cell r="E890">
            <v>116</v>
          </cell>
          <cell r="F890">
            <v>2.6795537845999999</v>
          </cell>
          <cell r="G890">
            <v>22.132784133000001</v>
          </cell>
          <cell r="H890">
            <v>1.0758449926</v>
          </cell>
          <cell r="J890" t="str">
            <v>2042/43</v>
          </cell>
        </row>
        <row r="891">
          <cell r="A891" t="str">
            <v>13 CANTERBURY</v>
          </cell>
          <cell r="B891">
            <v>5</v>
          </cell>
          <cell r="C891">
            <v>2013</v>
          </cell>
          <cell r="D891">
            <v>29</v>
          </cell>
          <cell r="E891">
            <v>91</v>
          </cell>
          <cell r="F891">
            <v>1.4451657518000001</v>
          </cell>
          <cell r="G891">
            <v>12.048552727000001</v>
          </cell>
          <cell r="H891">
            <v>0.39288238580000001</v>
          </cell>
          <cell r="I891" t="str">
            <v>Motorcyclist</v>
          </cell>
          <cell r="J891" t="str">
            <v>2012/13</v>
          </cell>
        </row>
        <row r="892">
          <cell r="A892" t="str">
            <v>13 CANTERBURY</v>
          </cell>
          <cell r="B892">
            <v>5</v>
          </cell>
          <cell r="C892">
            <v>2018</v>
          </cell>
          <cell r="D892">
            <v>29</v>
          </cell>
          <cell r="E892">
            <v>91</v>
          </cell>
          <cell r="F892">
            <v>1.5664429900000001</v>
          </cell>
          <cell r="G892">
            <v>12.746930331</v>
          </cell>
          <cell r="H892">
            <v>0.42296851670000002</v>
          </cell>
          <cell r="I892" t="str">
            <v>Motorcyclist</v>
          </cell>
          <cell r="J892" t="str">
            <v>2017/18</v>
          </cell>
        </row>
        <row r="893">
          <cell r="A893" t="str">
            <v>13 CANTERBURY</v>
          </cell>
          <cell r="B893">
            <v>5</v>
          </cell>
          <cell r="C893">
            <v>2023</v>
          </cell>
          <cell r="D893">
            <v>29</v>
          </cell>
          <cell r="E893">
            <v>91</v>
          </cell>
          <cell r="F893">
            <v>1.5804710229000001</v>
          </cell>
          <cell r="G893">
            <v>12.75056536</v>
          </cell>
          <cell r="H893">
            <v>0.4291402554</v>
          </cell>
          <cell r="I893" t="str">
            <v>Motorcyclist</v>
          </cell>
          <cell r="J893" t="str">
            <v>2022/23</v>
          </cell>
        </row>
        <row r="894">
          <cell r="A894" t="str">
            <v>13 CANTERBURY</v>
          </cell>
          <cell r="B894">
            <v>5</v>
          </cell>
          <cell r="C894">
            <v>2028</v>
          </cell>
          <cell r="D894">
            <v>29</v>
          </cell>
          <cell r="E894">
            <v>91</v>
          </cell>
          <cell r="F894">
            <v>1.5938945508</v>
          </cell>
          <cell r="G894">
            <v>12.782206131000001</v>
          </cell>
          <cell r="H894">
            <v>0.43696345250000002</v>
          </cell>
          <cell r="I894" t="str">
            <v>Motorcyclist</v>
          </cell>
          <cell r="J894" t="str">
            <v>2027/28</v>
          </cell>
        </row>
        <row r="895">
          <cell r="A895" t="str">
            <v>13 CANTERBURY</v>
          </cell>
          <cell r="B895">
            <v>5</v>
          </cell>
          <cell r="C895">
            <v>2033</v>
          </cell>
          <cell r="D895">
            <v>29</v>
          </cell>
          <cell r="E895">
            <v>91</v>
          </cell>
          <cell r="F895">
            <v>1.6165467195000001</v>
          </cell>
          <cell r="G895">
            <v>13.153218643000001</v>
          </cell>
          <cell r="H895">
            <v>0.45144591319999999</v>
          </cell>
          <cell r="I895" t="str">
            <v>Motorcyclist</v>
          </cell>
          <cell r="J895" t="str">
            <v>2032/33</v>
          </cell>
        </row>
        <row r="896">
          <cell r="A896" t="str">
            <v>13 CANTERBURY</v>
          </cell>
          <cell r="B896">
            <v>5</v>
          </cell>
          <cell r="C896">
            <v>2038</v>
          </cell>
          <cell r="D896">
            <v>29</v>
          </cell>
          <cell r="E896">
            <v>91</v>
          </cell>
          <cell r="F896">
            <v>1.67534143</v>
          </cell>
          <cell r="G896">
            <v>13.865822413</v>
          </cell>
          <cell r="H896">
            <v>0.47812873760000002</v>
          </cell>
          <cell r="I896" t="str">
            <v>Motorcyclist</v>
          </cell>
          <cell r="J896" t="str">
            <v>2037/38</v>
          </cell>
        </row>
        <row r="897">
          <cell r="A897" t="str">
            <v>13 CANTERBURY</v>
          </cell>
          <cell r="B897">
            <v>5</v>
          </cell>
          <cell r="C897">
            <v>2043</v>
          </cell>
          <cell r="D897">
            <v>29</v>
          </cell>
          <cell r="E897">
            <v>91</v>
          </cell>
          <cell r="F897">
            <v>1.7244187016000001</v>
          </cell>
          <cell r="G897">
            <v>14.469892945</v>
          </cell>
          <cell r="H897">
            <v>0.50235576410000005</v>
          </cell>
          <cell r="I897" t="str">
            <v>Motorcyclist</v>
          </cell>
          <cell r="J897" t="str">
            <v>2042/43</v>
          </cell>
        </row>
        <row r="898">
          <cell r="A898" t="str">
            <v>13 CANTERBURY</v>
          </cell>
          <cell r="B898">
            <v>6</v>
          </cell>
          <cell r="C898">
            <v>2013</v>
          </cell>
          <cell r="D898">
            <v>1</v>
          </cell>
          <cell r="E898">
            <v>1</v>
          </cell>
          <cell r="F898">
            <v>2.1901243099999999E-2</v>
          </cell>
          <cell r="G898">
            <v>0</v>
          </cell>
          <cell r="H898">
            <v>7.3004144E-3</v>
          </cell>
          <cell r="I898" t="str">
            <v>Local Train</v>
          </cell>
          <cell r="J898" t="str">
            <v>2012/13</v>
          </cell>
        </row>
        <row r="899">
          <cell r="A899" t="str">
            <v>13 CANTERBURY</v>
          </cell>
          <cell r="B899">
            <v>6</v>
          </cell>
          <cell r="C899">
            <v>2018</v>
          </cell>
          <cell r="D899">
            <v>1</v>
          </cell>
          <cell r="E899">
            <v>1</v>
          </cell>
          <cell r="F899">
            <v>2.1881727399999999E-2</v>
          </cell>
          <cell r="G899">
            <v>0</v>
          </cell>
          <cell r="H899">
            <v>7.2939090999999999E-3</v>
          </cell>
          <cell r="I899" t="str">
            <v>Local Train</v>
          </cell>
          <cell r="J899" t="str">
            <v>2017/18</v>
          </cell>
        </row>
        <row r="900">
          <cell r="A900" t="str">
            <v>13 CANTERBURY</v>
          </cell>
          <cell r="B900">
            <v>6</v>
          </cell>
          <cell r="C900">
            <v>2023</v>
          </cell>
          <cell r="D900">
            <v>1</v>
          </cell>
          <cell r="E900">
            <v>1</v>
          </cell>
          <cell r="F900">
            <v>1.8407240299999999E-2</v>
          </cell>
          <cell r="G900">
            <v>0</v>
          </cell>
          <cell r="H900">
            <v>6.1357468000000004E-3</v>
          </cell>
          <cell r="I900" t="str">
            <v>Local Train</v>
          </cell>
          <cell r="J900" t="str">
            <v>2022/23</v>
          </cell>
        </row>
        <row r="901">
          <cell r="A901" t="str">
            <v>13 CANTERBURY</v>
          </cell>
          <cell r="B901">
            <v>6</v>
          </cell>
          <cell r="C901">
            <v>2028</v>
          </cell>
          <cell r="D901">
            <v>1</v>
          </cell>
          <cell r="E901">
            <v>1</v>
          </cell>
          <cell r="F901">
            <v>1.69883797E-2</v>
          </cell>
          <cell r="G901">
            <v>0</v>
          </cell>
          <cell r="H901">
            <v>5.6627932000000002E-3</v>
          </cell>
          <cell r="I901" t="str">
            <v>Local Train</v>
          </cell>
          <cell r="J901" t="str">
            <v>2027/28</v>
          </cell>
        </row>
        <row r="902">
          <cell r="A902" t="str">
            <v>13 CANTERBURY</v>
          </cell>
          <cell r="B902">
            <v>6</v>
          </cell>
          <cell r="C902">
            <v>2033</v>
          </cell>
          <cell r="D902">
            <v>1</v>
          </cell>
          <cell r="E902">
            <v>1</v>
          </cell>
          <cell r="F902">
            <v>1.5993343199999999E-2</v>
          </cell>
          <cell r="G902">
            <v>0</v>
          </cell>
          <cell r="H902">
            <v>5.3311143999999998E-3</v>
          </cell>
          <cell r="I902" t="str">
            <v>Local Train</v>
          </cell>
          <cell r="J902" t="str">
            <v>2032/33</v>
          </cell>
        </row>
        <row r="903">
          <cell r="A903" t="str">
            <v>13 CANTERBURY</v>
          </cell>
          <cell r="B903">
            <v>6</v>
          </cell>
          <cell r="C903">
            <v>2038</v>
          </cell>
          <cell r="D903">
            <v>1</v>
          </cell>
          <cell r="E903">
            <v>1</v>
          </cell>
          <cell r="F903">
            <v>1.33864925E-2</v>
          </cell>
          <cell r="G903">
            <v>0</v>
          </cell>
          <cell r="H903">
            <v>4.4621642000000003E-3</v>
          </cell>
          <cell r="I903" t="str">
            <v>Local Train</v>
          </cell>
          <cell r="J903" t="str">
            <v>2037/38</v>
          </cell>
        </row>
        <row r="904">
          <cell r="A904" t="str">
            <v>13 CANTERBURY</v>
          </cell>
          <cell r="B904">
            <v>6</v>
          </cell>
          <cell r="C904">
            <v>2043</v>
          </cell>
          <cell r="D904">
            <v>1</v>
          </cell>
          <cell r="E904">
            <v>1</v>
          </cell>
          <cell r="F904">
            <v>1.09840489E-2</v>
          </cell>
          <cell r="G904">
            <v>0</v>
          </cell>
          <cell r="H904">
            <v>3.6613496000000001E-3</v>
          </cell>
          <cell r="I904" t="str">
            <v>Local Train</v>
          </cell>
          <cell r="J904" t="str">
            <v>2042/43</v>
          </cell>
        </row>
        <row r="905">
          <cell r="A905" t="str">
            <v>13 CANTERBURY</v>
          </cell>
          <cell r="B905">
            <v>7</v>
          </cell>
          <cell r="C905">
            <v>2013</v>
          </cell>
          <cell r="D905">
            <v>384</v>
          </cell>
          <cell r="E905">
            <v>1120</v>
          </cell>
          <cell r="F905">
            <v>20.502079716000001</v>
          </cell>
          <cell r="G905">
            <v>174.53993166999999</v>
          </cell>
          <cell r="H905">
            <v>7.9805750329</v>
          </cell>
          <cell r="I905" t="str">
            <v>Local Bus</v>
          </cell>
          <cell r="J905" t="str">
            <v>2012/13</v>
          </cell>
        </row>
        <row r="906">
          <cell r="A906" t="str">
            <v>13 CANTERBURY</v>
          </cell>
          <cell r="B906">
            <v>7</v>
          </cell>
          <cell r="C906">
            <v>2018</v>
          </cell>
          <cell r="D906">
            <v>384</v>
          </cell>
          <cell r="E906">
            <v>1120</v>
          </cell>
          <cell r="F906">
            <v>20.614719994000001</v>
          </cell>
          <cell r="G906">
            <v>175.21324804</v>
          </cell>
          <cell r="H906">
            <v>8.0130594146000007</v>
          </cell>
          <cell r="I906" t="str">
            <v>Local Bus</v>
          </cell>
          <cell r="J906" t="str">
            <v>2017/18</v>
          </cell>
        </row>
        <row r="907">
          <cell r="A907" t="str">
            <v>13 CANTERBURY</v>
          </cell>
          <cell r="B907">
            <v>7</v>
          </cell>
          <cell r="C907">
            <v>2023</v>
          </cell>
          <cell r="D907">
            <v>384</v>
          </cell>
          <cell r="E907">
            <v>1120</v>
          </cell>
          <cell r="F907">
            <v>20.193307146999999</v>
          </cell>
          <cell r="G907">
            <v>170.81122178000001</v>
          </cell>
          <cell r="H907">
            <v>7.8205246438999998</v>
          </cell>
          <cell r="I907" t="str">
            <v>Local Bus</v>
          </cell>
          <cell r="J907" t="str">
            <v>2022/23</v>
          </cell>
        </row>
        <row r="908">
          <cell r="A908" t="str">
            <v>13 CANTERBURY</v>
          </cell>
          <cell r="B908">
            <v>7</v>
          </cell>
          <cell r="C908">
            <v>2028</v>
          </cell>
          <cell r="D908">
            <v>384</v>
          </cell>
          <cell r="E908">
            <v>1120</v>
          </cell>
          <cell r="F908">
            <v>19.779883885</v>
          </cell>
          <cell r="G908">
            <v>168.83753199</v>
          </cell>
          <cell r="H908">
            <v>7.6642940755</v>
          </cell>
          <cell r="I908" t="str">
            <v>Local Bus</v>
          </cell>
          <cell r="J908" t="str">
            <v>2027/28</v>
          </cell>
        </row>
        <row r="909">
          <cell r="A909" t="str">
            <v>13 CANTERBURY</v>
          </cell>
          <cell r="B909">
            <v>7</v>
          </cell>
          <cell r="C909">
            <v>2033</v>
          </cell>
          <cell r="D909">
            <v>384</v>
          </cell>
          <cell r="E909">
            <v>1120</v>
          </cell>
          <cell r="F909">
            <v>18.941076702</v>
          </cell>
          <cell r="G909">
            <v>163.14112513000001</v>
          </cell>
          <cell r="H909">
            <v>7.3520729450999998</v>
          </cell>
          <cell r="I909" t="str">
            <v>Local Bus</v>
          </cell>
          <cell r="J909" t="str">
            <v>2032/33</v>
          </cell>
        </row>
        <row r="910">
          <cell r="A910" t="str">
            <v>13 CANTERBURY</v>
          </cell>
          <cell r="B910">
            <v>7</v>
          </cell>
          <cell r="C910">
            <v>2038</v>
          </cell>
          <cell r="D910">
            <v>384</v>
          </cell>
          <cell r="E910">
            <v>1120</v>
          </cell>
          <cell r="F910">
            <v>18.141836940000001</v>
          </cell>
          <cell r="G910">
            <v>157.35525977</v>
          </cell>
          <cell r="H910">
            <v>7.0564301036000003</v>
          </cell>
          <cell r="I910" t="str">
            <v>Local Bus</v>
          </cell>
          <cell r="J910" t="str">
            <v>2037/38</v>
          </cell>
        </row>
        <row r="911">
          <cell r="A911" t="str">
            <v>13 CANTERBURY</v>
          </cell>
          <cell r="B911">
            <v>7</v>
          </cell>
          <cell r="C911">
            <v>2043</v>
          </cell>
          <cell r="D911">
            <v>384</v>
          </cell>
          <cell r="E911">
            <v>1120</v>
          </cell>
          <cell r="F911">
            <v>17.313158362999999</v>
          </cell>
          <cell r="G911">
            <v>151.17563518</v>
          </cell>
          <cell r="H911">
            <v>6.7467374597000003</v>
          </cell>
          <cell r="I911" t="str">
            <v>Local Bus</v>
          </cell>
          <cell r="J911" t="str">
            <v>2042/43</v>
          </cell>
        </row>
        <row r="912">
          <cell r="A912" t="str">
            <v>13 CANTERBURY</v>
          </cell>
          <cell r="B912">
            <v>9</v>
          </cell>
          <cell r="C912">
            <v>2013</v>
          </cell>
          <cell r="D912">
            <v>31</v>
          </cell>
          <cell r="E912">
            <v>81</v>
          </cell>
          <cell r="F912">
            <v>1.5386198845000001</v>
          </cell>
          <cell r="G912">
            <v>0</v>
          </cell>
          <cell r="H912">
            <v>0.91635513570000005</v>
          </cell>
          <cell r="I912" t="str">
            <v>Other Household Travel</v>
          </cell>
          <cell r="J912" t="str">
            <v>2012/13</v>
          </cell>
        </row>
        <row r="913">
          <cell r="A913" t="str">
            <v>13 CANTERBURY</v>
          </cell>
          <cell r="B913">
            <v>9</v>
          </cell>
          <cell r="C913">
            <v>2018</v>
          </cell>
          <cell r="D913">
            <v>31</v>
          </cell>
          <cell r="E913">
            <v>81</v>
          </cell>
          <cell r="F913">
            <v>1.6897531055999999</v>
          </cell>
          <cell r="G913">
            <v>0</v>
          </cell>
          <cell r="H913">
            <v>0.97577669160000002</v>
          </cell>
          <cell r="I913" t="str">
            <v>Other Household Travel</v>
          </cell>
          <cell r="J913" t="str">
            <v>2017/18</v>
          </cell>
        </row>
        <row r="914">
          <cell r="A914" t="str">
            <v>13 CANTERBURY</v>
          </cell>
          <cell r="B914">
            <v>9</v>
          </cell>
          <cell r="C914">
            <v>2023</v>
          </cell>
          <cell r="D914">
            <v>31</v>
          </cell>
          <cell r="E914">
            <v>81</v>
          </cell>
          <cell r="F914">
            <v>1.8567256129</v>
          </cell>
          <cell r="G914">
            <v>0</v>
          </cell>
          <cell r="H914">
            <v>1.0437420708</v>
          </cell>
          <cell r="I914" t="str">
            <v>Other Household Travel</v>
          </cell>
          <cell r="J914" t="str">
            <v>2022/23</v>
          </cell>
        </row>
        <row r="915">
          <cell r="A915" t="str">
            <v>13 CANTERBURY</v>
          </cell>
          <cell r="B915">
            <v>9</v>
          </cell>
          <cell r="C915">
            <v>2028</v>
          </cell>
          <cell r="D915">
            <v>31</v>
          </cell>
          <cell r="E915">
            <v>81</v>
          </cell>
          <cell r="F915">
            <v>2.0062104758000001</v>
          </cell>
          <cell r="G915">
            <v>0</v>
          </cell>
          <cell r="H915">
            <v>1.1187183241</v>
          </cell>
          <cell r="I915" t="str">
            <v>Other Household Travel</v>
          </cell>
          <cell r="J915" t="str">
            <v>2027/28</v>
          </cell>
        </row>
        <row r="916">
          <cell r="A916" t="str">
            <v>13 CANTERBURY</v>
          </cell>
          <cell r="B916">
            <v>9</v>
          </cell>
          <cell r="C916">
            <v>2033</v>
          </cell>
          <cell r="D916">
            <v>31</v>
          </cell>
          <cell r="E916">
            <v>81</v>
          </cell>
          <cell r="F916">
            <v>2.0963955068</v>
          </cell>
          <cell r="G916">
            <v>0</v>
          </cell>
          <cell r="H916">
            <v>1.1602123471000001</v>
          </cell>
          <cell r="I916" t="str">
            <v>Other Household Travel</v>
          </cell>
          <cell r="J916" t="str">
            <v>2032/33</v>
          </cell>
        </row>
        <row r="917">
          <cell r="A917" t="str">
            <v>13 CANTERBURY</v>
          </cell>
          <cell r="B917">
            <v>9</v>
          </cell>
          <cell r="C917">
            <v>2038</v>
          </cell>
          <cell r="D917">
            <v>31</v>
          </cell>
          <cell r="E917">
            <v>81</v>
          </cell>
          <cell r="F917">
            <v>2.1285409460000002</v>
          </cell>
          <cell r="G917">
            <v>0</v>
          </cell>
          <cell r="H917">
            <v>1.1771374241000001</v>
          </cell>
          <cell r="I917" t="str">
            <v>Other Household Travel</v>
          </cell>
          <cell r="J917" t="str">
            <v>2037/38</v>
          </cell>
        </row>
        <row r="918">
          <cell r="A918" t="str">
            <v>13 CANTERBURY</v>
          </cell>
          <cell r="B918">
            <v>9</v>
          </cell>
          <cell r="C918">
            <v>2043</v>
          </cell>
          <cell r="D918">
            <v>31</v>
          </cell>
          <cell r="E918">
            <v>81</v>
          </cell>
          <cell r="F918">
            <v>2.1084795025999998</v>
          </cell>
          <cell r="G918">
            <v>0</v>
          </cell>
          <cell r="H918">
            <v>1.1728690889</v>
          </cell>
          <cell r="I918" t="str">
            <v>Other Household Travel</v>
          </cell>
          <cell r="J918" t="str">
            <v>2042/43</v>
          </cell>
        </row>
        <row r="919">
          <cell r="A919" t="str">
            <v>13 CANTERBURY</v>
          </cell>
          <cell r="B919">
            <v>10</v>
          </cell>
          <cell r="C919">
            <v>2013</v>
          </cell>
          <cell r="D919">
            <v>99</v>
          </cell>
          <cell r="E919">
            <v>124</v>
          </cell>
          <cell r="F919">
            <v>2.4822614922000001</v>
          </cell>
          <cell r="G919">
            <v>66.176348546</v>
          </cell>
          <cell r="H919">
            <v>3.9785271960999999</v>
          </cell>
          <cell r="I919" t="str">
            <v>Air/Non-Local PT</v>
          </cell>
          <cell r="J919" t="str">
            <v>2012/13</v>
          </cell>
        </row>
        <row r="920">
          <cell r="A920" t="str">
            <v>13 CANTERBURY</v>
          </cell>
          <cell r="B920">
            <v>10</v>
          </cell>
          <cell r="C920">
            <v>2018</v>
          </cell>
          <cell r="D920">
            <v>99</v>
          </cell>
          <cell r="E920">
            <v>124</v>
          </cell>
          <cell r="F920">
            <v>2.7763950482999999</v>
          </cell>
          <cell r="G920">
            <v>71.103550307000006</v>
          </cell>
          <cell r="H920">
            <v>4.5704752997</v>
          </cell>
          <cell r="I920" t="str">
            <v>Air/Non-Local PT</v>
          </cell>
          <cell r="J920" t="str">
            <v>2017/18</v>
          </cell>
        </row>
        <row r="921">
          <cell r="A921" t="str">
            <v>13 CANTERBURY</v>
          </cell>
          <cell r="B921">
            <v>10</v>
          </cell>
          <cell r="C921">
            <v>2023</v>
          </cell>
          <cell r="D921">
            <v>99</v>
          </cell>
          <cell r="E921">
            <v>124</v>
          </cell>
          <cell r="F921">
            <v>2.9152517161999998</v>
          </cell>
          <cell r="G921">
            <v>70.658913655999996</v>
          </cell>
          <cell r="H921">
            <v>4.8341272755000002</v>
          </cell>
          <cell r="I921" t="str">
            <v>Air/Non-Local PT</v>
          </cell>
          <cell r="J921" t="str">
            <v>2022/23</v>
          </cell>
        </row>
        <row r="922">
          <cell r="A922" t="str">
            <v>13 CANTERBURY</v>
          </cell>
          <cell r="B922">
            <v>10</v>
          </cell>
          <cell r="C922">
            <v>2028</v>
          </cell>
          <cell r="D922">
            <v>99</v>
          </cell>
          <cell r="E922">
            <v>124</v>
          </cell>
          <cell r="F922">
            <v>3.0960389497</v>
          </cell>
          <cell r="G922">
            <v>75.016132448999997</v>
          </cell>
          <cell r="H922">
            <v>5.2008171137000003</v>
          </cell>
          <cell r="I922" t="str">
            <v>Air/Non-Local PT</v>
          </cell>
          <cell r="J922" t="str">
            <v>2027/28</v>
          </cell>
        </row>
        <row r="923">
          <cell r="A923" t="str">
            <v>13 CANTERBURY</v>
          </cell>
          <cell r="B923">
            <v>10</v>
          </cell>
          <cell r="C923">
            <v>2033</v>
          </cell>
          <cell r="D923">
            <v>99</v>
          </cell>
          <cell r="E923">
            <v>124</v>
          </cell>
          <cell r="F923">
            <v>3.2628613519999998</v>
          </cell>
          <cell r="G923">
            <v>82.028600042999997</v>
          </cell>
          <cell r="H923">
            <v>5.5655830109000002</v>
          </cell>
          <cell r="I923" t="str">
            <v>Air/Non-Local PT</v>
          </cell>
          <cell r="J923" t="str">
            <v>2032/33</v>
          </cell>
        </row>
        <row r="924">
          <cell r="A924" t="str">
            <v>13 CANTERBURY</v>
          </cell>
          <cell r="B924">
            <v>10</v>
          </cell>
          <cell r="C924">
            <v>2038</v>
          </cell>
          <cell r="D924">
            <v>99</v>
          </cell>
          <cell r="E924">
            <v>124</v>
          </cell>
          <cell r="F924">
            <v>3.3637961617999999</v>
          </cell>
          <cell r="G924">
            <v>84.896670338999996</v>
          </cell>
          <cell r="H924">
            <v>5.6982492954000001</v>
          </cell>
          <cell r="I924" t="str">
            <v>Air/Non-Local PT</v>
          </cell>
          <cell r="J924" t="str">
            <v>2037/38</v>
          </cell>
        </row>
        <row r="925">
          <cell r="A925" t="str">
            <v>13 CANTERBURY</v>
          </cell>
          <cell r="B925">
            <v>10</v>
          </cell>
          <cell r="C925">
            <v>2043</v>
          </cell>
          <cell r="D925">
            <v>99</v>
          </cell>
          <cell r="E925">
            <v>124</v>
          </cell>
          <cell r="F925">
            <v>3.4459022863</v>
          </cell>
          <cell r="G925">
            <v>86.644394516000006</v>
          </cell>
          <cell r="H925">
            <v>5.7932757348999999</v>
          </cell>
          <cell r="I925" t="str">
            <v>Air/Non-Local PT</v>
          </cell>
          <cell r="J925" t="str">
            <v>2042/43</v>
          </cell>
        </row>
        <row r="926">
          <cell r="A926" t="str">
            <v>13 CANTERBURY</v>
          </cell>
          <cell r="B926">
            <v>11</v>
          </cell>
          <cell r="C926">
            <v>2013</v>
          </cell>
          <cell r="D926">
            <v>113</v>
          </cell>
          <cell r="E926">
            <v>551</v>
          </cell>
          <cell r="F926">
            <v>9.2459779483000002</v>
          </cell>
          <cell r="G926">
            <v>114.47945472000001</v>
          </cell>
          <cell r="H926">
            <v>3.3743770355999998</v>
          </cell>
          <cell r="I926" t="str">
            <v>Non-Household Travel</v>
          </cell>
          <cell r="J926" t="str">
            <v>2012/13</v>
          </cell>
        </row>
        <row r="927">
          <cell r="A927" t="str">
            <v>13 CANTERBURY</v>
          </cell>
          <cell r="B927">
            <v>11</v>
          </cell>
          <cell r="C927">
            <v>2018</v>
          </cell>
          <cell r="D927">
            <v>113</v>
          </cell>
          <cell r="E927">
            <v>551</v>
          </cell>
          <cell r="F927">
            <v>9.9690298085000002</v>
          </cell>
          <cell r="G927">
            <v>126.20786013999999</v>
          </cell>
          <cell r="H927">
            <v>3.7201628727</v>
          </cell>
          <cell r="I927" t="str">
            <v>Non-Household Travel</v>
          </cell>
          <cell r="J927" t="str">
            <v>2017/18</v>
          </cell>
        </row>
        <row r="928">
          <cell r="A928" t="str">
            <v>13 CANTERBURY</v>
          </cell>
          <cell r="B928">
            <v>11</v>
          </cell>
          <cell r="C928">
            <v>2023</v>
          </cell>
          <cell r="D928">
            <v>113</v>
          </cell>
          <cell r="E928">
            <v>551</v>
          </cell>
          <cell r="F928">
            <v>10.121657722</v>
          </cell>
          <cell r="G928">
            <v>130.85807643000001</v>
          </cell>
          <cell r="H928">
            <v>3.8539138186000002</v>
          </cell>
          <cell r="I928" t="str">
            <v>Non-Household Travel</v>
          </cell>
          <cell r="J928" t="str">
            <v>2022/23</v>
          </cell>
        </row>
        <row r="929">
          <cell r="A929" t="str">
            <v>13 CANTERBURY</v>
          </cell>
          <cell r="B929">
            <v>11</v>
          </cell>
          <cell r="C929">
            <v>2028</v>
          </cell>
          <cell r="D929">
            <v>113</v>
          </cell>
          <cell r="E929">
            <v>551</v>
          </cell>
          <cell r="F929">
            <v>10.417695482999999</v>
          </cell>
          <cell r="G929">
            <v>138.24982621999999</v>
          </cell>
          <cell r="H929">
            <v>4.06060759</v>
          </cell>
          <cell r="I929" t="str">
            <v>Non-Household Travel</v>
          </cell>
          <cell r="J929" t="str">
            <v>2027/28</v>
          </cell>
        </row>
        <row r="930">
          <cell r="A930" t="str">
            <v>13 CANTERBURY</v>
          </cell>
          <cell r="B930">
            <v>11</v>
          </cell>
          <cell r="C930">
            <v>2033</v>
          </cell>
          <cell r="D930">
            <v>113</v>
          </cell>
          <cell r="E930">
            <v>551</v>
          </cell>
          <cell r="F930">
            <v>10.78737789</v>
          </cell>
          <cell r="G930">
            <v>144.71955052999999</v>
          </cell>
          <cell r="H930">
            <v>4.2654470114</v>
          </cell>
          <cell r="I930" t="str">
            <v>Non-Household Travel</v>
          </cell>
          <cell r="J930" t="str">
            <v>2032/33</v>
          </cell>
        </row>
        <row r="931">
          <cell r="A931" t="str">
            <v>13 CANTERBURY</v>
          </cell>
          <cell r="B931">
            <v>11</v>
          </cell>
          <cell r="C931">
            <v>2038</v>
          </cell>
          <cell r="D931">
            <v>113</v>
          </cell>
          <cell r="E931">
            <v>551</v>
          </cell>
          <cell r="F931">
            <v>11.180019143000001</v>
          </cell>
          <cell r="G931">
            <v>148.72936612000001</v>
          </cell>
          <cell r="H931">
            <v>4.3860615726000001</v>
          </cell>
          <cell r="I931" t="str">
            <v>Non-Household Travel</v>
          </cell>
          <cell r="J931" t="str">
            <v>2037/38</v>
          </cell>
        </row>
        <row r="932">
          <cell r="A932" t="str">
            <v>13 CANTERBURY</v>
          </cell>
          <cell r="B932">
            <v>11</v>
          </cell>
          <cell r="C932">
            <v>2043</v>
          </cell>
          <cell r="D932">
            <v>113</v>
          </cell>
          <cell r="E932">
            <v>551</v>
          </cell>
          <cell r="F932">
            <v>11.549569371</v>
          </cell>
          <cell r="G932">
            <v>152.1044259</v>
          </cell>
          <cell r="H932">
            <v>4.4900681496999999</v>
          </cell>
          <cell r="I932" t="str">
            <v>Non-Household Travel</v>
          </cell>
          <cell r="J932" t="str">
            <v>2042/43</v>
          </cell>
        </row>
        <row r="933">
          <cell r="A933" t="str">
            <v>14 OTAGO</v>
          </cell>
          <cell r="B933">
            <v>0</v>
          </cell>
          <cell r="C933">
            <v>2013</v>
          </cell>
          <cell r="D933">
            <v>545</v>
          </cell>
          <cell r="E933">
            <v>2150</v>
          </cell>
          <cell r="F933">
            <v>58.261736425999999</v>
          </cell>
          <cell r="G933">
            <v>45.829100335</v>
          </cell>
          <cell r="H933">
            <v>11.651603939999999</v>
          </cell>
          <cell r="I933" t="str">
            <v>Pedestrian</v>
          </cell>
          <cell r="J933" t="str">
            <v>2012/13</v>
          </cell>
        </row>
        <row r="934">
          <cell r="A934" t="str">
            <v>14 OTAGO</v>
          </cell>
          <cell r="B934">
            <v>0</v>
          </cell>
          <cell r="C934">
            <v>2018</v>
          </cell>
          <cell r="D934">
            <v>545</v>
          </cell>
          <cell r="E934">
            <v>2150</v>
          </cell>
          <cell r="F934">
            <v>58.399550069</v>
          </cell>
          <cell r="G934">
            <v>45.555986341999997</v>
          </cell>
          <cell r="H934">
            <v>11.758384660000001</v>
          </cell>
          <cell r="I934" t="str">
            <v>Pedestrian</v>
          </cell>
          <cell r="J934" t="str">
            <v>2017/18</v>
          </cell>
        </row>
        <row r="935">
          <cell r="A935" t="str">
            <v>14 OTAGO</v>
          </cell>
          <cell r="B935">
            <v>0</v>
          </cell>
          <cell r="C935">
            <v>2023</v>
          </cell>
          <cell r="D935">
            <v>545</v>
          </cell>
          <cell r="E935">
            <v>2150</v>
          </cell>
          <cell r="F935">
            <v>57.869853607000003</v>
          </cell>
          <cell r="G935">
            <v>44.845336727000003</v>
          </cell>
          <cell r="H935">
            <v>11.7176154</v>
          </cell>
          <cell r="I935" t="str">
            <v>Pedestrian</v>
          </cell>
          <cell r="J935" t="str">
            <v>2022/23</v>
          </cell>
        </row>
        <row r="936">
          <cell r="A936" t="str">
            <v>14 OTAGO</v>
          </cell>
          <cell r="B936">
            <v>0</v>
          </cell>
          <cell r="C936">
            <v>2028</v>
          </cell>
          <cell r="D936">
            <v>545</v>
          </cell>
          <cell r="E936">
            <v>2150</v>
          </cell>
          <cell r="F936">
            <v>57.315406877000001</v>
          </cell>
          <cell r="G936">
            <v>44.129299181</v>
          </cell>
          <cell r="H936">
            <v>11.697498669</v>
          </cell>
          <cell r="I936" t="str">
            <v>Pedestrian</v>
          </cell>
          <cell r="J936" t="str">
            <v>2027/28</v>
          </cell>
        </row>
        <row r="937">
          <cell r="A937" t="str">
            <v>14 OTAGO</v>
          </cell>
          <cell r="B937">
            <v>0</v>
          </cell>
          <cell r="C937">
            <v>2033</v>
          </cell>
          <cell r="D937">
            <v>545</v>
          </cell>
          <cell r="E937">
            <v>2150</v>
          </cell>
          <cell r="F937">
            <v>56.647576256000001</v>
          </cell>
          <cell r="G937">
            <v>43.299871373000002</v>
          </cell>
          <cell r="H937">
            <v>11.631373774</v>
          </cell>
          <cell r="I937" t="str">
            <v>Pedestrian</v>
          </cell>
          <cell r="J937" t="str">
            <v>2032/33</v>
          </cell>
        </row>
        <row r="938">
          <cell r="A938" t="str">
            <v>14 OTAGO</v>
          </cell>
          <cell r="B938">
            <v>0</v>
          </cell>
          <cell r="C938">
            <v>2038</v>
          </cell>
          <cell r="D938">
            <v>545</v>
          </cell>
          <cell r="E938">
            <v>2150</v>
          </cell>
          <cell r="F938">
            <v>55.296365457</v>
          </cell>
          <cell r="G938">
            <v>42.289980018000001</v>
          </cell>
          <cell r="H938">
            <v>11.484434583000001</v>
          </cell>
          <cell r="I938" t="str">
            <v>Pedestrian</v>
          </cell>
          <cell r="J938" t="str">
            <v>2037/38</v>
          </cell>
        </row>
        <row r="939">
          <cell r="A939" t="str">
            <v>14 OTAGO</v>
          </cell>
          <cell r="B939">
            <v>0</v>
          </cell>
          <cell r="C939">
            <v>2043</v>
          </cell>
          <cell r="D939">
            <v>545</v>
          </cell>
          <cell r="E939">
            <v>2150</v>
          </cell>
          <cell r="F939">
            <v>54.010862269999997</v>
          </cell>
          <cell r="G939">
            <v>41.397382225999998</v>
          </cell>
          <cell r="H939">
            <v>11.361074028999999</v>
          </cell>
          <cell r="I939" t="str">
            <v>Pedestrian</v>
          </cell>
          <cell r="J939" t="str">
            <v>2042/43</v>
          </cell>
        </row>
        <row r="940">
          <cell r="A940" t="str">
            <v>14 OTAGO</v>
          </cell>
          <cell r="B940">
            <v>1</v>
          </cell>
          <cell r="C940">
            <v>2013</v>
          </cell>
          <cell r="D940">
            <v>52</v>
          </cell>
          <cell r="E940">
            <v>151</v>
          </cell>
          <cell r="F940">
            <v>4.5847179276999999</v>
          </cell>
          <cell r="G940">
            <v>16.325352069000001</v>
          </cell>
          <cell r="H940">
            <v>1.6089304994</v>
          </cell>
          <cell r="I940" t="str">
            <v>Cyclist</v>
          </cell>
          <cell r="J940" t="str">
            <v>2012/13</v>
          </cell>
        </row>
        <row r="941">
          <cell r="A941" t="str">
            <v>14 OTAGO</v>
          </cell>
          <cell r="B941">
            <v>1</v>
          </cell>
          <cell r="C941">
            <v>2018</v>
          </cell>
          <cell r="D941">
            <v>52</v>
          </cell>
          <cell r="E941">
            <v>151</v>
          </cell>
          <cell r="F941">
            <v>4.6756519179999998</v>
          </cell>
          <cell r="G941">
            <v>17.73033062</v>
          </cell>
          <cell r="H941">
            <v>1.7152031285</v>
          </cell>
          <cell r="I941" t="str">
            <v>Cyclist</v>
          </cell>
          <cell r="J941" t="str">
            <v>2017/18</v>
          </cell>
        </row>
        <row r="942">
          <cell r="A942" t="str">
            <v>14 OTAGO</v>
          </cell>
          <cell r="B942">
            <v>1</v>
          </cell>
          <cell r="C942">
            <v>2023</v>
          </cell>
          <cell r="D942">
            <v>52</v>
          </cell>
          <cell r="E942">
            <v>151</v>
          </cell>
          <cell r="F942">
            <v>4.6405959529</v>
          </cell>
          <cell r="G942">
            <v>18.489044850999999</v>
          </cell>
          <cell r="H942">
            <v>1.7643427628999999</v>
          </cell>
          <cell r="I942" t="str">
            <v>Cyclist</v>
          </cell>
          <cell r="J942" t="str">
            <v>2022/23</v>
          </cell>
        </row>
        <row r="943">
          <cell r="A943" t="str">
            <v>14 OTAGO</v>
          </cell>
          <cell r="B943">
            <v>1</v>
          </cell>
          <cell r="C943">
            <v>2028</v>
          </cell>
          <cell r="D943">
            <v>52</v>
          </cell>
          <cell r="E943">
            <v>151</v>
          </cell>
          <cell r="F943">
            <v>4.4864427367999999</v>
          </cell>
          <cell r="G943">
            <v>18.720691483</v>
          </cell>
          <cell r="H943">
            <v>1.7522984483999999</v>
          </cell>
          <cell r="I943" t="str">
            <v>Cyclist</v>
          </cell>
          <cell r="J943" t="str">
            <v>2027/28</v>
          </cell>
        </row>
        <row r="944">
          <cell r="A944" t="str">
            <v>14 OTAGO</v>
          </cell>
          <cell r="B944">
            <v>1</v>
          </cell>
          <cell r="C944">
            <v>2033</v>
          </cell>
          <cell r="D944">
            <v>52</v>
          </cell>
          <cell r="E944">
            <v>151</v>
          </cell>
          <cell r="F944">
            <v>4.4104717837000003</v>
          </cell>
          <cell r="G944">
            <v>18.83940153</v>
          </cell>
          <cell r="H944">
            <v>1.7488423435</v>
          </cell>
          <cell r="I944" t="str">
            <v>Cyclist</v>
          </cell>
          <cell r="J944" t="str">
            <v>2032/33</v>
          </cell>
        </row>
        <row r="945">
          <cell r="A945" t="str">
            <v>14 OTAGO</v>
          </cell>
          <cell r="B945">
            <v>1</v>
          </cell>
          <cell r="C945">
            <v>2038</v>
          </cell>
          <cell r="D945">
            <v>52</v>
          </cell>
          <cell r="E945">
            <v>151</v>
          </cell>
          <cell r="F945">
            <v>4.3822035199</v>
          </cell>
          <cell r="G945">
            <v>19.006347539</v>
          </cell>
          <cell r="H945">
            <v>1.7659083202000001</v>
          </cell>
          <cell r="I945" t="str">
            <v>Cyclist</v>
          </cell>
          <cell r="J945" t="str">
            <v>2037/38</v>
          </cell>
        </row>
        <row r="946">
          <cell r="A946" t="str">
            <v>14 OTAGO</v>
          </cell>
          <cell r="B946">
            <v>1</v>
          </cell>
          <cell r="C946">
            <v>2043</v>
          </cell>
          <cell r="D946">
            <v>52</v>
          </cell>
          <cell r="E946">
            <v>151</v>
          </cell>
          <cell r="F946">
            <v>4.3313108607000004</v>
          </cell>
          <cell r="G946">
            <v>19.095822775999999</v>
          </cell>
          <cell r="H946">
            <v>1.778792095</v>
          </cell>
          <cell r="I946" t="str">
            <v>Cyclist</v>
          </cell>
          <cell r="J946" t="str">
            <v>2042/43</v>
          </cell>
        </row>
        <row r="947">
          <cell r="A947" t="str">
            <v>14 OTAGO</v>
          </cell>
          <cell r="B947">
            <v>2</v>
          </cell>
          <cell r="C947">
            <v>2013</v>
          </cell>
          <cell r="D947">
            <v>734</v>
          </cell>
          <cell r="E947">
            <v>5488</v>
          </cell>
          <cell r="F947">
            <v>150.49144967999999</v>
          </cell>
          <cell r="G947">
            <v>1192.1699989000001</v>
          </cell>
          <cell r="H947">
            <v>32.522387277</v>
          </cell>
          <cell r="I947" t="str">
            <v>Light Vehicle Driver</v>
          </cell>
          <cell r="J947" t="str">
            <v>2012/13</v>
          </cell>
        </row>
        <row r="948">
          <cell r="A948" t="str">
            <v>14 OTAGO</v>
          </cell>
          <cell r="B948">
            <v>2</v>
          </cell>
          <cell r="C948">
            <v>2018</v>
          </cell>
          <cell r="D948">
            <v>734</v>
          </cell>
          <cell r="E948">
            <v>5488</v>
          </cell>
          <cell r="F948">
            <v>154.06958877</v>
          </cell>
          <cell r="G948">
            <v>1255.9525262</v>
          </cell>
          <cell r="H948">
            <v>33.859180950999999</v>
          </cell>
          <cell r="I948" t="str">
            <v>Light Vehicle Driver</v>
          </cell>
          <cell r="J948" t="str">
            <v>2017/18</v>
          </cell>
        </row>
        <row r="949">
          <cell r="A949" t="str">
            <v>14 OTAGO</v>
          </cell>
          <cell r="B949">
            <v>2</v>
          </cell>
          <cell r="C949">
            <v>2023</v>
          </cell>
          <cell r="D949">
            <v>734</v>
          </cell>
          <cell r="E949">
            <v>5488</v>
          </cell>
          <cell r="F949">
            <v>156.14662668</v>
          </cell>
          <cell r="G949">
            <v>1299.6365043000001</v>
          </cell>
          <cell r="H949">
            <v>34.711763513000001</v>
          </cell>
          <cell r="I949" t="str">
            <v>Light Vehicle Driver</v>
          </cell>
          <cell r="J949" t="str">
            <v>2022/23</v>
          </cell>
        </row>
        <row r="950">
          <cell r="A950" t="str">
            <v>14 OTAGO</v>
          </cell>
          <cell r="B950">
            <v>2</v>
          </cell>
          <cell r="C950">
            <v>2028</v>
          </cell>
          <cell r="D950">
            <v>734</v>
          </cell>
          <cell r="E950">
            <v>5488</v>
          </cell>
          <cell r="F950">
            <v>160.54822317</v>
          </cell>
          <cell r="G950">
            <v>1354.9764213000001</v>
          </cell>
          <cell r="H950">
            <v>35.963697607999997</v>
          </cell>
          <cell r="I950" t="str">
            <v>Light Vehicle Driver</v>
          </cell>
          <cell r="J950" t="str">
            <v>2027/28</v>
          </cell>
        </row>
        <row r="951">
          <cell r="A951" t="str">
            <v>14 OTAGO</v>
          </cell>
          <cell r="B951">
            <v>2</v>
          </cell>
          <cell r="C951">
            <v>2033</v>
          </cell>
          <cell r="D951">
            <v>734</v>
          </cell>
          <cell r="E951">
            <v>5488</v>
          </cell>
          <cell r="F951">
            <v>163.89833879</v>
          </cell>
          <cell r="G951">
            <v>1407.6386468999999</v>
          </cell>
          <cell r="H951">
            <v>37.045879835999997</v>
          </cell>
          <cell r="I951" t="str">
            <v>Light Vehicle Driver</v>
          </cell>
          <cell r="J951" t="str">
            <v>2032/33</v>
          </cell>
        </row>
        <row r="952">
          <cell r="A952" t="str">
            <v>14 OTAGO</v>
          </cell>
          <cell r="B952">
            <v>2</v>
          </cell>
          <cell r="C952">
            <v>2038</v>
          </cell>
          <cell r="D952">
            <v>734</v>
          </cell>
          <cell r="E952">
            <v>5488</v>
          </cell>
          <cell r="F952">
            <v>163.97062295999999</v>
          </cell>
          <cell r="G952">
            <v>1451.5562854</v>
          </cell>
          <cell r="H952">
            <v>37.670587916999999</v>
          </cell>
          <cell r="I952" t="str">
            <v>Light Vehicle Driver</v>
          </cell>
          <cell r="J952" t="str">
            <v>2037/38</v>
          </cell>
        </row>
        <row r="953">
          <cell r="A953" t="str">
            <v>14 OTAGO</v>
          </cell>
          <cell r="B953">
            <v>2</v>
          </cell>
          <cell r="C953">
            <v>2043</v>
          </cell>
          <cell r="D953">
            <v>734</v>
          </cell>
          <cell r="E953">
            <v>5488</v>
          </cell>
          <cell r="F953">
            <v>163.47485639000001</v>
          </cell>
          <cell r="G953">
            <v>1495.7831358000001</v>
          </cell>
          <cell r="H953">
            <v>38.216697154999999</v>
          </cell>
          <cell r="I953" t="str">
            <v>Light Vehicle Driver</v>
          </cell>
          <cell r="J953" t="str">
            <v>2042/43</v>
          </cell>
        </row>
        <row r="954">
          <cell r="A954" t="str">
            <v>14 OTAGO</v>
          </cell>
          <cell r="B954">
            <v>3</v>
          </cell>
          <cell r="C954">
            <v>2013</v>
          </cell>
          <cell r="D954">
            <v>543</v>
          </cell>
          <cell r="E954">
            <v>2595</v>
          </cell>
          <cell r="F954">
            <v>71.232164202000007</v>
          </cell>
          <cell r="G954">
            <v>849.31688999999994</v>
          </cell>
          <cell r="H954">
            <v>19.901766343999999</v>
          </cell>
          <cell r="I954" t="str">
            <v>Light Vehicle Passenger</v>
          </cell>
          <cell r="J954" t="str">
            <v>2012/13</v>
          </cell>
        </row>
        <row r="955">
          <cell r="A955" t="str">
            <v>14 OTAGO</v>
          </cell>
          <cell r="B955">
            <v>3</v>
          </cell>
          <cell r="C955">
            <v>2018</v>
          </cell>
          <cell r="D955">
            <v>543</v>
          </cell>
          <cell r="E955">
            <v>2595</v>
          </cell>
          <cell r="F955">
            <v>70.097743003000005</v>
          </cell>
          <cell r="G955">
            <v>861.75878091000004</v>
          </cell>
          <cell r="H955">
            <v>19.987106318999999</v>
          </cell>
          <cell r="I955" t="str">
            <v>Light Vehicle Passenger</v>
          </cell>
          <cell r="J955" t="str">
            <v>2017/18</v>
          </cell>
        </row>
        <row r="956">
          <cell r="A956" t="str">
            <v>14 OTAGO</v>
          </cell>
          <cell r="B956">
            <v>3</v>
          </cell>
          <cell r="C956">
            <v>2023</v>
          </cell>
          <cell r="D956">
            <v>543</v>
          </cell>
          <cell r="E956">
            <v>2595</v>
          </cell>
          <cell r="F956">
            <v>68.808064856000001</v>
          </cell>
          <cell r="G956">
            <v>861.43878566000001</v>
          </cell>
          <cell r="H956">
            <v>19.851116201</v>
          </cell>
          <cell r="I956" t="str">
            <v>Light Vehicle Passenger</v>
          </cell>
          <cell r="J956" t="str">
            <v>2022/23</v>
          </cell>
        </row>
        <row r="957">
          <cell r="A957" t="str">
            <v>14 OTAGO</v>
          </cell>
          <cell r="B957">
            <v>3</v>
          </cell>
          <cell r="C957">
            <v>2028</v>
          </cell>
          <cell r="D957">
            <v>543</v>
          </cell>
          <cell r="E957">
            <v>2595</v>
          </cell>
          <cell r="F957">
            <v>67.709549449999997</v>
          </cell>
          <cell r="G957">
            <v>868.68491769000002</v>
          </cell>
          <cell r="H957">
            <v>19.839399728</v>
          </cell>
          <cell r="I957" t="str">
            <v>Light Vehicle Passenger</v>
          </cell>
          <cell r="J957" t="str">
            <v>2027/28</v>
          </cell>
        </row>
        <row r="958">
          <cell r="A958" t="str">
            <v>14 OTAGO</v>
          </cell>
          <cell r="B958">
            <v>3</v>
          </cell>
          <cell r="C958">
            <v>2033</v>
          </cell>
          <cell r="D958">
            <v>543</v>
          </cell>
          <cell r="E958">
            <v>2595</v>
          </cell>
          <cell r="F958">
            <v>66.792101639999998</v>
          </cell>
          <cell r="G958">
            <v>864.24702822999996</v>
          </cell>
          <cell r="H958">
            <v>19.627047925999999</v>
          </cell>
          <cell r="I958" t="str">
            <v>Light Vehicle Passenger</v>
          </cell>
          <cell r="J958" t="str">
            <v>2032/33</v>
          </cell>
        </row>
        <row r="959">
          <cell r="A959" t="str">
            <v>14 OTAGO</v>
          </cell>
          <cell r="B959">
            <v>3</v>
          </cell>
          <cell r="C959">
            <v>2038</v>
          </cell>
          <cell r="D959">
            <v>543</v>
          </cell>
          <cell r="E959">
            <v>2595</v>
          </cell>
          <cell r="F959">
            <v>65.273197816999996</v>
          </cell>
          <cell r="G959">
            <v>861.11575968</v>
          </cell>
          <cell r="H959">
            <v>19.457236610999999</v>
          </cell>
          <cell r="I959" t="str">
            <v>Light Vehicle Passenger</v>
          </cell>
          <cell r="J959" t="str">
            <v>2037/38</v>
          </cell>
        </row>
        <row r="960">
          <cell r="A960" t="str">
            <v>14 OTAGO</v>
          </cell>
          <cell r="B960">
            <v>3</v>
          </cell>
          <cell r="C960">
            <v>2043</v>
          </cell>
          <cell r="D960">
            <v>543</v>
          </cell>
          <cell r="E960">
            <v>2595</v>
          </cell>
          <cell r="F960">
            <v>63.584000590000002</v>
          </cell>
          <cell r="G960">
            <v>857.34534384000006</v>
          </cell>
          <cell r="H960">
            <v>19.256775448999999</v>
          </cell>
          <cell r="I960" t="str">
            <v>Light Vehicle Passenger</v>
          </cell>
          <cell r="J960" t="str">
            <v>2042/43</v>
          </cell>
        </row>
        <row r="961">
          <cell r="A961" t="str">
            <v>14 OTAGO</v>
          </cell>
          <cell r="B961">
            <v>4</v>
          </cell>
          <cell r="C961">
            <v>2013</v>
          </cell>
          <cell r="D961">
            <v>21</v>
          </cell>
          <cell r="E961">
            <v>36</v>
          </cell>
          <cell r="F961">
            <v>0.85820748670000002</v>
          </cell>
          <cell r="G961">
            <v>7.2892681777000004</v>
          </cell>
          <cell r="H961">
            <v>0.23496676969999999</v>
          </cell>
          <cell r="J961" t="str">
            <v>2012/13</v>
          </cell>
        </row>
        <row r="962">
          <cell r="A962" t="str">
            <v>14 OTAGO</v>
          </cell>
          <cell r="B962">
            <v>4</v>
          </cell>
          <cell r="C962">
            <v>2018</v>
          </cell>
          <cell r="D962">
            <v>21</v>
          </cell>
          <cell r="E962">
            <v>36</v>
          </cell>
          <cell r="F962">
            <v>0.84517777959999996</v>
          </cell>
          <cell r="G962">
            <v>7.1614835343000003</v>
          </cell>
          <cell r="H962">
            <v>0.232872627</v>
          </cell>
          <cell r="J962" t="str">
            <v>2017/18</v>
          </cell>
        </row>
        <row r="963">
          <cell r="A963" t="str">
            <v>14 OTAGO</v>
          </cell>
          <cell r="B963">
            <v>4</v>
          </cell>
          <cell r="C963">
            <v>2023</v>
          </cell>
          <cell r="D963">
            <v>21</v>
          </cell>
          <cell r="E963">
            <v>36</v>
          </cell>
          <cell r="F963">
            <v>0.8174161311</v>
          </cell>
          <cell r="G963">
            <v>7.1263790611999998</v>
          </cell>
          <cell r="H963">
            <v>0.2338044655</v>
          </cell>
          <cell r="J963" t="str">
            <v>2022/23</v>
          </cell>
        </row>
        <row r="964">
          <cell r="A964" t="str">
            <v>14 OTAGO</v>
          </cell>
          <cell r="B964">
            <v>4</v>
          </cell>
          <cell r="C964">
            <v>2028</v>
          </cell>
          <cell r="D964">
            <v>21</v>
          </cell>
          <cell r="E964">
            <v>36</v>
          </cell>
          <cell r="F964">
            <v>0.80638240490000002</v>
          </cell>
          <cell r="G964">
            <v>7.0656179358999998</v>
          </cell>
          <cell r="H964">
            <v>0.23332802480000001</v>
          </cell>
          <cell r="J964" t="str">
            <v>2027/28</v>
          </cell>
        </row>
        <row r="965">
          <cell r="A965" t="str">
            <v>14 OTAGO</v>
          </cell>
          <cell r="B965">
            <v>4</v>
          </cell>
          <cell r="C965">
            <v>2033</v>
          </cell>
          <cell r="D965">
            <v>21</v>
          </cell>
          <cell r="E965">
            <v>36</v>
          </cell>
          <cell r="F965">
            <v>0.80308993309999999</v>
          </cell>
          <cell r="G965">
            <v>7.0499637358999996</v>
          </cell>
          <cell r="H965">
            <v>0.23336042800000001</v>
          </cell>
          <cell r="J965" t="str">
            <v>2032/33</v>
          </cell>
        </row>
        <row r="966">
          <cell r="A966" t="str">
            <v>14 OTAGO</v>
          </cell>
          <cell r="B966">
            <v>4</v>
          </cell>
          <cell r="C966">
            <v>2038</v>
          </cell>
          <cell r="D966">
            <v>21</v>
          </cell>
          <cell r="E966">
            <v>36</v>
          </cell>
          <cell r="F966">
            <v>0.75440099650000003</v>
          </cell>
          <cell r="G966">
            <v>6.6551843886000004</v>
          </cell>
          <cell r="H966">
            <v>0.22102028979999999</v>
          </cell>
          <cell r="J966" t="str">
            <v>2037/38</v>
          </cell>
        </row>
        <row r="967">
          <cell r="A967" t="str">
            <v>14 OTAGO</v>
          </cell>
          <cell r="B967">
            <v>4</v>
          </cell>
          <cell r="C967">
            <v>2043</v>
          </cell>
          <cell r="D967">
            <v>21</v>
          </cell>
          <cell r="E967">
            <v>36</v>
          </cell>
          <cell r="F967">
            <v>0.70172077150000001</v>
          </cell>
          <cell r="G967">
            <v>6.2107039427000004</v>
          </cell>
          <cell r="H967">
            <v>0.2065213052</v>
          </cell>
          <cell r="J967" t="str">
            <v>2042/43</v>
          </cell>
        </row>
        <row r="968">
          <cell r="A968" t="str">
            <v>14 OTAGO</v>
          </cell>
          <cell r="B968">
            <v>5</v>
          </cell>
          <cell r="C968">
            <v>2013</v>
          </cell>
          <cell r="D968">
            <v>12</v>
          </cell>
          <cell r="E968">
            <v>57</v>
          </cell>
          <cell r="F968">
            <v>2.0937246197000001</v>
          </cell>
          <cell r="G968">
            <v>18.503357486999999</v>
          </cell>
          <cell r="H968">
            <v>0.42545310469999997</v>
          </cell>
          <cell r="I968" t="str">
            <v>Motorcyclist</v>
          </cell>
          <cell r="J968" t="str">
            <v>2012/13</v>
          </cell>
        </row>
        <row r="969">
          <cell r="A969" t="str">
            <v>14 OTAGO</v>
          </cell>
          <cell r="B969">
            <v>5</v>
          </cell>
          <cell r="C969">
            <v>2018</v>
          </cell>
          <cell r="D969">
            <v>12</v>
          </cell>
          <cell r="E969">
            <v>57</v>
          </cell>
          <cell r="F969">
            <v>2.1317228518000002</v>
          </cell>
          <cell r="G969">
            <v>20.029179084999999</v>
          </cell>
          <cell r="H969">
            <v>0.4483653239</v>
          </cell>
          <cell r="I969" t="str">
            <v>Motorcyclist</v>
          </cell>
          <cell r="J969" t="str">
            <v>2017/18</v>
          </cell>
        </row>
        <row r="970">
          <cell r="A970" t="str">
            <v>14 OTAGO</v>
          </cell>
          <cell r="B970">
            <v>5</v>
          </cell>
          <cell r="C970">
            <v>2023</v>
          </cell>
          <cell r="D970">
            <v>12</v>
          </cell>
          <cell r="E970">
            <v>57</v>
          </cell>
          <cell r="F970">
            <v>2.0779205309000002</v>
          </cell>
          <cell r="G970">
            <v>20.810711333</v>
          </cell>
          <cell r="H970">
            <v>0.45441215769999999</v>
          </cell>
          <cell r="I970" t="str">
            <v>Motorcyclist</v>
          </cell>
          <cell r="J970" t="str">
            <v>2022/23</v>
          </cell>
        </row>
        <row r="971">
          <cell r="A971" t="str">
            <v>14 OTAGO</v>
          </cell>
          <cell r="B971">
            <v>5</v>
          </cell>
          <cell r="C971">
            <v>2028</v>
          </cell>
          <cell r="D971">
            <v>12</v>
          </cell>
          <cell r="E971">
            <v>57</v>
          </cell>
          <cell r="F971">
            <v>2.0121532861000002</v>
          </cell>
          <cell r="G971">
            <v>21.738464022999999</v>
          </cell>
          <cell r="H971">
            <v>0.46299173389999998</v>
          </cell>
          <cell r="I971" t="str">
            <v>Motorcyclist</v>
          </cell>
          <cell r="J971" t="str">
            <v>2027/28</v>
          </cell>
        </row>
        <row r="972">
          <cell r="A972" t="str">
            <v>14 OTAGO</v>
          </cell>
          <cell r="B972">
            <v>5</v>
          </cell>
          <cell r="C972">
            <v>2033</v>
          </cell>
          <cell r="D972">
            <v>12</v>
          </cell>
          <cell r="E972">
            <v>57</v>
          </cell>
          <cell r="F972">
            <v>1.8890060949</v>
          </cell>
          <cell r="G972">
            <v>22.027541693</v>
          </cell>
          <cell r="H972">
            <v>0.46033657350000001</v>
          </cell>
          <cell r="I972" t="str">
            <v>Motorcyclist</v>
          </cell>
          <cell r="J972" t="str">
            <v>2032/33</v>
          </cell>
        </row>
        <row r="973">
          <cell r="A973" t="str">
            <v>14 OTAGO</v>
          </cell>
          <cell r="B973">
            <v>5</v>
          </cell>
          <cell r="C973">
            <v>2038</v>
          </cell>
          <cell r="D973">
            <v>12</v>
          </cell>
          <cell r="E973">
            <v>57</v>
          </cell>
          <cell r="F973">
            <v>1.7327841992999999</v>
          </cell>
          <cell r="G973">
            <v>21.545078026999999</v>
          </cell>
          <cell r="H973">
            <v>0.44490873279999998</v>
          </cell>
          <cell r="I973" t="str">
            <v>Motorcyclist</v>
          </cell>
          <cell r="J973" t="str">
            <v>2037/38</v>
          </cell>
        </row>
        <row r="974">
          <cell r="A974" t="str">
            <v>14 OTAGO</v>
          </cell>
          <cell r="B974">
            <v>5</v>
          </cell>
          <cell r="C974">
            <v>2043</v>
          </cell>
          <cell r="D974">
            <v>12</v>
          </cell>
          <cell r="E974">
            <v>57</v>
          </cell>
          <cell r="F974">
            <v>1.5760467905</v>
          </cell>
          <cell r="G974">
            <v>20.945182564</v>
          </cell>
          <cell r="H974">
            <v>0.42725955630000001</v>
          </cell>
          <cell r="I974" t="str">
            <v>Motorcyclist</v>
          </cell>
          <cell r="J974" t="str">
            <v>2042/43</v>
          </cell>
        </row>
        <row r="975">
          <cell r="A975" t="str">
            <v>14 OTAGO</v>
          </cell>
          <cell r="B975">
            <v>7</v>
          </cell>
          <cell r="C975">
            <v>2013</v>
          </cell>
          <cell r="D975">
            <v>70</v>
          </cell>
          <cell r="E975">
            <v>148</v>
          </cell>
          <cell r="F975">
            <v>4.2627057848999996</v>
          </cell>
          <cell r="G975">
            <v>27.157477096000001</v>
          </cell>
          <cell r="H975">
            <v>1.347401772</v>
          </cell>
          <cell r="I975" t="str">
            <v>Local Bus</v>
          </cell>
          <cell r="J975" t="str">
            <v>2012/13</v>
          </cell>
        </row>
        <row r="976">
          <cell r="A976" t="str">
            <v>14 OTAGO</v>
          </cell>
          <cell r="B976">
            <v>7</v>
          </cell>
          <cell r="C976">
            <v>2018</v>
          </cell>
          <cell r="D976">
            <v>70</v>
          </cell>
          <cell r="E976">
            <v>148</v>
          </cell>
          <cell r="F976">
            <v>4.0484617910000003</v>
          </cell>
          <cell r="G976">
            <v>26.640789095999999</v>
          </cell>
          <cell r="H976">
            <v>1.2900961945</v>
          </cell>
          <cell r="I976" t="str">
            <v>Local Bus</v>
          </cell>
          <cell r="J976" t="str">
            <v>2017/18</v>
          </cell>
        </row>
        <row r="977">
          <cell r="A977" t="str">
            <v>14 OTAGO</v>
          </cell>
          <cell r="B977">
            <v>7</v>
          </cell>
          <cell r="C977">
            <v>2023</v>
          </cell>
          <cell r="D977">
            <v>70</v>
          </cell>
          <cell r="E977">
            <v>148</v>
          </cell>
          <cell r="F977">
            <v>3.8607801174</v>
          </cell>
          <cell r="G977">
            <v>26.226807336</v>
          </cell>
          <cell r="H977">
            <v>1.2436842792</v>
          </cell>
          <cell r="I977" t="str">
            <v>Local Bus</v>
          </cell>
          <cell r="J977" t="str">
            <v>2022/23</v>
          </cell>
        </row>
        <row r="978">
          <cell r="A978" t="str">
            <v>14 OTAGO</v>
          </cell>
          <cell r="B978">
            <v>7</v>
          </cell>
          <cell r="C978">
            <v>2028</v>
          </cell>
          <cell r="D978">
            <v>70</v>
          </cell>
          <cell r="E978">
            <v>148</v>
          </cell>
          <cell r="F978">
            <v>3.6869357593999998</v>
          </cell>
          <cell r="G978">
            <v>25.534304313</v>
          </cell>
          <cell r="H978">
            <v>1.1903317034000001</v>
          </cell>
          <cell r="I978" t="str">
            <v>Local Bus</v>
          </cell>
          <cell r="J978" t="str">
            <v>2027/28</v>
          </cell>
        </row>
        <row r="979">
          <cell r="A979" t="str">
            <v>14 OTAGO</v>
          </cell>
          <cell r="B979">
            <v>7</v>
          </cell>
          <cell r="C979">
            <v>2033</v>
          </cell>
          <cell r="D979">
            <v>70</v>
          </cell>
          <cell r="E979">
            <v>148</v>
          </cell>
          <cell r="F979">
            <v>3.5434761765</v>
          </cell>
          <cell r="G979">
            <v>24.690783295999999</v>
          </cell>
          <cell r="H979">
            <v>1.1413124115</v>
          </cell>
          <cell r="I979" t="str">
            <v>Local Bus</v>
          </cell>
          <cell r="J979" t="str">
            <v>2032/33</v>
          </cell>
        </row>
        <row r="980">
          <cell r="A980" t="str">
            <v>14 OTAGO</v>
          </cell>
          <cell r="B980">
            <v>7</v>
          </cell>
          <cell r="C980">
            <v>2038</v>
          </cell>
          <cell r="D980">
            <v>70</v>
          </cell>
          <cell r="E980">
            <v>148</v>
          </cell>
          <cell r="F980">
            <v>3.3237590398000001</v>
          </cell>
          <cell r="G980">
            <v>23.186410860999999</v>
          </cell>
          <cell r="H980">
            <v>1.0718506929</v>
          </cell>
          <cell r="I980" t="str">
            <v>Local Bus</v>
          </cell>
          <cell r="J980" t="str">
            <v>2037/38</v>
          </cell>
        </row>
        <row r="981">
          <cell r="A981" t="str">
            <v>14 OTAGO</v>
          </cell>
          <cell r="B981">
            <v>7</v>
          </cell>
          <cell r="C981">
            <v>2043</v>
          </cell>
          <cell r="D981">
            <v>70</v>
          </cell>
          <cell r="E981">
            <v>148</v>
          </cell>
          <cell r="F981">
            <v>3.1055821776000001</v>
          </cell>
          <cell r="G981">
            <v>21.680179902999999</v>
          </cell>
          <cell r="H981">
            <v>1.0035783852</v>
          </cell>
          <cell r="I981" t="str">
            <v>Local Bus</v>
          </cell>
          <cell r="J981" t="str">
            <v>2042/43</v>
          </cell>
        </row>
        <row r="982">
          <cell r="A982" t="str">
            <v>14 OTAGO</v>
          </cell>
          <cell r="B982">
            <v>9</v>
          </cell>
          <cell r="C982">
            <v>2013</v>
          </cell>
          <cell r="D982">
            <v>11</v>
          </cell>
          <cell r="E982">
            <v>38</v>
          </cell>
          <cell r="F982">
            <v>0.77539158779999995</v>
          </cell>
          <cell r="G982">
            <v>0</v>
          </cell>
          <cell r="H982">
            <v>0.25154479130000001</v>
          </cell>
          <cell r="I982" t="str">
            <v>Other Household Travel</v>
          </cell>
          <cell r="J982" t="str">
            <v>2012/13</v>
          </cell>
        </row>
        <row r="983">
          <cell r="A983" t="str">
            <v>14 OTAGO</v>
          </cell>
          <cell r="B983">
            <v>9</v>
          </cell>
          <cell r="C983">
            <v>2018</v>
          </cell>
          <cell r="D983">
            <v>11</v>
          </cell>
          <cell r="E983">
            <v>38</v>
          </cell>
          <cell r="F983">
            <v>0.80259287879999996</v>
          </cell>
          <cell r="G983">
            <v>0</v>
          </cell>
          <cell r="H983">
            <v>0.2702658382</v>
          </cell>
          <cell r="I983" t="str">
            <v>Other Household Travel</v>
          </cell>
          <cell r="J983" t="str">
            <v>2017/18</v>
          </cell>
        </row>
        <row r="984">
          <cell r="A984" t="str">
            <v>14 OTAGO</v>
          </cell>
          <cell r="B984">
            <v>9</v>
          </cell>
          <cell r="C984">
            <v>2023</v>
          </cell>
          <cell r="D984">
            <v>11</v>
          </cell>
          <cell r="E984">
            <v>38</v>
          </cell>
          <cell r="F984">
            <v>0.82863269260000005</v>
          </cell>
          <cell r="G984">
            <v>0</v>
          </cell>
          <cell r="H984">
            <v>0.28511958729999998</v>
          </cell>
          <cell r="I984" t="str">
            <v>Other Household Travel</v>
          </cell>
          <cell r="J984" t="str">
            <v>2022/23</v>
          </cell>
        </row>
        <row r="985">
          <cell r="A985" t="str">
            <v>14 OTAGO</v>
          </cell>
          <cell r="B985">
            <v>9</v>
          </cell>
          <cell r="C985">
            <v>2028</v>
          </cell>
          <cell r="D985">
            <v>11</v>
          </cell>
          <cell r="E985">
            <v>38</v>
          </cell>
          <cell r="F985">
            <v>0.80969802790000001</v>
          </cell>
          <cell r="G985">
            <v>0</v>
          </cell>
          <cell r="H985">
            <v>0.28830048559999999</v>
          </cell>
          <cell r="I985" t="str">
            <v>Other Household Travel</v>
          </cell>
          <cell r="J985" t="str">
            <v>2027/28</v>
          </cell>
        </row>
        <row r="986">
          <cell r="A986" t="str">
            <v>14 OTAGO</v>
          </cell>
          <cell r="B986">
            <v>9</v>
          </cell>
          <cell r="C986">
            <v>2033</v>
          </cell>
          <cell r="D986">
            <v>11</v>
          </cell>
          <cell r="E986">
            <v>38</v>
          </cell>
          <cell r="F986">
            <v>0.76624665739999998</v>
          </cell>
          <cell r="G986">
            <v>0</v>
          </cell>
          <cell r="H986">
            <v>0.2854091117</v>
          </cell>
          <cell r="I986" t="str">
            <v>Other Household Travel</v>
          </cell>
          <cell r="J986" t="str">
            <v>2032/33</v>
          </cell>
        </row>
        <row r="987">
          <cell r="A987" t="str">
            <v>14 OTAGO</v>
          </cell>
          <cell r="B987">
            <v>9</v>
          </cell>
          <cell r="C987">
            <v>2038</v>
          </cell>
          <cell r="D987">
            <v>11</v>
          </cell>
          <cell r="E987">
            <v>38</v>
          </cell>
          <cell r="F987">
            <v>0.71957924100000004</v>
          </cell>
          <cell r="G987">
            <v>0</v>
          </cell>
          <cell r="H987">
            <v>0.28457323940000001</v>
          </cell>
          <cell r="I987" t="str">
            <v>Other Household Travel</v>
          </cell>
          <cell r="J987" t="str">
            <v>2037/38</v>
          </cell>
        </row>
        <row r="988">
          <cell r="A988" t="str">
            <v>14 OTAGO</v>
          </cell>
          <cell r="B988">
            <v>9</v>
          </cell>
          <cell r="C988">
            <v>2043</v>
          </cell>
          <cell r="D988">
            <v>11</v>
          </cell>
          <cell r="E988">
            <v>38</v>
          </cell>
          <cell r="F988">
            <v>0.68044632699999996</v>
          </cell>
          <cell r="G988">
            <v>0</v>
          </cell>
          <cell r="H988">
            <v>0.28645659080000002</v>
          </cell>
          <cell r="I988" t="str">
            <v>Other Household Travel</v>
          </cell>
          <cell r="J988" t="str">
            <v>2042/43</v>
          </cell>
        </row>
        <row r="989">
          <cell r="A989" t="str">
            <v>14 OTAGO</v>
          </cell>
          <cell r="B989">
            <v>10</v>
          </cell>
          <cell r="C989">
            <v>2013</v>
          </cell>
          <cell r="D989">
            <v>12</v>
          </cell>
          <cell r="E989">
            <v>16</v>
          </cell>
          <cell r="F989">
            <v>0.45393948140000001</v>
          </cell>
          <cell r="G989">
            <v>32.668222239000002</v>
          </cell>
          <cell r="H989">
            <v>1.0816055304000001</v>
          </cell>
          <cell r="I989" t="str">
            <v>Air/Non-Local PT</v>
          </cell>
          <cell r="J989" t="str">
            <v>2012/13</v>
          </cell>
        </row>
        <row r="990">
          <cell r="A990" t="str">
            <v>14 OTAGO</v>
          </cell>
          <cell r="B990">
            <v>10</v>
          </cell>
          <cell r="C990">
            <v>2018</v>
          </cell>
          <cell r="D990">
            <v>12</v>
          </cell>
          <cell r="E990">
            <v>16</v>
          </cell>
          <cell r="F990">
            <v>0.51481890789999996</v>
          </cell>
          <cell r="G990">
            <v>37.135333521</v>
          </cell>
          <cell r="H990">
            <v>1.2116536280000001</v>
          </cell>
          <cell r="I990" t="str">
            <v>Air/Non-Local PT</v>
          </cell>
          <cell r="J990" t="str">
            <v>2017/18</v>
          </cell>
        </row>
        <row r="991">
          <cell r="A991" t="str">
            <v>14 OTAGO</v>
          </cell>
          <cell r="B991">
            <v>10</v>
          </cell>
          <cell r="C991">
            <v>2023</v>
          </cell>
          <cell r="D991">
            <v>12</v>
          </cell>
          <cell r="E991">
            <v>16</v>
          </cell>
          <cell r="F991">
            <v>0.56737892000000001</v>
          </cell>
          <cell r="G991">
            <v>40.155415099999999</v>
          </cell>
          <cell r="H991">
            <v>1.3120354104</v>
          </cell>
          <cell r="I991" t="str">
            <v>Air/Non-Local PT</v>
          </cell>
          <cell r="J991" t="str">
            <v>2022/23</v>
          </cell>
        </row>
        <row r="992">
          <cell r="A992" t="str">
            <v>14 OTAGO</v>
          </cell>
          <cell r="B992">
            <v>10</v>
          </cell>
          <cell r="C992">
            <v>2028</v>
          </cell>
          <cell r="D992">
            <v>12</v>
          </cell>
          <cell r="E992">
            <v>16</v>
          </cell>
          <cell r="F992">
            <v>0.60603619990000002</v>
          </cell>
          <cell r="G992">
            <v>41.880228375000002</v>
          </cell>
          <cell r="H992">
            <v>1.3759775986</v>
          </cell>
          <cell r="I992" t="str">
            <v>Air/Non-Local PT</v>
          </cell>
          <cell r="J992" t="str">
            <v>2027/28</v>
          </cell>
        </row>
        <row r="993">
          <cell r="A993" t="str">
            <v>14 OTAGO</v>
          </cell>
          <cell r="B993">
            <v>10</v>
          </cell>
          <cell r="C993">
            <v>2033</v>
          </cell>
          <cell r="D993">
            <v>12</v>
          </cell>
          <cell r="E993">
            <v>16</v>
          </cell>
          <cell r="F993">
            <v>0.64017302320000002</v>
          </cell>
          <cell r="G993">
            <v>43.477270791000002</v>
          </cell>
          <cell r="H993">
            <v>1.4418409081000001</v>
          </cell>
          <cell r="I993" t="str">
            <v>Air/Non-Local PT</v>
          </cell>
          <cell r="J993" t="str">
            <v>2032/33</v>
          </cell>
        </row>
        <row r="994">
          <cell r="A994" t="str">
            <v>14 OTAGO</v>
          </cell>
          <cell r="B994">
            <v>10</v>
          </cell>
          <cell r="C994">
            <v>2038</v>
          </cell>
          <cell r="D994">
            <v>12</v>
          </cell>
          <cell r="E994">
            <v>16</v>
          </cell>
          <cell r="F994">
            <v>0.66551464459999998</v>
          </cell>
          <cell r="G994">
            <v>44.1364771</v>
          </cell>
          <cell r="H994">
            <v>1.4725813212000001</v>
          </cell>
          <cell r="I994" t="str">
            <v>Air/Non-Local PT</v>
          </cell>
          <cell r="J994" t="str">
            <v>2037/38</v>
          </cell>
        </row>
        <row r="995">
          <cell r="A995" t="str">
            <v>14 OTAGO</v>
          </cell>
          <cell r="B995">
            <v>10</v>
          </cell>
          <cell r="C995">
            <v>2043</v>
          </cell>
          <cell r="D995">
            <v>12</v>
          </cell>
          <cell r="E995">
            <v>16</v>
          </cell>
          <cell r="F995">
            <v>0.68886423600000002</v>
          </cell>
          <cell r="G995">
            <v>44.516082286</v>
          </cell>
          <cell r="H995">
            <v>1.4974496789</v>
          </cell>
          <cell r="I995" t="str">
            <v>Air/Non-Local PT</v>
          </cell>
          <cell r="J995" t="str">
            <v>2042/43</v>
          </cell>
        </row>
        <row r="996">
          <cell r="A996" t="str">
            <v>14 OTAGO</v>
          </cell>
          <cell r="B996">
            <v>11</v>
          </cell>
          <cell r="C996">
            <v>2013</v>
          </cell>
          <cell r="D996">
            <v>8</v>
          </cell>
          <cell r="E996">
            <v>23</v>
          </cell>
          <cell r="F996">
            <v>0.69501361849999999</v>
          </cell>
          <cell r="G996">
            <v>6.1172965614999999</v>
          </cell>
          <cell r="H996">
            <v>0.18529166999999999</v>
          </cell>
          <cell r="I996" t="str">
            <v>Non-Household Travel</v>
          </cell>
          <cell r="J996" t="str">
            <v>2012/13</v>
          </cell>
        </row>
        <row r="997">
          <cell r="A997" t="str">
            <v>14 OTAGO</v>
          </cell>
          <cell r="B997">
            <v>11</v>
          </cell>
          <cell r="C997">
            <v>2018</v>
          </cell>
          <cell r="D997">
            <v>8</v>
          </cell>
          <cell r="E997">
            <v>23</v>
          </cell>
          <cell r="F997">
            <v>0.78664819730000002</v>
          </cell>
          <cell r="G997">
            <v>7.3837697751000002</v>
          </cell>
          <cell r="H997">
            <v>0.22132746810000001</v>
          </cell>
          <cell r="I997" t="str">
            <v>Non-Household Travel</v>
          </cell>
          <cell r="J997" t="str">
            <v>2017/18</v>
          </cell>
        </row>
        <row r="998">
          <cell r="A998" t="str">
            <v>14 OTAGO</v>
          </cell>
          <cell r="B998">
            <v>11</v>
          </cell>
          <cell r="C998">
            <v>2023</v>
          </cell>
          <cell r="D998">
            <v>8</v>
          </cell>
          <cell r="E998">
            <v>23</v>
          </cell>
          <cell r="F998">
            <v>0.88920484850000003</v>
          </cell>
          <cell r="G998">
            <v>8.5738621421999994</v>
          </cell>
          <cell r="H998">
            <v>0.25697993679999998</v>
          </cell>
          <cell r="I998" t="str">
            <v>Non-Household Travel</v>
          </cell>
          <cell r="J998" t="str">
            <v>2022/23</v>
          </cell>
        </row>
        <row r="999">
          <cell r="A999" t="str">
            <v>14 OTAGO</v>
          </cell>
          <cell r="B999">
            <v>11</v>
          </cell>
          <cell r="C999">
            <v>2028</v>
          </cell>
          <cell r="D999">
            <v>8</v>
          </cell>
          <cell r="E999">
            <v>23</v>
          </cell>
          <cell r="F999">
            <v>1.0391582335</v>
          </cell>
          <cell r="G999">
            <v>9.8152134405999991</v>
          </cell>
          <cell r="H999">
            <v>0.3000502847</v>
          </cell>
          <cell r="I999" t="str">
            <v>Non-Household Travel</v>
          </cell>
          <cell r="J999" t="str">
            <v>2027/28</v>
          </cell>
        </row>
        <row r="1000">
          <cell r="A1000" t="str">
            <v>14 OTAGO</v>
          </cell>
          <cell r="B1000">
            <v>11</v>
          </cell>
          <cell r="C1000">
            <v>2033</v>
          </cell>
          <cell r="D1000">
            <v>8</v>
          </cell>
          <cell r="E1000">
            <v>23</v>
          </cell>
          <cell r="F1000">
            <v>1.1506259655</v>
          </cell>
          <cell r="G1000">
            <v>10.515876501999999</v>
          </cell>
          <cell r="H1000">
            <v>0.33008897729999997</v>
          </cell>
          <cell r="I1000" t="str">
            <v>Non-Household Travel</v>
          </cell>
          <cell r="J1000" t="str">
            <v>2032/33</v>
          </cell>
        </row>
        <row r="1001">
          <cell r="A1001" t="str">
            <v>14 OTAGO</v>
          </cell>
          <cell r="B1001">
            <v>11</v>
          </cell>
          <cell r="C1001">
            <v>2038</v>
          </cell>
          <cell r="D1001">
            <v>8</v>
          </cell>
          <cell r="E1001">
            <v>23</v>
          </cell>
          <cell r="F1001">
            <v>1.2109021453</v>
          </cell>
          <cell r="G1001">
            <v>10.870034587999999</v>
          </cell>
          <cell r="H1001">
            <v>0.34716449669999999</v>
          </cell>
          <cell r="I1001" t="str">
            <v>Non-Household Travel</v>
          </cell>
          <cell r="J1001" t="str">
            <v>2037/38</v>
          </cell>
        </row>
        <row r="1002">
          <cell r="A1002" t="str">
            <v>14 OTAGO</v>
          </cell>
          <cell r="B1002">
            <v>11</v>
          </cell>
          <cell r="C1002">
            <v>2043</v>
          </cell>
          <cell r="D1002">
            <v>8</v>
          </cell>
          <cell r="E1002">
            <v>23</v>
          </cell>
          <cell r="F1002">
            <v>1.2821129479</v>
          </cell>
          <cell r="G1002">
            <v>11.23428816</v>
          </cell>
          <cell r="H1002">
            <v>0.3662330385</v>
          </cell>
          <cell r="I1002" t="str">
            <v>Non-Household Travel</v>
          </cell>
          <cell r="J1002" t="str">
            <v>2042/43</v>
          </cell>
        </row>
        <row r="1003">
          <cell r="A1003" t="str">
            <v>15 SOUTHLAND</v>
          </cell>
          <cell r="B1003">
            <v>0</v>
          </cell>
          <cell r="C1003">
            <v>2013</v>
          </cell>
          <cell r="D1003">
            <v>180</v>
          </cell>
          <cell r="E1003">
            <v>617</v>
          </cell>
          <cell r="F1003">
            <v>12.52065131</v>
          </cell>
          <cell r="G1003">
            <v>8.8466785109000003</v>
          </cell>
          <cell r="H1003">
            <v>2.2528617661000001</v>
          </cell>
          <cell r="I1003" t="str">
            <v>Pedestrian</v>
          </cell>
          <cell r="J1003" t="str">
            <v>2012/13</v>
          </cell>
        </row>
        <row r="1004">
          <cell r="A1004" t="str">
            <v>15 SOUTHLAND</v>
          </cell>
          <cell r="B1004">
            <v>0</v>
          </cell>
          <cell r="C1004">
            <v>2018</v>
          </cell>
          <cell r="D1004">
            <v>180</v>
          </cell>
          <cell r="E1004">
            <v>617</v>
          </cell>
          <cell r="F1004">
            <v>12.67176645</v>
          </cell>
          <cell r="G1004">
            <v>8.9986548836000004</v>
          </cell>
          <cell r="H1004">
            <v>2.2903714635000001</v>
          </cell>
          <cell r="I1004" t="str">
            <v>Pedestrian</v>
          </cell>
          <cell r="J1004" t="str">
            <v>2017/18</v>
          </cell>
        </row>
        <row r="1005">
          <cell r="A1005" t="str">
            <v>15 SOUTHLAND</v>
          </cell>
          <cell r="B1005">
            <v>0</v>
          </cell>
          <cell r="C1005">
            <v>2023</v>
          </cell>
          <cell r="D1005">
            <v>180</v>
          </cell>
          <cell r="E1005">
            <v>617</v>
          </cell>
          <cell r="F1005">
            <v>12.663797343000001</v>
          </cell>
          <cell r="G1005">
            <v>9.0068575308999996</v>
          </cell>
          <cell r="H1005">
            <v>2.2892631520000002</v>
          </cell>
          <cell r="I1005" t="str">
            <v>Pedestrian</v>
          </cell>
          <cell r="J1005" t="str">
            <v>2022/23</v>
          </cell>
        </row>
        <row r="1006">
          <cell r="A1006" t="str">
            <v>15 SOUTHLAND</v>
          </cell>
          <cell r="B1006">
            <v>0</v>
          </cell>
          <cell r="C1006">
            <v>2028</v>
          </cell>
          <cell r="D1006">
            <v>180</v>
          </cell>
          <cell r="E1006">
            <v>617</v>
          </cell>
          <cell r="F1006">
            <v>12.670142465</v>
          </cell>
          <cell r="G1006">
            <v>9.0357188503000003</v>
          </cell>
          <cell r="H1006">
            <v>2.2693279764000001</v>
          </cell>
          <cell r="I1006" t="str">
            <v>Pedestrian</v>
          </cell>
          <cell r="J1006" t="str">
            <v>2027/28</v>
          </cell>
        </row>
        <row r="1007">
          <cell r="A1007" t="str">
            <v>15 SOUTHLAND</v>
          </cell>
          <cell r="B1007">
            <v>0</v>
          </cell>
          <cell r="C1007">
            <v>2033</v>
          </cell>
          <cell r="D1007">
            <v>180</v>
          </cell>
          <cell r="E1007">
            <v>617</v>
          </cell>
          <cell r="F1007">
            <v>12.474967664999999</v>
          </cell>
          <cell r="G1007">
            <v>8.8610601994000007</v>
          </cell>
          <cell r="H1007">
            <v>2.2193257948</v>
          </cell>
          <cell r="I1007" t="str">
            <v>Pedestrian</v>
          </cell>
          <cell r="J1007" t="str">
            <v>2032/33</v>
          </cell>
        </row>
        <row r="1008">
          <cell r="A1008" t="str">
            <v>15 SOUTHLAND</v>
          </cell>
          <cell r="B1008">
            <v>0</v>
          </cell>
          <cell r="C1008">
            <v>2038</v>
          </cell>
          <cell r="D1008">
            <v>180</v>
          </cell>
          <cell r="E1008">
            <v>617</v>
          </cell>
          <cell r="F1008">
            <v>12.128150967</v>
          </cell>
          <cell r="G1008">
            <v>8.6733196400000008</v>
          </cell>
          <cell r="H1008">
            <v>2.1552544251999999</v>
          </cell>
          <cell r="I1008" t="str">
            <v>Pedestrian</v>
          </cell>
          <cell r="J1008" t="str">
            <v>2037/38</v>
          </cell>
        </row>
        <row r="1009">
          <cell r="A1009" t="str">
            <v>15 SOUTHLAND</v>
          </cell>
          <cell r="B1009">
            <v>0</v>
          </cell>
          <cell r="C1009">
            <v>2043</v>
          </cell>
          <cell r="D1009">
            <v>180</v>
          </cell>
          <cell r="E1009">
            <v>617</v>
          </cell>
          <cell r="F1009">
            <v>11.720346974</v>
          </cell>
          <cell r="G1009">
            <v>8.4250576167000002</v>
          </cell>
          <cell r="H1009">
            <v>2.0780095142000001</v>
          </cell>
          <cell r="I1009" t="str">
            <v>Pedestrian</v>
          </cell>
          <cell r="J1009" t="str">
            <v>2042/43</v>
          </cell>
        </row>
        <row r="1010">
          <cell r="A1010" t="str">
            <v>15 SOUTHLAND</v>
          </cell>
          <cell r="B1010">
            <v>1</v>
          </cell>
          <cell r="C1010">
            <v>2013</v>
          </cell>
          <cell r="D1010">
            <v>19</v>
          </cell>
          <cell r="E1010">
            <v>72</v>
          </cell>
          <cell r="F1010">
            <v>1.0312878256</v>
          </cell>
          <cell r="G1010">
            <v>7.5402861329000004</v>
          </cell>
          <cell r="H1010">
            <v>0.50294231479999996</v>
          </cell>
          <cell r="I1010" t="str">
            <v>Cyclist</v>
          </cell>
          <cell r="J1010" t="str">
            <v>2012/13</v>
          </cell>
        </row>
        <row r="1011">
          <cell r="A1011" t="str">
            <v>15 SOUTHLAND</v>
          </cell>
          <cell r="B1011">
            <v>1</v>
          </cell>
          <cell r="C1011">
            <v>2018</v>
          </cell>
          <cell r="D1011">
            <v>19</v>
          </cell>
          <cell r="E1011">
            <v>72</v>
          </cell>
          <cell r="F1011">
            <v>1.0678761439</v>
          </cell>
          <cell r="G1011">
            <v>8.2699694715999996</v>
          </cell>
          <cell r="H1011">
            <v>0.5430200288</v>
          </cell>
          <cell r="I1011" t="str">
            <v>Cyclist</v>
          </cell>
          <cell r="J1011" t="str">
            <v>2017/18</v>
          </cell>
        </row>
        <row r="1012">
          <cell r="A1012" t="str">
            <v>15 SOUTHLAND</v>
          </cell>
          <cell r="B1012">
            <v>1</v>
          </cell>
          <cell r="C1012">
            <v>2023</v>
          </cell>
          <cell r="D1012">
            <v>19</v>
          </cell>
          <cell r="E1012">
            <v>72</v>
          </cell>
          <cell r="F1012">
            <v>1.0571378150999999</v>
          </cell>
          <cell r="G1012">
            <v>8.3916132251000004</v>
          </cell>
          <cell r="H1012">
            <v>0.54979784269999998</v>
          </cell>
          <cell r="I1012" t="str">
            <v>Cyclist</v>
          </cell>
          <cell r="J1012" t="str">
            <v>2022/23</v>
          </cell>
        </row>
        <row r="1013">
          <cell r="A1013" t="str">
            <v>15 SOUTHLAND</v>
          </cell>
          <cell r="B1013">
            <v>1</v>
          </cell>
          <cell r="C1013">
            <v>2028</v>
          </cell>
          <cell r="D1013">
            <v>19</v>
          </cell>
          <cell r="E1013">
            <v>72</v>
          </cell>
          <cell r="F1013">
            <v>1.0495408874000001</v>
          </cell>
          <cell r="G1013">
            <v>7.6737036134999999</v>
          </cell>
          <cell r="H1013">
            <v>0.518384171</v>
          </cell>
          <cell r="I1013" t="str">
            <v>Cyclist</v>
          </cell>
          <cell r="J1013" t="str">
            <v>2027/28</v>
          </cell>
        </row>
        <row r="1014">
          <cell r="A1014" t="str">
            <v>15 SOUTHLAND</v>
          </cell>
          <cell r="B1014">
            <v>1</v>
          </cell>
          <cell r="C1014">
            <v>2033</v>
          </cell>
          <cell r="D1014">
            <v>19</v>
          </cell>
          <cell r="E1014">
            <v>72</v>
          </cell>
          <cell r="F1014">
            <v>1.0461178603000001</v>
          </cell>
          <cell r="G1014">
            <v>7.1627488067999998</v>
          </cell>
          <cell r="H1014">
            <v>0.49327534140000001</v>
          </cell>
          <cell r="I1014" t="str">
            <v>Cyclist</v>
          </cell>
          <cell r="J1014" t="str">
            <v>2032/33</v>
          </cell>
        </row>
        <row r="1015">
          <cell r="A1015" t="str">
            <v>15 SOUTHLAND</v>
          </cell>
          <cell r="B1015">
            <v>1</v>
          </cell>
          <cell r="C1015">
            <v>2038</v>
          </cell>
          <cell r="D1015">
            <v>19</v>
          </cell>
          <cell r="E1015">
            <v>72</v>
          </cell>
          <cell r="F1015">
            <v>0.99486649149999995</v>
          </cell>
          <cell r="G1015">
            <v>6.7447243009999998</v>
          </cell>
          <cell r="H1015">
            <v>0.46472311199999999</v>
          </cell>
          <cell r="I1015" t="str">
            <v>Cyclist</v>
          </cell>
          <cell r="J1015" t="str">
            <v>2037/38</v>
          </cell>
        </row>
        <row r="1016">
          <cell r="A1016" t="str">
            <v>15 SOUTHLAND</v>
          </cell>
          <cell r="B1016">
            <v>1</v>
          </cell>
          <cell r="C1016">
            <v>2043</v>
          </cell>
          <cell r="D1016">
            <v>19</v>
          </cell>
          <cell r="E1016">
            <v>72</v>
          </cell>
          <cell r="F1016">
            <v>0.9388032207</v>
          </cell>
          <cell r="G1016">
            <v>6.3184077732999997</v>
          </cell>
          <cell r="H1016">
            <v>0.4355834569</v>
          </cell>
          <cell r="I1016" t="str">
            <v>Cyclist</v>
          </cell>
          <cell r="J1016" t="str">
            <v>2042/43</v>
          </cell>
        </row>
        <row r="1017">
          <cell r="A1017" t="str">
            <v>15 SOUTHLAND</v>
          </cell>
          <cell r="B1017">
            <v>2</v>
          </cell>
          <cell r="C1017">
            <v>2013</v>
          </cell>
          <cell r="D1017">
            <v>442</v>
          </cell>
          <cell r="E1017">
            <v>3080</v>
          </cell>
          <cell r="F1017">
            <v>66.981547285000005</v>
          </cell>
          <cell r="G1017">
            <v>657.74873722999996</v>
          </cell>
          <cell r="H1017">
            <v>14.603785903</v>
          </cell>
          <cell r="I1017" t="str">
            <v>Light Vehicle Driver</v>
          </cell>
          <cell r="J1017" t="str">
            <v>2012/13</v>
          </cell>
        </row>
        <row r="1018">
          <cell r="A1018" t="str">
            <v>15 SOUTHLAND</v>
          </cell>
          <cell r="B1018">
            <v>2</v>
          </cell>
          <cell r="C1018">
            <v>2018</v>
          </cell>
          <cell r="D1018">
            <v>442</v>
          </cell>
          <cell r="E1018">
            <v>3080</v>
          </cell>
          <cell r="F1018">
            <v>70.112909492</v>
          </cell>
          <cell r="G1018">
            <v>708.43675368000004</v>
          </cell>
          <cell r="H1018">
            <v>15.594350167</v>
          </cell>
          <cell r="I1018" t="str">
            <v>Light Vehicle Driver</v>
          </cell>
          <cell r="J1018" t="str">
            <v>2017/18</v>
          </cell>
        </row>
        <row r="1019">
          <cell r="A1019" t="str">
            <v>15 SOUTHLAND</v>
          </cell>
          <cell r="B1019">
            <v>2</v>
          </cell>
          <cell r="C1019">
            <v>2023</v>
          </cell>
          <cell r="D1019">
            <v>442</v>
          </cell>
          <cell r="E1019">
            <v>3080</v>
          </cell>
          <cell r="F1019">
            <v>70.759873339999999</v>
          </cell>
          <cell r="G1019">
            <v>733.46734273000004</v>
          </cell>
          <cell r="H1019">
            <v>16.008576709</v>
          </cell>
          <cell r="I1019" t="str">
            <v>Light Vehicle Driver</v>
          </cell>
          <cell r="J1019" t="str">
            <v>2022/23</v>
          </cell>
        </row>
        <row r="1020">
          <cell r="A1020" t="str">
            <v>15 SOUTHLAND</v>
          </cell>
          <cell r="B1020">
            <v>2</v>
          </cell>
          <cell r="C1020">
            <v>2028</v>
          </cell>
          <cell r="D1020">
            <v>442</v>
          </cell>
          <cell r="E1020">
            <v>3080</v>
          </cell>
          <cell r="F1020">
            <v>70.966477205000004</v>
          </cell>
          <cell r="G1020">
            <v>746.11241403999998</v>
          </cell>
          <cell r="H1020">
            <v>16.183636717999999</v>
          </cell>
          <cell r="I1020" t="str">
            <v>Light Vehicle Driver</v>
          </cell>
          <cell r="J1020" t="str">
            <v>2027/28</v>
          </cell>
        </row>
        <row r="1021">
          <cell r="A1021" t="str">
            <v>15 SOUTHLAND</v>
          </cell>
          <cell r="B1021">
            <v>2</v>
          </cell>
          <cell r="C1021">
            <v>2033</v>
          </cell>
          <cell r="D1021">
            <v>442</v>
          </cell>
          <cell r="E1021">
            <v>3080</v>
          </cell>
          <cell r="F1021">
            <v>71.481983447000005</v>
          </cell>
          <cell r="G1021">
            <v>757.43098916999998</v>
          </cell>
          <cell r="H1021">
            <v>16.368136016000001</v>
          </cell>
          <cell r="I1021" t="str">
            <v>Light Vehicle Driver</v>
          </cell>
          <cell r="J1021" t="str">
            <v>2032/33</v>
          </cell>
        </row>
        <row r="1022">
          <cell r="A1022" t="str">
            <v>15 SOUTHLAND</v>
          </cell>
          <cell r="B1022">
            <v>2</v>
          </cell>
          <cell r="C1022">
            <v>2038</v>
          </cell>
          <cell r="D1022">
            <v>442</v>
          </cell>
          <cell r="E1022">
            <v>3080</v>
          </cell>
          <cell r="F1022">
            <v>71.423208333999995</v>
          </cell>
          <cell r="G1022">
            <v>760.68044485999997</v>
          </cell>
          <cell r="H1022">
            <v>16.411560755</v>
          </cell>
          <cell r="I1022" t="str">
            <v>Light Vehicle Driver</v>
          </cell>
          <cell r="J1022" t="str">
            <v>2037/38</v>
          </cell>
        </row>
        <row r="1023">
          <cell r="A1023" t="str">
            <v>15 SOUTHLAND</v>
          </cell>
          <cell r="B1023">
            <v>2</v>
          </cell>
          <cell r="C1023">
            <v>2043</v>
          </cell>
          <cell r="D1023">
            <v>442</v>
          </cell>
          <cell r="E1023">
            <v>3080</v>
          </cell>
          <cell r="F1023">
            <v>71.149409809000005</v>
          </cell>
          <cell r="G1023">
            <v>762.19137111999999</v>
          </cell>
          <cell r="H1023">
            <v>16.40376221</v>
          </cell>
          <cell r="I1023" t="str">
            <v>Light Vehicle Driver</v>
          </cell>
          <cell r="J1023" t="str">
            <v>2042/43</v>
          </cell>
        </row>
        <row r="1024">
          <cell r="A1024" t="str">
            <v>15 SOUTHLAND</v>
          </cell>
          <cell r="B1024">
            <v>3</v>
          </cell>
          <cell r="C1024">
            <v>2013</v>
          </cell>
          <cell r="D1024">
            <v>289</v>
          </cell>
          <cell r="E1024">
            <v>1411</v>
          </cell>
          <cell r="F1024">
            <v>28.419434702</v>
          </cell>
          <cell r="G1024">
            <v>380.70733008000002</v>
          </cell>
          <cell r="H1024">
            <v>7.5859087797999996</v>
          </cell>
          <cell r="I1024" t="str">
            <v>Light Vehicle Passenger</v>
          </cell>
          <cell r="J1024" t="str">
            <v>2012/13</v>
          </cell>
        </row>
        <row r="1025">
          <cell r="A1025" t="str">
            <v>15 SOUTHLAND</v>
          </cell>
          <cell r="B1025">
            <v>3</v>
          </cell>
          <cell r="C1025">
            <v>2018</v>
          </cell>
          <cell r="D1025">
            <v>289</v>
          </cell>
          <cell r="E1025">
            <v>1411</v>
          </cell>
          <cell r="F1025">
            <v>27.396659457999998</v>
          </cell>
          <cell r="G1025">
            <v>391.52845958</v>
          </cell>
          <cell r="H1025">
            <v>7.6456324514</v>
          </cell>
          <cell r="I1025" t="str">
            <v>Light Vehicle Passenger</v>
          </cell>
          <cell r="J1025" t="str">
            <v>2017/18</v>
          </cell>
        </row>
        <row r="1026">
          <cell r="A1026" t="str">
            <v>15 SOUTHLAND</v>
          </cell>
          <cell r="B1026">
            <v>3</v>
          </cell>
          <cell r="C1026">
            <v>2023</v>
          </cell>
          <cell r="D1026">
            <v>289</v>
          </cell>
          <cell r="E1026">
            <v>1411</v>
          </cell>
          <cell r="F1026">
            <v>26.305720794999999</v>
          </cell>
          <cell r="G1026">
            <v>397.62404812</v>
          </cell>
          <cell r="H1026">
            <v>7.6504562911000003</v>
          </cell>
          <cell r="I1026" t="str">
            <v>Light Vehicle Passenger</v>
          </cell>
          <cell r="J1026" t="str">
            <v>2022/23</v>
          </cell>
        </row>
        <row r="1027">
          <cell r="A1027" t="str">
            <v>15 SOUTHLAND</v>
          </cell>
          <cell r="B1027">
            <v>3</v>
          </cell>
          <cell r="C1027">
            <v>2028</v>
          </cell>
          <cell r="D1027">
            <v>289</v>
          </cell>
          <cell r="E1027">
            <v>1411</v>
          </cell>
          <cell r="F1027">
            <v>25.438521776999998</v>
          </cell>
          <cell r="G1027">
            <v>397.90019488000002</v>
          </cell>
          <cell r="H1027">
            <v>7.5992882773000003</v>
          </cell>
          <cell r="I1027" t="str">
            <v>Light Vehicle Passenger</v>
          </cell>
          <cell r="J1027" t="str">
            <v>2027/28</v>
          </cell>
        </row>
        <row r="1028">
          <cell r="A1028" t="str">
            <v>15 SOUTHLAND</v>
          </cell>
          <cell r="B1028">
            <v>3</v>
          </cell>
          <cell r="C1028">
            <v>2033</v>
          </cell>
          <cell r="D1028">
            <v>289</v>
          </cell>
          <cell r="E1028">
            <v>1411</v>
          </cell>
          <cell r="F1028">
            <v>24.483691946</v>
          </cell>
          <cell r="G1028">
            <v>392.46624863</v>
          </cell>
          <cell r="H1028">
            <v>7.4602710687</v>
          </cell>
          <cell r="I1028" t="str">
            <v>Light Vehicle Passenger</v>
          </cell>
          <cell r="J1028" t="str">
            <v>2032/33</v>
          </cell>
        </row>
        <row r="1029">
          <cell r="A1029" t="str">
            <v>15 SOUTHLAND</v>
          </cell>
          <cell r="B1029">
            <v>3</v>
          </cell>
          <cell r="C1029">
            <v>2038</v>
          </cell>
          <cell r="D1029">
            <v>289</v>
          </cell>
          <cell r="E1029">
            <v>1411</v>
          </cell>
          <cell r="F1029">
            <v>23.394720917000001</v>
          </cell>
          <cell r="G1029">
            <v>382.03214718999999</v>
          </cell>
          <cell r="H1029">
            <v>7.2299544631000003</v>
          </cell>
          <cell r="I1029" t="str">
            <v>Light Vehicle Passenger</v>
          </cell>
          <cell r="J1029" t="str">
            <v>2037/38</v>
          </cell>
        </row>
        <row r="1030">
          <cell r="A1030" t="str">
            <v>15 SOUTHLAND</v>
          </cell>
          <cell r="B1030">
            <v>3</v>
          </cell>
          <cell r="C1030">
            <v>2043</v>
          </cell>
          <cell r="D1030">
            <v>289</v>
          </cell>
          <cell r="E1030">
            <v>1411</v>
          </cell>
          <cell r="F1030">
            <v>22.192092045999999</v>
          </cell>
          <cell r="G1030">
            <v>369.00148321</v>
          </cell>
          <cell r="H1030">
            <v>6.9496726449999997</v>
          </cell>
          <cell r="I1030" t="str">
            <v>Light Vehicle Passenger</v>
          </cell>
          <cell r="J1030" t="str">
            <v>2042/43</v>
          </cell>
        </row>
        <row r="1031">
          <cell r="A1031" t="str">
            <v>15 SOUTHLAND</v>
          </cell>
          <cell r="B1031">
            <v>4</v>
          </cell>
          <cell r="C1031">
            <v>2013</v>
          </cell>
          <cell r="D1031">
            <v>4</v>
          </cell>
          <cell r="E1031">
            <v>15</v>
          </cell>
          <cell r="F1031">
            <v>0.47613164409999997</v>
          </cell>
          <cell r="G1031">
            <v>1.2430116738999999</v>
          </cell>
          <cell r="H1031">
            <v>6.6688903300000005E-2</v>
          </cell>
          <cell r="J1031" t="str">
            <v>2012/13</v>
          </cell>
        </row>
        <row r="1032">
          <cell r="A1032" t="str">
            <v>15 SOUTHLAND</v>
          </cell>
          <cell r="B1032">
            <v>4</v>
          </cell>
          <cell r="C1032">
            <v>2018</v>
          </cell>
          <cell r="D1032">
            <v>4</v>
          </cell>
          <cell r="E1032">
            <v>15</v>
          </cell>
          <cell r="F1032">
            <v>0.51371038000000002</v>
          </cell>
          <cell r="G1032">
            <v>1.4451284210999999</v>
          </cell>
          <cell r="H1032">
            <v>7.5924466400000001E-2</v>
          </cell>
          <cell r="J1032" t="str">
            <v>2017/18</v>
          </cell>
        </row>
        <row r="1033">
          <cell r="A1033" t="str">
            <v>15 SOUTHLAND</v>
          </cell>
          <cell r="B1033">
            <v>4</v>
          </cell>
          <cell r="C1033">
            <v>2023</v>
          </cell>
          <cell r="D1033">
            <v>4</v>
          </cell>
          <cell r="E1033">
            <v>15</v>
          </cell>
          <cell r="F1033">
            <v>0.53979895960000002</v>
          </cell>
          <cell r="G1033">
            <v>1.5841420984000001</v>
          </cell>
          <cell r="H1033">
            <v>8.2236102899999997E-2</v>
          </cell>
          <cell r="J1033" t="str">
            <v>2022/23</v>
          </cell>
        </row>
        <row r="1034">
          <cell r="A1034" t="str">
            <v>15 SOUTHLAND</v>
          </cell>
          <cell r="B1034">
            <v>4</v>
          </cell>
          <cell r="C1034">
            <v>2028</v>
          </cell>
          <cell r="D1034">
            <v>4</v>
          </cell>
          <cell r="E1034">
            <v>15</v>
          </cell>
          <cell r="F1034">
            <v>0.56861664270000001</v>
          </cell>
          <cell r="G1034">
            <v>1.676464041</v>
          </cell>
          <cell r="H1034">
            <v>8.6748699100000007E-2</v>
          </cell>
          <cell r="J1034" t="str">
            <v>2027/28</v>
          </cell>
        </row>
        <row r="1035">
          <cell r="A1035" t="str">
            <v>15 SOUTHLAND</v>
          </cell>
          <cell r="B1035">
            <v>4</v>
          </cell>
          <cell r="C1035">
            <v>2033</v>
          </cell>
          <cell r="D1035">
            <v>4</v>
          </cell>
          <cell r="E1035">
            <v>15</v>
          </cell>
          <cell r="F1035">
            <v>0.59786038919999995</v>
          </cell>
          <cell r="G1035">
            <v>1.7422705538000001</v>
          </cell>
          <cell r="H1035">
            <v>9.02596757E-2</v>
          </cell>
          <cell r="J1035" t="str">
            <v>2032/33</v>
          </cell>
        </row>
        <row r="1036">
          <cell r="A1036" t="str">
            <v>15 SOUTHLAND</v>
          </cell>
          <cell r="B1036">
            <v>4</v>
          </cell>
          <cell r="C1036">
            <v>2038</v>
          </cell>
          <cell r="D1036">
            <v>4</v>
          </cell>
          <cell r="E1036">
            <v>15</v>
          </cell>
          <cell r="F1036">
            <v>0.61516664320000003</v>
          </cell>
          <cell r="G1036">
            <v>1.7691115628</v>
          </cell>
          <cell r="H1036">
            <v>9.1836675800000003E-2</v>
          </cell>
          <cell r="J1036" t="str">
            <v>2037/38</v>
          </cell>
        </row>
        <row r="1037">
          <cell r="A1037" t="str">
            <v>15 SOUTHLAND</v>
          </cell>
          <cell r="B1037">
            <v>4</v>
          </cell>
          <cell r="C1037">
            <v>2043</v>
          </cell>
          <cell r="D1037">
            <v>4</v>
          </cell>
          <cell r="E1037">
            <v>15</v>
          </cell>
          <cell r="F1037">
            <v>0.6312855799</v>
          </cell>
          <cell r="G1037">
            <v>1.7905152488</v>
          </cell>
          <cell r="H1037">
            <v>9.3162798899999996E-2</v>
          </cell>
          <cell r="J1037" t="str">
            <v>2042/43</v>
          </cell>
        </row>
        <row r="1038">
          <cell r="A1038" t="str">
            <v>15 SOUTHLAND</v>
          </cell>
          <cell r="B1038">
            <v>5</v>
          </cell>
          <cell r="C1038">
            <v>2013</v>
          </cell>
          <cell r="D1038">
            <v>8</v>
          </cell>
          <cell r="E1038">
            <v>32</v>
          </cell>
          <cell r="F1038">
            <v>0.62652592730000001</v>
          </cell>
          <cell r="G1038">
            <v>18.926640866</v>
          </cell>
          <cell r="H1038">
            <v>0.2609239458</v>
          </cell>
          <cell r="I1038" t="str">
            <v>Motorcyclist</v>
          </cell>
          <cell r="J1038" t="str">
            <v>2012/13</v>
          </cell>
        </row>
        <row r="1039">
          <cell r="A1039" t="str">
            <v>15 SOUTHLAND</v>
          </cell>
          <cell r="B1039">
            <v>5</v>
          </cell>
          <cell r="C1039">
            <v>2018</v>
          </cell>
          <cell r="D1039">
            <v>8</v>
          </cell>
          <cell r="E1039">
            <v>32</v>
          </cell>
          <cell r="F1039">
            <v>0.71660772880000001</v>
          </cell>
          <cell r="G1039">
            <v>24.485188045000001</v>
          </cell>
          <cell r="H1039">
            <v>0.32962729860000001</v>
          </cell>
          <cell r="I1039" t="str">
            <v>Motorcyclist</v>
          </cell>
          <cell r="J1039" t="str">
            <v>2017/18</v>
          </cell>
        </row>
        <row r="1040">
          <cell r="A1040" t="str">
            <v>15 SOUTHLAND</v>
          </cell>
          <cell r="B1040">
            <v>5</v>
          </cell>
          <cell r="C1040">
            <v>2023</v>
          </cell>
          <cell r="D1040">
            <v>8</v>
          </cell>
          <cell r="E1040">
            <v>32</v>
          </cell>
          <cell r="F1040">
            <v>0.77492171639999996</v>
          </cell>
          <cell r="G1040">
            <v>28.452920895999998</v>
          </cell>
          <cell r="H1040">
            <v>0.37833424249999997</v>
          </cell>
          <cell r="I1040" t="str">
            <v>Motorcyclist</v>
          </cell>
          <cell r="J1040" t="str">
            <v>2022/23</v>
          </cell>
        </row>
        <row r="1041">
          <cell r="A1041" t="str">
            <v>15 SOUTHLAND</v>
          </cell>
          <cell r="B1041">
            <v>5</v>
          </cell>
          <cell r="C1041">
            <v>2028</v>
          </cell>
          <cell r="D1041">
            <v>8</v>
          </cell>
          <cell r="E1041">
            <v>32</v>
          </cell>
          <cell r="F1041">
            <v>0.80018142670000003</v>
          </cell>
          <cell r="G1041">
            <v>30.162706071999999</v>
          </cell>
          <cell r="H1041">
            <v>0.39919420680000001</v>
          </cell>
          <cell r="I1041" t="str">
            <v>Motorcyclist</v>
          </cell>
          <cell r="J1041" t="str">
            <v>2027/28</v>
          </cell>
        </row>
        <row r="1042">
          <cell r="A1042" t="str">
            <v>15 SOUTHLAND</v>
          </cell>
          <cell r="B1042">
            <v>5</v>
          </cell>
          <cell r="C1042">
            <v>2033</v>
          </cell>
          <cell r="D1042">
            <v>8</v>
          </cell>
          <cell r="E1042">
            <v>32</v>
          </cell>
          <cell r="F1042">
            <v>0.79735258929999997</v>
          </cell>
          <cell r="G1042">
            <v>30.638000284</v>
          </cell>
          <cell r="H1042">
            <v>0.40415125349999997</v>
          </cell>
          <cell r="I1042" t="str">
            <v>Motorcyclist</v>
          </cell>
          <cell r="J1042" t="str">
            <v>2032/33</v>
          </cell>
        </row>
        <row r="1043">
          <cell r="A1043" t="str">
            <v>15 SOUTHLAND</v>
          </cell>
          <cell r="B1043">
            <v>5</v>
          </cell>
          <cell r="C1043">
            <v>2038</v>
          </cell>
          <cell r="D1043">
            <v>8</v>
          </cell>
          <cell r="E1043">
            <v>32</v>
          </cell>
          <cell r="F1043">
            <v>0.77753435680000005</v>
          </cell>
          <cell r="G1043">
            <v>30.272327342000001</v>
          </cell>
          <cell r="H1043">
            <v>0.39858936490000002</v>
          </cell>
          <cell r="I1043" t="str">
            <v>Motorcyclist</v>
          </cell>
          <cell r="J1043" t="str">
            <v>2037/38</v>
          </cell>
        </row>
        <row r="1044">
          <cell r="A1044" t="str">
            <v>15 SOUTHLAND</v>
          </cell>
          <cell r="B1044">
            <v>5</v>
          </cell>
          <cell r="C1044">
            <v>2043</v>
          </cell>
          <cell r="D1044">
            <v>8</v>
          </cell>
          <cell r="E1044">
            <v>32</v>
          </cell>
          <cell r="F1044">
            <v>0.75092029660000004</v>
          </cell>
          <cell r="G1044">
            <v>29.689960812999999</v>
          </cell>
          <cell r="H1044">
            <v>0.39006193779999998</v>
          </cell>
          <cell r="I1044" t="str">
            <v>Motorcyclist</v>
          </cell>
          <cell r="J1044" t="str">
            <v>2042/43</v>
          </cell>
        </row>
        <row r="1045">
          <cell r="A1045" t="str">
            <v>15 SOUTHLAND</v>
          </cell>
          <cell r="B1045">
            <v>7</v>
          </cell>
          <cell r="C1045">
            <v>2013</v>
          </cell>
          <cell r="D1045">
            <v>37</v>
          </cell>
          <cell r="E1045">
            <v>119</v>
          </cell>
          <cell r="F1045">
            <v>2.6369167839999998</v>
          </cell>
          <cell r="G1045">
            <v>30.182609224</v>
          </cell>
          <cell r="H1045">
            <v>1.2152660816</v>
          </cell>
          <cell r="I1045" t="str">
            <v>Local Bus</v>
          </cell>
          <cell r="J1045" t="str">
            <v>2012/13</v>
          </cell>
        </row>
        <row r="1046">
          <cell r="A1046" t="str">
            <v>15 SOUTHLAND</v>
          </cell>
          <cell r="B1046">
            <v>7</v>
          </cell>
          <cell r="C1046">
            <v>2018</v>
          </cell>
          <cell r="D1046">
            <v>37</v>
          </cell>
          <cell r="E1046">
            <v>119</v>
          </cell>
          <cell r="F1046">
            <v>2.6551243567</v>
          </cell>
          <cell r="G1046">
            <v>30.207858561999998</v>
          </cell>
          <cell r="H1046">
            <v>1.2138591996999999</v>
          </cell>
          <cell r="I1046" t="str">
            <v>Local Bus</v>
          </cell>
          <cell r="J1046" t="str">
            <v>2017/18</v>
          </cell>
        </row>
        <row r="1047">
          <cell r="A1047" t="str">
            <v>15 SOUTHLAND</v>
          </cell>
          <cell r="B1047">
            <v>7</v>
          </cell>
          <cell r="C1047">
            <v>2023</v>
          </cell>
          <cell r="D1047">
            <v>37</v>
          </cell>
          <cell r="E1047">
            <v>119</v>
          </cell>
          <cell r="F1047">
            <v>2.6689157474999998</v>
          </cell>
          <cell r="G1047">
            <v>30.548444348</v>
          </cell>
          <cell r="H1047">
            <v>1.2307665538000001</v>
          </cell>
          <cell r="I1047" t="str">
            <v>Local Bus</v>
          </cell>
          <cell r="J1047" t="str">
            <v>2022/23</v>
          </cell>
        </row>
        <row r="1048">
          <cell r="A1048" t="str">
            <v>15 SOUTHLAND</v>
          </cell>
          <cell r="B1048">
            <v>7</v>
          </cell>
          <cell r="C1048">
            <v>2028</v>
          </cell>
          <cell r="D1048">
            <v>37</v>
          </cell>
          <cell r="E1048">
            <v>119</v>
          </cell>
          <cell r="F1048">
            <v>2.6985388819999998</v>
          </cell>
          <cell r="G1048">
            <v>30.900492232000001</v>
          </cell>
          <cell r="H1048">
            <v>1.2554180856999999</v>
          </cell>
          <cell r="I1048" t="str">
            <v>Local Bus</v>
          </cell>
          <cell r="J1048" t="str">
            <v>2027/28</v>
          </cell>
        </row>
        <row r="1049">
          <cell r="A1049" t="str">
            <v>15 SOUTHLAND</v>
          </cell>
          <cell r="B1049">
            <v>7</v>
          </cell>
          <cell r="C1049">
            <v>2033</v>
          </cell>
          <cell r="D1049">
            <v>37</v>
          </cell>
          <cell r="E1049">
            <v>119</v>
          </cell>
          <cell r="F1049">
            <v>2.6112309028</v>
          </cell>
          <cell r="G1049">
            <v>29.823789112</v>
          </cell>
          <cell r="H1049">
            <v>1.2238665762000001</v>
          </cell>
          <cell r="I1049" t="str">
            <v>Local Bus</v>
          </cell>
          <cell r="J1049" t="str">
            <v>2032/33</v>
          </cell>
        </row>
        <row r="1050">
          <cell r="A1050" t="str">
            <v>15 SOUTHLAND</v>
          </cell>
          <cell r="B1050">
            <v>7</v>
          </cell>
          <cell r="C1050">
            <v>2038</v>
          </cell>
          <cell r="D1050">
            <v>37</v>
          </cell>
          <cell r="E1050">
            <v>119</v>
          </cell>
          <cell r="F1050">
            <v>2.5084083733</v>
          </cell>
          <cell r="G1050">
            <v>28.330878690999999</v>
          </cell>
          <cell r="H1050">
            <v>1.1815845474</v>
          </cell>
          <cell r="I1050" t="str">
            <v>Local Bus</v>
          </cell>
          <cell r="J1050" t="str">
            <v>2037/38</v>
          </cell>
        </row>
        <row r="1051">
          <cell r="A1051" t="str">
            <v>15 SOUTHLAND</v>
          </cell>
          <cell r="B1051">
            <v>7</v>
          </cell>
          <cell r="C1051">
            <v>2043</v>
          </cell>
          <cell r="D1051">
            <v>37</v>
          </cell>
          <cell r="E1051">
            <v>119</v>
          </cell>
          <cell r="F1051">
            <v>2.3877639885000002</v>
          </cell>
          <cell r="G1051">
            <v>26.670025538000001</v>
          </cell>
          <cell r="H1051">
            <v>1.1321857501000001</v>
          </cell>
          <cell r="I1051" t="str">
            <v>Local Bus</v>
          </cell>
          <cell r="J1051" t="str">
            <v>2042/43</v>
          </cell>
        </row>
        <row r="1052">
          <cell r="A1052" t="str">
            <v>15 SOUTHLAND</v>
          </cell>
          <cell r="B1052">
            <v>9</v>
          </cell>
          <cell r="C1052">
            <v>2013</v>
          </cell>
          <cell r="D1052">
            <v>3</v>
          </cell>
          <cell r="E1052">
            <v>20</v>
          </cell>
          <cell r="F1052">
            <v>0.42937289560000003</v>
          </cell>
          <cell r="G1052">
            <v>0</v>
          </cell>
          <cell r="H1052">
            <v>8.5162673699999997E-2</v>
          </cell>
          <cell r="I1052" t="str">
            <v>Other Household Travel</v>
          </cell>
          <cell r="J1052" t="str">
            <v>2012/13</v>
          </cell>
        </row>
        <row r="1053">
          <cell r="A1053" t="str">
            <v>15 SOUTHLAND</v>
          </cell>
          <cell r="B1053">
            <v>9</v>
          </cell>
          <cell r="C1053">
            <v>2018</v>
          </cell>
          <cell r="D1053">
            <v>3</v>
          </cell>
          <cell r="E1053">
            <v>20</v>
          </cell>
          <cell r="F1053">
            <v>0.47517348720000002</v>
          </cell>
          <cell r="G1053">
            <v>0</v>
          </cell>
          <cell r="H1053">
            <v>9.4530381100000005E-2</v>
          </cell>
          <cell r="I1053" t="str">
            <v>Other Household Travel</v>
          </cell>
          <cell r="J1053" t="str">
            <v>2017/18</v>
          </cell>
        </row>
        <row r="1054">
          <cell r="A1054" t="str">
            <v>15 SOUTHLAND</v>
          </cell>
          <cell r="B1054">
            <v>9</v>
          </cell>
          <cell r="C1054">
            <v>2023</v>
          </cell>
          <cell r="D1054">
            <v>3</v>
          </cell>
          <cell r="E1054">
            <v>20</v>
          </cell>
          <cell r="F1054">
            <v>0.50390403630000002</v>
          </cell>
          <cell r="G1054">
            <v>0</v>
          </cell>
          <cell r="H1054">
            <v>0.10075407240000001</v>
          </cell>
          <cell r="I1054" t="str">
            <v>Other Household Travel</v>
          </cell>
          <cell r="J1054" t="str">
            <v>2022/23</v>
          </cell>
        </row>
        <row r="1055">
          <cell r="A1055" t="str">
            <v>15 SOUTHLAND</v>
          </cell>
          <cell r="B1055">
            <v>9</v>
          </cell>
          <cell r="C1055">
            <v>2028</v>
          </cell>
          <cell r="D1055">
            <v>3</v>
          </cell>
          <cell r="E1055">
            <v>20</v>
          </cell>
          <cell r="F1055">
            <v>0.53310958269999997</v>
          </cell>
          <cell r="G1055">
            <v>0</v>
          </cell>
          <cell r="H1055">
            <v>0.10682907210000001</v>
          </cell>
          <cell r="I1055" t="str">
            <v>Other Household Travel</v>
          </cell>
          <cell r="J1055" t="str">
            <v>2027/28</v>
          </cell>
        </row>
        <row r="1056">
          <cell r="A1056" t="str">
            <v>15 SOUTHLAND</v>
          </cell>
          <cell r="B1056">
            <v>9</v>
          </cell>
          <cell r="C1056">
            <v>2033</v>
          </cell>
          <cell r="D1056">
            <v>3</v>
          </cell>
          <cell r="E1056">
            <v>20</v>
          </cell>
          <cell r="F1056">
            <v>0.5597393598</v>
          </cell>
          <cell r="G1056">
            <v>0</v>
          </cell>
          <cell r="H1056">
            <v>0.11273388819999999</v>
          </cell>
          <cell r="I1056" t="str">
            <v>Other Household Travel</v>
          </cell>
          <cell r="J1056" t="str">
            <v>2032/33</v>
          </cell>
        </row>
        <row r="1057">
          <cell r="A1057" t="str">
            <v>15 SOUTHLAND</v>
          </cell>
          <cell r="B1057">
            <v>9</v>
          </cell>
          <cell r="C1057">
            <v>2038</v>
          </cell>
          <cell r="D1057">
            <v>3</v>
          </cell>
          <cell r="E1057">
            <v>20</v>
          </cell>
          <cell r="F1057">
            <v>0.56431983669999997</v>
          </cell>
          <cell r="G1057">
            <v>0</v>
          </cell>
          <cell r="H1057">
            <v>0.1137987003</v>
          </cell>
          <cell r="I1057" t="str">
            <v>Other Household Travel</v>
          </cell>
          <cell r="J1057" t="str">
            <v>2037/38</v>
          </cell>
        </row>
        <row r="1058">
          <cell r="A1058" t="str">
            <v>15 SOUTHLAND</v>
          </cell>
          <cell r="B1058">
            <v>9</v>
          </cell>
          <cell r="C1058">
            <v>2043</v>
          </cell>
          <cell r="D1058">
            <v>3</v>
          </cell>
          <cell r="E1058">
            <v>20</v>
          </cell>
          <cell r="F1058">
            <v>0.55784474849999999</v>
          </cell>
          <cell r="G1058">
            <v>0</v>
          </cell>
          <cell r="H1058">
            <v>0.112228777</v>
          </cell>
          <cell r="I1058" t="str">
            <v>Other Household Travel</v>
          </cell>
          <cell r="J1058" t="str">
            <v>2042/43</v>
          </cell>
        </row>
        <row r="1059">
          <cell r="A1059" t="str">
            <v>15 SOUTHLAND</v>
          </cell>
          <cell r="B1059">
            <v>10</v>
          </cell>
          <cell r="C1059">
            <v>2013</v>
          </cell>
          <cell r="D1059">
            <v>4</v>
          </cell>
          <cell r="E1059">
            <v>5</v>
          </cell>
          <cell r="F1059">
            <v>0.11858970739999999</v>
          </cell>
          <cell r="G1059">
            <v>7.7216256564999997</v>
          </cell>
          <cell r="H1059">
            <v>0.2054826143</v>
          </cell>
          <cell r="I1059" t="str">
            <v>Air/Non-Local PT</v>
          </cell>
          <cell r="J1059" t="str">
            <v>2012/13</v>
          </cell>
        </row>
        <row r="1060">
          <cell r="A1060" t="str">
            <v>15 SOUTHLAND</v>
          </cell>
          <cell r="B1060">
            <v>10</v>
          </cell>
          <cell r="C1060">
            <v>2018</v>
          </cell>
          <cell r="D1060">
            <v>4</v>
          </cell>
          <cell r="E1060">
            <v>5</v>
          </cell>
          <cell r="F1060">
            <v>0.1432275851</v>
          </cell>
          <cell r="G1060">
            <v>7.9537356617999997</v>
          </cell>
          <cell r="H1060">
            <v>0.23874952939999999</v>
          </cell>
          <cell r="I1060" t="str">
            <v>Air/Non-Local PT</v>
          </cell>
          <cell r="J1060" t="str">
            <v>2017/18</v>
          </cell>
        </row>
        <row r="1061">
          <cell r="A1061" t="str">
            <v>15 SOUTHLAND</v>
          </cell>
          <cell r="B1061">
            <v>10</v>
          </cell>
          <cell r="C1061">
            <v>2023</v>
          </cell>
          <cell r="D1061">
            <v>4</v>
          </cell>
          <cell r="E1061">
            <v>5</v>
          </cell>
          <cell r="F1061">
            <v>0.15677619179999999</v>
          </cell>
          <cell r="G1061">
            <v>7.5532826714999999</v>
          </cell>
          <cell r="H1061">
            <v>0.25375134700000002</v>
          </cell>
          <cell r="I1061" t="str">
            <v>Air/Non-Local PT</v>
          </cell>
          <cell r="J1061" t="str">
            <v>2022/23</v>
          </cell>
        </row>
        <row r="1062">
          <cell r="A1062" t="str">
            <v>15 SOUTHLAND</v>
          </cell>
          <cell r="B1062">
            <v>10</v>
          </cell>
          <cell r="C1062">
            <v>2028</v>
          </cell>
          <cell r="D1062">
            <v>4</v>
          </cell>
          <cell r="E1062">
            <v>5</v>
          </cell>
          <cell r="F1062">
            <v>0.1667819908</v>
          </cell>
          <cell r="G1062">
            <v>7.1727991413999996</v>
          </cell>
          <cell r="H1062">
            <v>0.26399690520000002</v>
          </cell>
          <cell r="I1062" t="str">
            <v>Air/Non-Local PT</v>
          </cell>
          <cell r="J1062" t="str">
            <v>2027/28</v>
          </cell>
        </row>
        <row r="1063">
          <cell r="A1063" t="str">
            <v>15 SOUTHLAND</v>
          </cell>
          <cell r="B1063">
            <v>10</v>
          </cell>
          <cell r="C1063">
            <v>2033</v>
          </cell>
          <cell r="D1063">
            <v>4</v>
          </cell>
          <cell r="E1063">
            <v>5</v>
          </cell>
          <cell r="F1063">
            <v>0.17145816229999999</v>
          </cell>
          <cell r="G1063">
            <v>7.4409451564999998</v>
          </cell>
          <cell r="H1063">
            <v>0.27212469189999999</v>
          </cell>
          <cell r="I1063" t="str">
            <v>Air/Non-Local PT</v>
          </cell>
          <cell r="J1063" t="str">
            <v>2032/33</v>
          </cell>
        </row>
        <row r="1064">
          <cell r="A1064" t="str">
            <v>15 SOUTHLAND</v>
          </cell>
          <cell r="B1064">
            <v>10</v>
          </cell>
          <cell r="C1064">
            <v>2038</v>
          </cell>
          <cell r="D1064">
            <v>4</v>
          </cell>
          <cell r="E1064">
            <v>5</v>
          </cell>
          <cell r="F1064">
            <v>0.1771902836</v>
          </cell>
          <cell r="G1064">
            <v>7.7144560422000001</v>
          </cell>
          <cell r="H1064">
            <v>0.28324396759999998</v>
          </cell>
          <cell r="I1064" t="str">
            <v>Air/Non-Local PT</v>
          </cell>
          <cell r="J1064" t="str">
            <v>2037/38</v>
          </cell>
        </row>
        <row r="1065">
          <cell r="A1065" t="str">
            <v>15 SOUTHLAND</v>
          </cell>
          <cell r="B1065">
            <v>10</v>
          </cell>
          <cell r="C1065">
            <v>2043</v>
          </cell>
          <cell r="D1065">
            <v>4</v>
          </cell>
          <cell r="E1065">
            <v>5</v>
          </cell>
          <cell r="F1065">
            <v>0.18233371649999999</v>
          </cell>
          <cell r="G1065">
            <v>7.9473259555000002</v>
          </cell>
          <cell r="H1065">
            <v>0.29321604559999997</v>
          </cell>
          <cell r="I1065" t="str">
            <v>Air/Non-Local PT</v>
          </cell>
          <cell r="J1065" t="str">
            <v>2042/43</v>
          </cell>
        </row>
        <row r="1066">
          <cell r="A1066" t="str">
            <v>15 SOUTHLAND</v>
          </cell>
          <cell r="B1066">
            <v>11</v>
          </cell>
          <cell r="C1066">
            <v>2013</v>
          </cell>
          <cell r="D1066">
            <v>3</v>
          </cell>
          <cell r="E1066">
            <v>9</v>
          </cell>
          <cell r="F1066">
            <v>0.1918163457</v>
          </cell>
          <cell r="G1066">
            <v>7.2518167408999998</v>
          </cell>
          <cell r="H1066">
            <v>0.26579174360000002</v>
          </cell>
          <cell r="I1066" t="str">
            <v>Non-Household Travel</v>
          </cell>
          <cell r="J1066" t="str">
            <v>2012/13</v>
          </cell>
        </row>
        <row r="1067">
          <cell r="A1067" t="str">
            <v>15 SOUTHLAND</v>
          </cell>
          <cell r="B1067">
            <v>11</v>
          </cell>
          <cell r="C1067">
            <v>2018</v>
          </cell>
          <cell r="D1067">
            <v>3</v>
          </cell>
          <cell r="E1067">
            <v>9</v>
          </cell>
          <cell r="F1067">
            <v>0.20441820290000001</v>
          </cell>
          <cell r="G1067">
            <v>8.7413470288999999</v>
          </cell>
          <cell r="H1067">
            <v>0.36361138749999999</v>
          </cell>
          <cell r="I1067" t="str">
            <v>Non-Household Travel</v>
          </cell>
          <cell r="J1067" t="str">
            <v>2017/18</v>
          </cell>
        </row>
        <row r="1068">
          <cell r="A1068" t="str">
            <v>15 SOUTHLAND</v>
          </cell>
          <cell r="B1068">
            <v>11</v>
          </cell>
          <cell r="C1068">
            <v>2023</v>
          </cell>
          <cell r="D1068">
            <v>3</v>
          </cell>
          <cell r="E1068">
            <v>9</v>
          </cell>
          <cell r="F1068">
            <v>0.2214977413</v>
          </cell>
          <cell r="G1068">
            <v>10.043582462</v>
          </cell>
          <cell r="H1068">
            <v>0.43041552080000001</v>
          </cell>
          <cell r="I1068" t="str">
            <v>Non-Household Travel</v>
          </cell>
          <cell r="J1068" t="str">
            <v>2022/23</v>
          </cell>
        </row>
        <row r="1069">
          <cell r="A1069" t="str">
            <v>15 SOUTHLAND</v>
          </cell>
          <cell r="B1069">
            <v>11</v>
          </cell>
          <cell r="C1069">
            <v>2028</v>
          </cell>
          <cell r="D1069">
            <v>3</v>
          </cell>
          <cell r="E1069">
            <v>9</v>
          </cell>
          <cell r="F1069">
            <v>0.25780387490000001</v>
          </cell>
          <cell r="G1069">
            <v>11.263981569</v>
          </cell>
          <cell r="H1069">
            <v>0.45805184249999997</v>
          </cell>
          <cell r="I1069" t="str">
            <v>Non-Household Travel</v>
          </cell>
          <cell r="J1069" t="str">
            <v>2027/28</v>
          </cell>
        </row>
        <row r="1070">
          <cell r="A1070" t="str">
            <v>15 SOUTHLAND</v>
          </cell>
          <cell r="B1070">
            <v>11</v>
          </cell>
          <cell r="C1070">
            <v>2033</v>
          </cell>
          <cell r="D1070">
            <v>3</v>
          </cell>
          <cell r="E1070">
            <v>9</v>
          </cell>
          <cell r="F1070">
            <v>0.27578636779999999</v>
          </cell>
          <cell r="G1070">
            <v>12.070063049</v>
          </cell>
          <cell r="H1070">
            <v>0.48580784910000002</v>
          </cell>
          <cell r="I1070" t="str">
            <v>Non-Household Travel</v>
          </cell>
          <cell r="J1070" t="str">
            <v>2032/33</v>
          </cell>
        </row>
        <row r="1071">
          <cell r="A1071" t="str">
            <v>15 SOUTHLAND</v>
          </cell>
          <cell r="B1071">
            <v>11</v>
          </cell>
          <cell r="C1071">
            <v>2038</v>
          </cell>
          <cell r="D1071">
            <v>3</v>
          </cell>
          <cell r="E1071">
            <v>9</v>
          </cell>
          <cell r="F1071">
            <v>0.27635687050000002</v>
          </cell>
          <cell r="G1071">
            <v>12.465720873</v>
          </cell>
          <cell r="H1071">
            <v>0.52424049849999999</v>
          </cell>
          <cell r="I1071" t="str">
            <v>Non-Household Travel</v>
          </cell>
          <cell r="J1071" t="str">
            <v>2037/38</v>
          </cell>
        </row>
        <row r="1072">
          <cell r="A1072" t="str">
            <v>15 SOUTHLAND</v>
          </cell>
          <cell r="B1072">
            <v>11</v>
          </cell>
          <cell r="C1072">
            <v>2043</v>
          </cell>
          <cell r="D1072">
            <v>3</v>
          </cell>
          <cell r="E1072">
            <v>9</v>
          </cell>
          <cell r="F1072">
            <v>0.27331743930000002</v>
          </cell>
          <cell r="G1072">
            <v>12.798288286</v>
          </cell>
          <cell r="H1072">
            <v>0.56388646809999998</v>
          </cell>
          <cell r="I1072" t="str">
            <v>Non-Household Travel</v>
          </cell>
          <cell r="J1072" t="str">
            <v>2042/43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6" sqref="A6"/>
    </sheetView>
  </sheetViews>
  <sheetFormatPr defaultRowHeight="12.5" x14ac:dyDescent="0.25"/>
  <sheetData>
    <row r="3" spans="1:1" x14ac:dyDescent="0.25">
      <c r="A3" t="s">
        <v>117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190"/>
  <sheetViews>
    <sheetView topLeftCell="A92" workbookViewId="0">
      <selection activeCell="K7" sqref="K7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13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OFFSET(Northland_Reference,0,6)</f>
        <v>17.849116999</v>
      </c>
      <c r="C5" s="4">
        <f ca="1">OFFSET(Northland_Reference,1,6)</f>
        <v>17.735698363000001</v>
      </c>
      <c r="D5" s="4">
        <f ca="1">OFFSET(Northland_Reference,2,6)</f>
        <v>17.460780533000001</v>
      </c>
      <c r="E5" s="4">
        <f ca="1">OFFSET(Northland_Reference,3,6)</f>
        <v>17.146159603000001</v>
      </c>
      <c r="F5" s="4">
        <f ca="1">OFFSET(Northland_Reference,4,6)</f>
        <v>16.562222740999999</v>
      </c>
      <c r="G5" s="4">
        <f ca="1">OFFSET(Northland_Reference,5,6)</f>
        <v>15.760934551</v>
      </c>
      <c r="H5" s="4">
        <f ca="1">OFFSET(Northland_Reference,6,6)</f>
        <v>14.938009724</v>
      </c>
      <c r="I5" s="1">
        <f ca="1">H5*('Updated Population'!I$4/'Updated Population'!H$4)</f>
        <v>15.008859143289479</v>
      </c>
      <c r="J5" s="1">
        <f ca="1">I5*('Updated Population'!J$4/'Updated Population'!I$4)</f>
        <v>15.032042213671726</v>
      </c>
      <c r="K5" s="1">
        <f ca="1">J5*('Updated Population'!K$4/'Updated Population'!J$4)</f>
        <v>15.022906364806492</v>
      </c>
    </row>
    <row r="6" spans="1:11" x14ac:dyDescent="0.25">
      <c r="A6" t="str">
        <f ca="1">OFFSET(Northland_Reference,7,2)</f>
        <v>Cyclist</v>
      </c>
      <c r="B6" s="4">
        <f ca="1">OFFSET(Northland_Reference,7,6)</f>
        <v>1.0072239942000001</v>
      </c>
      <c r="C6" s="4">
        <f ca="1">OFFSET(Northland_Reference,8,6)</f>
        <v>0.95358870829999998</v>
      </c>
      <c r="D6" s="4">
        <f ca="1">OFFSET(Northland_Reference,9,6)</f>
        <v>0.97165468779999997</v>
      </c>
      <c r="E6" s="4">
        <f ca="1">OFFSET(Northland_Reference,10,6)</f>
        <v>0.95155926359999998</v>
      </c>
      <c r="F6" s="4">
        <f ca="1">OFFSET(Northland_Reference,11,6)</f>
        <v>0.89215645580000003</v>
      </c>
      <c r="G6" s="4">
        <f ca="1">OFFSET(Northland_Reference,12,6)</f>
        <v>0.74360667499999999</v>
      </c>
      <c r="H6" s="4">
        <f ca="1">OFFSET(Northland_Reference,13,6)</f>
        <v>0.60775131100000002</v>
      </c>
      <c r="I6" s="1">
        <f ca="1">H6*('Updated Population'!I$4/'Updated Population'!H$4)</f>
        <v>0.61063381196581401</v>
      </c>
      <c r="J6" s="1">
        <f ca="1">I6*('Updated Population'!J$4/'Updated Population'!I$4)</f>
        <v>0.61157701267850195</v>
      </c>
      <c r="K6" s="1">
        <f ca="1">J6*('Updated Population'!K$4/'Updated Population'!J$4)</f>
        <v>0.61120532165489627</v>
      </c>
    </row>
    <row r="7" spans="1:11" x14ac:dyDescent="0.25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OFFSET(Northland_Reference,15,6)</f>
        <v>1055.6674237</v>
      </c>
      <c r="D7" s="4">
        <f ca="1">OFFSET(Northland_Reference,16,6)</f>
        <v>1075.0867555</v>
      </c>
      <c r="E7" s="4">
        <f ca="1">OFFSET(Northland_Reference,17,6)</f>
        <v>1101.4805818</v>
      </c>
      <c r="F7" s="4">
        <f ca="1">OFFSET(Northland_Reference,18,6)</f>
        <v>1125.3273406999999</v>
      </c>
      <c r="G7" s="4">
        <f ca="1">OFFSET(Northland_Reference,19,6)</f>
        <v>1133.4092654999999</v>
      </c>
      <c r="H7" s="4">
        <f ca="1">OFFSET(Northland_Reference,20,6)</f>
        <v>1137.1598276</v>
      </c>
      <c r="I7" s="1">
        <f ca="1">H7*('Updated Population'!I$4/'Updated Population'!H$4)</f>
        <v>1142.5532578436114</v>
      </c>
      <c r="J7" s="1">
        <f ca="1">I7*('Updated Population'!J$4/'Updated Population'!I$4)</f>
        <v>1144.3180750318584</v>
      </c>
      <c r="K7" s="1">
        <f ca="1">J7*('Updated Population'!K$4/'Updated Population'!J$4)</f>
        <v>1143.6226061901239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OFFSET(Northland_Reference,22,6)</f>
        <v>663.84112298000002</v>
      </c>
      <c r="D8" s="4">
        <f ca="1">OFFSET(Northland_Reference,23,6)</f>
        <v>656.87455413999999</v>
      </c>
      <c r="E8" s="4">
        <f ca="1">OFFSET(Northland_Reference,24,6)</f>
        <v>658.16193868000005</v>
      </c>
      <c r="F8" s="4">
        <f ca="1">OFFSET(Northland_Reference,25,6)</f>
        <v>655.67660107999995</v>
      </c>
      <c r="G8" s="4">
        <f ca="1">OFFSET(Northland_Reference,26,6)</f>
        <v>650.79562777000001</v>
      </c>
      <c r="H8" s="4">
        <f ca="1">OFFSET(Northland_Reference,27,6)</f>
        <v>644.06478465999999</v>
      </c>
      <c r="I8" s="1">
        <f ca="1">H8*('Updated Population'!I$4/'Updated Population'!H$4)</f>
        <v>647.11951663708862</v>
      </c>
      <c r="J8" s="1">
        <f ca="1">I8*('Updated Population'!J$4/'Updated Population'!I$4)</f>
        <v>648.11907410889228</v>
      </c>
      <c r="K8" s="1">
        <f ca="1">J8*('Updated Population'!K$4/'Updated Population'!J$4)</f>
        <v>647.72517434307406</v>
      </c>
    </row>
    <row r="9" spans="1:11" x14ac:dyDescent="0.25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OFFSET(Northland_Reference,29,6)</f>
        <v>0.75231248009999996</v>
      </c>
      <c r="D9" s="4">
        <f ca="1">OFFSET(Northland_Reference,30,6)</f>
        <v>0.80318269279999999</v>
      </c>
      <c r="E9" s="4">
        <f ca="1">OFFSET(Northland_Reference,31,6)</f>
        <v>0.92505622180000002</v>
      </c>
      <c r="F9" s="4">
        <f ca="1">OFFSET(Northland_Reference,32,6)</f>
        <v>0.99687324580000003</v>
      </c>
      <c r="G9" s="4">
        <f ca="1">OFFSET(Northland_Reference,33,6)</f>
        <v>0.98051401120000004</v>
      </c>
      <c r="H9" s="4">
        <f ca="1">OFFSET(Northland_Reference,34,6)</f>
        <v>0.95688894339999997</v>
      </c>
      <c r="I9" s="1">
        <f ca="1">H9*('Updated Population'!I$4/'Updated Population'!H$4)</f>
        <v>0.96142736767585846</v>
      </c>
      <c r="J9" s="1">
        <f ca="1">I9*('Updated Population'!J$4/'Updated Population'!I$4)</f>
        <v>0.96291241314929887</v>
      </c>
      <c r="K9" s="1">
        <f ca="1">J9*('Updated Population'!K$4/'Updated Population'!J$4)</f>
        <v>0.96232719510959763</v>
      </c>
    </row>
    <row r="10" spans="1:11" x14ac:dyDescent="0.25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OFFSET(Northland_Reference,36,6)</f>
        <v>9.4484881807000001</v>
      </c>
      <c r="D10" s="4">
        <f ca="1">OFFSET(Northland_Reference,37,6)</f>
        <v>9.1273042885999995</v>
      </c>
      <c r="E10" s="4">
        <f ca="1">OFFSET(Northland_Reference,38,6)</f>
        <v>8.8117765380000002</v>
      </c>
      <c r="F10" s="4">
        <f ca="1">OFFSET(Northland_Reference,39,6)</f>
        <v>8.6562204023000007</v>
      </c>
      <c r="G10" s="4">
        <f ca="1">OFFSET(Northland_Reference,40,6)</f>
        <v>8.7235747392</v>
      </c>
      <c r="H10" s="4">
        <f ca="1">OFFSET(Northland_Reference,41,6)</f>
        <v>8.6428281432999992</v>
      </c>
      <c r="I10" s="1">
        <f ca="1">H10*('Updated Population'!I$4/'Updated Population'!H$4)</f>
        <v>8.6838201741183862</v>
      </c>
      <c r="J10" s="1">
        <f ca="1">I10*('Updated Population'!J$4/'Updated Population'!I$4)</f>
        <v>8.6972334264090083</v>
      </c>
      <c r="K10" s="1">
        <f ca="1">J10*('Updated Population'!K$4/'Updated Population'!J$4)</f>
        <v>8.6919476103502245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OFFSET(Northland_Reference,43,6)</f>
        <v>38.885458948999997</v>
      </c>
      <c r="D12" s="4">
        <f ca="1">OFFSET(Northland_Reference,44,6)</f>
        <v>35.233701803000002</v>
      </c>
      <c r="E12" s="4">
        <f ca="1">OFFSET(Northland_Reference,45,6)</f>
        <v>32.726104001000003</v>
      </c>
      <c r="F12" s="4">
        <f ca="1">OFFSET(Northland_Reference,46,6)</f>
        <v>30.241396865999999</v>
      </c>
      <c r="G12" s="4">
        <f ca="1">OFFSET(Northland_Reference,47,6)</f>
        <v>28.233342477000001</v>
      </c>
      <c r="H12" s="4">
        <f ca="1">OFFSET(Northland_Reference,48,6)</f>
        <v>26.183232593</v>
      </c>
      <c r="I12" s="1">
        <f ca="1">H12*('Updated Population'!I$4/'Updated Population'!H$4)</f>
        <v>26.30741692937481</v>
      </c>
      <c r="J12" s="1">
        <f ca="1">I12*('Updated Population'!J$4/'Updated Population'!I$4)</f>
        <v>26.348052043105056</v>
      </c>
      <c r="K12" s="1">
        <f ca="1">J12*('Updated Population'!K$4/'Updated Population'!J$4)</f>
        <v>26.332038795008916</v>
      </c>
    </row>
    <row r="13" spans="1:11" x14ac:dyDescent="0.25">
      <c r="A13" t="str">
        <f ca="1">OFFSET(Northland_Reference,49,2)</f>
        <v>Local Ferry</v>
      </c>
      <c r="B13" s="4">
        <f ca="1">OFFSET(Northland_Reference,49,6)</f>
        <v>0</v>
      </c>
      <c r="C13" s="4">
        <f ca="1">OFFSET(Northland_Reference,50,6)</f>
        <v>0</v>
      </c>
      <c r="D13" s="4">
        <f ca="1">OFFSET(Northland_Reference,51,6)</f>
        <v>0</v>
      </c>
      <c r="E13" s="4">
        <f ca="1">OFFSET(Northland_Reference,52,6)</f>
        <v>0</v>
      </c>
      <c r="F13" s="4">
        <f ca="1">OFFSET(Northland_Reference,53,6)</f>
        <v>0</v>
      </c>
      <c r="G13" s="4">
        <f ca="1">OFFSET(Northland_Reference,54,6)</f>
        <v>0</v>
      </c>
      <c r="H13" s="4">
        <f ca="1">OFFSET(Northland_Reference,55,6)</f>
        <v>0</v>
      </c>
      <c r="I13" s="1">
        <f ca="1">H13*('Updated Population'!I$4/'Updated Population'!H$4)</f>
        <v>0</v>
      </c>
      <c r="J13" s="1">
        <f ca="1">I13*('Updated Population'!J$4/'Updated Population'!I$4)</f>
        <v>0</v>
      </c>
      <c r="K13" s="1">
        <f ca="1">J13*('Updated Population'!K$4/'Updated Population'!J$4)</f>
        <v>0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OFFSET(Northland_Reference,57,6)</f>
        <v>0</v>
      </c>
      <c r="D14" s="4">
        <f ca="1">OFFSET(Northland_Reference,58,6)</f>
        <v>0</v>
      </c>
      <c r="E14" s="4">
        <f ca="1">OFFSET(Northland_Reference,59,6)</f>
        <v>0</v>
      </c>
      <c r="F14" s="4">
        <f ca="1">OFFSET(Northland_Reference,60,6)</f>
        <v>0</v>
      </c>
      <c r="G14" s="4">
        <f ca="1">OFFSET(Northland_Reference,61,6)</f>
        <v>0</v>
      </c>
      <c r="H14" s="4">
        <f ca="1">OFFSET(Northland_Reference,62,6)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OFFSET(Auckland_Reference,1,6)</f>
        <v>321.12046136999999</v>
      </c>
      <c r="D16" s="4">
        <f ca="1">OFFSET(Auckland_Reference,2,6)</f>
        <v>338.35782426999998</v>
      </c>
      <c r="E16" s="4">
        <f ca="1">OFFSET(Auckland_Reference,3,6)</f>
        <v>349.85260097999998</v>
      </c>
      <c r="F16" s="4">
        <f ca="1">OFFSET(Auckland_Reference,4,6)</f>
        <v>358.28383523000002</v>
      </c>
      <c r="G16" s="4">
        <f ca="1">OFFSET(Auckland_Reference,5,6)</f>
        <v>366.08544594</v>
      </c>
      <c r="H16" s="4">
        <f ca="1">OFFSET(Auckland_Reference,6,6)</f>
        <v>371.31070032000002</v>
      </c>
      <c r="I16" s="1">
        <f ca="1">H16*('Updated Population'!I$15/'Updated Population'!H$15)</f>
        <v>387.26791749236111</v>
      </c>
      <c r="J16" s="1">
        <f ca="1">I16*('Updated Population'!J$15/'Updated Population'!I$15)</f>
        <v>402.625184084848</v>
      </c>
      <c r="K16" s="1">
        <f ca="1">J16*('Updated Population'!K$15/'Updated Population'!J$15)</f>
        <v>417.69186926400533</v>
      </c>
    </row>
    <row r="17" spans="1:11" x14ac:dyDescent="0.25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OFFSET(Auckland_Reference,8,6)</f>
        <v>63.684796933000001</v>
      </c>
      <c r="D17" s="4">
        <f ca="1">OFFSET(Auckland_Reference,9,6)</f>
        <v>69.036761009000003</v>
      </c>
      <c r="E17" s="4">
        <f ca="1">OFFSET(Auckland_Reference,10,6)</f>
        <v>73.540929696000006</v>
      </c>
      <c r="F17" s="4">
        <f ca="1">OFFSET(Auckland_Reference,11,6)</f>
        <v>79.041909404999998</v>
      </c>
      <c r="G17" s="4">
        <f ca="1">OFFSET(Auckland_Reference,12,6)</f>
        <v>86.924678517999993</v>
      </c>
      <c r="H17" s="4">
        <f ca="1">OFFSET(Auckland_Reference,13,6)</f>
        <v>94.903238408000007</v>
      </c>
      <c r="I17" s="1">
        <f ca="1">H17*('Updated Population'!I$15/'Updated Population'!H$15)</f>
        <v>98.981740816715117</v>
      </c>
      <c r="J17" s="1">
        <f ca="1">I17*('Updated Population'!J$15/'Updated Population'!I$15)</f>
        <v>102.90690195929987</v>
      </c>
      <c r="K17" s="1">
        <f ca="1">J17*('Updated Population'!K$15/'Updated Population'!J$15)</f>
        <v>106.7577934481354</v>
      </c>
    </row>
    <row r="18" spans="1:11" x14ac:dyDescent="0.25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OFFSET(Auckland_Reference,15,6)</f>
        <v>10561.901644</v>
      </c>
      <c r="D18" s="4">
        <f ca="1">OFFSET(Auckland_Reference,16,6)</f>
        <v>11274.637494000001</v>
      </c>
      <c r="E18" s="4">
        <f ca="1">OFFSET(Auckland_Reference,17,6)</f>
        <v>11985.832232999999</v>
      </c>
      <c r="F18" s="4">
        <f ca="1">OFFSET(Auckland_Reference,18,6)</f>
        <v>12718.284267000001</v>
      </c>
      <c r="G18" s="4">
        <f ca="1">OFFSET(Auckland_Reference,19,6)</f>
        <v>13361.369712</v>
      </c>
      <c r="H18" s="4">
        <f ca="1">OFFSET(Auckland_Reference,20,6)</f>
        <v>13936.592035</v>
      </c>
      <c r="I18" s="1">
        <f ca="1">H18*('Updated Population'!I$15/'Updated Population'!H$15)</f>
        <v>14535.522325868093</v>
      </c>
      <c r="J18" s="1">
        <f ca="1">I18*('Updated Population'!J$15/'Updated Population'!I$15)</f>
        <v>15111.93436863382</v>
      </c>
      <c r="K18" s="1">
        <f ca="1">J18*('Updated Population'!K$15/'Updated Population'!J$15)</f>
        <v>15677.439872463186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OFFSET(Auckland_Reference,22,6)</f>
        <v>5252.5287291000004</v>
      </c>
      <c r="D19" s="4">
        <f ca="1">OFFSET(Auckland_Reference,23,6)</f>
        <v>5569.3224726999997</v>
      </c>
      <c r="E19" s="4">
        <f ca="1">OFFSET(Auckland_Reference,24,6)</f>
        <v>5879.0933020000002</v>
      </c>
      <c r="F19" s="4">
        <f ca="1">OFFSET(Auckland_Reference,25,6)</f>
        <v>6140.4497775</v>
      </c>
      <c r="G19" s="4">
        <f ca="1">OFFSET(Auckland_Reference,26,6)</f>
        <v>6373.4716152999999</v>
      </c>
      <c r="H19" s="4">
        <f ca="1">OFFSET(Auckland_Reference,27,6)</f>
        <v>6564.0998227</v>
      </c>
      <c r="I19" s="1">
        <f ca="1">H19*('Updated Population'!I$15/'Updated Population'!H$15)</f>
        <v>6846.1944844525715</v>
      </c>
      <c r="J19" s="1">
        <f ca="1">I19*('Updated Population'!J$15/'Updated Population'!I$15)</f>
        <v>7117.6831079423428</v>
      </c>
      <c r="K19" s="1">
        <f ca="1">J19*('Updated Population'!K$15/'Updated Population'!J$15)</f>
        <v>7384.0347790036694</v>
      </c>
    </row>
    <row r="20" spans="1:11" x14ac:dyDescent="0.25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OFFSET(Auckland_Reference,29,6)</f>
        <v>49.470833216000003</v>
      </c>
      <c r="D20" s="4">
        <f ca="1">OFFSET(Auckland_Reference,30,6)</f>
        <v>57.866944635999999</v>
      </c>
      <c r="E20" s="4">
        <f ca="1">OFFSET(Auckland_Reference,31,6)</f>
        <v>66.605562336000006</v>
      </c>
      <c r="F20" s="4">
        <f ca="1">OFFSET(Auckland_Reference,32,6)</f>
        <v>74.628617242000004</v>
      </c>
      <c r="G20" s="4">
        <f ca="1">OFFSET(Auckland_Reference,33,6)</f>
        <v>81.385333059000004</v>
      </c>
      <c r="H20" s="4">
        <f ca="1">OFFSET(Auckland_Reference,34,6)</f>
        <v>88.076069412999999</v>
      </c>
      <c r="I20" s="1">
        <f ca="1">H20*('Updated Population'!I$15/'Updated Population'!H$15)</f>
        <v>91.861171663217831</v>
      </c>
      <c r="J20" s="1">
        <f ca="1">I20*('Updated Population'!J$15/'Updated Population'!I$15)</f>
        <v>95.503963743349445</v>
      </c>
      <c r="K20" s="1">
        <f ca="1">J20*('Updated Population'!K$15/'Updated Population'!J$15)</f>
        <v>99.077828995602189</v>
      </c>
    </row>
    <row r="21" spans="1:11" x14ac:dyDescent="0.25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OFFSET(Auckland_Reference,36,6)</f>
        <v>49.254398813999998</v>
      </c>
      <c r="D21" s="4">
        <f ca="1">OFFSET(Auckland_Reference,37,6)</f>
        <v>52.666048691</v>
      </c>
      <c r="E21" s="4">
        <f ca="1">OFFSET(Auckland_Reference,38,6)</f>
        <v>56.260513623999998</v>
      </c>
      <c r="F21" s="4">
        <f ca="1">OFFSET(Auckland_Reference,39,6)</f>
        <v>60.020809297</v>
      </c>
      <c r="G21" s="4">
        <f ca="1">OFFSET(Auckland_Reference,40,6)</f>
        <v>62.158337666000001</v>
      </c>
      <c r="H21" s="4">
        <f ca="1">OFFSET(Auckland_Reference,41,6)</f>
        <v>64.098417706999996</v>
      </c>
      <c r="I21" s="1">
        <f ca="1">H21*('Updated Population'!I$15/'Updated Population'!H$15)</f>
        <v>66.853071345782354</v>
      </c>
      <c r="J21" s="1">
        <f ca="1">I21*('Updated Population'!J$15/'Updated Population'!I$15)</f>
        <v>69.504157048496097</v>
      </c>
      <c r="K21" s="1">
        <f ca="1">J21*('Updated Population'!K$15/'Updated Population'!J$15)</f>
        <v>72.105080424098247</v>
      </c>
    </row>
    <row r="22" spans="1:11" x14ac:dyDescent="0.25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142.28315175</v>
      </c>
      <c r="D22" s="4">
        <f ca="1">OFFSET(Auckland_Reference,44,6)</f>
        <v>151.9895195</v>
      </c>
      <c r="E22" s="4">
        <f ca="1">OFFSET(Auckland_Reference,45,6)</f>
        <v>159.40260860999999</v>
      </c>
      <c r="F22" s="4">
        <f ca="1">OFFSET(Auckland_Reference,46,6)</f>
        <v>165.52680409000001</v>
      </c>
      <c r="G22" s="4">
        <f ca="1">OFFSET(Auckland_Reference,47,6)</f>
        <v>169.11231931</v>
      </c>
      <c r="H22" s="4">
        <f ca="1">OFFSET(Auckland_Reference,48,6)</f>
        <v>171.32241389000001</v>
      </c>
      <c r="I22" s="1">
        <f ca="1">H22*('Updated Population'!I$15/'Updated Population'!H$15)</f>
        <v>178.68505914256025</v>
      </c>
      <c r="J22" s="1">
        <f ca="1">I22*('Updated Population'!J$15/'Updated Population'!I$15)</f>
        <v>185.77088775215768</v>
      </c>
      <c r="K22" s="1">
        <f ca="1">J22*('Updated Population'!K$15/'Updated Population'!J$15)</f>
        <v>192.72264236625676</v>
      </c>
    </row>
    <row r="23" spans="1:11" x14ac:dyDescent="0.25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478.77990081000002</v>
      </c>
      <c r="D23" s="4">
        <f ca="1">OFFSET(Auckland_Reference,51,6)</f>
        <v>499.04930562999999</v>
      </c>
      <c r="E23" s="4">
        <f ca="1">OFFSET(Auckland_Reference,52,6)</f>
        <v>509.52359158000002</v>
      </c>
      <c r="F23" s="4">
        <f ca="1">OFFSET(Auckland_Reference,53,6)</f>
        <v>508.78029996999999</v>
      </c>
      <c r="G23" s="4">
        <f ca="1">OFFSET(Auckland_Reference,54,6)</f>
        <v>506.05434568999999</v>
      </c>
      <c r="H23" s="4">
        <f ca="1">OFFSET(Auckland_Reference,55,6)</f>
        <v>498.97802371</v>
      </c>
      <c r="I23" s="1">
        <f ca="1">H23*('Updated Population'!I$15/'Updated Population'!H$15)</f>
        <v>520.42179218129377</v>
      </c>
      <c r="J23" s="1">
        <f ca="1">I23*('Updated Population'!J$15/'Updated Population'!I$15)</f>
        <v>541.05932976720953</v>
      </c>
      <c r="K23" s="1">
        <f ca="1">J23*('Updated Population'!K$15/'Updated Population'!J$15)</f>
        <v>561.30637567264023</v>
      </c>
    </row>
    <row r="24" spans="1:11" x14ac:dyDescent="0.25">
      <c r="A24" t="str">
        <f ca="1">OFFSET(Auckland_Reference,56,2)</f>
        <v>Local Ferry</v>
      </c>
      <c r="B24" s="4">
        <f ca="1">OFFSET(Auckland_Reference,56,6)</f>
        <v>0</v>
      </c>
      <c r="C24" s="4">
        <f ca="1">OFFSET(Auckland_Reference,57,6)</f>
        <v>0</v>
      </c>
      <c r="D24" s="4">
        <f ca="1">OFFSET(Auckland_Reference,58,6)</f>
        <v>0</v>
      </c>
      <c r="E24" s="4">
        <f ca="1">OFFSET(Auckland_Reference,59,6)</f>
        <v>0</v>
      </c>
      <c r="F24" s="4">
        <f ca="1">OFFSET(Auckland_Reference,60,6)</f>
        <v>0</v>
      </c>
      <c r="G24" s="4">
        <f ca="1">OFFSET(Auckland_Reference,61,6)</f>
        <v>0</v>
      </c>
      <c r="H24" s="4">
        <f ca="1">OFFSET(Auckland_Reference,62,6)</f>
        <v>0</v>
      </c>
      <c r="I24" s="1">
        <f ca="1">H24*('Updated Population'!I$15/'Updated Population'!H$15)</f>
        <v>0</v>
      </c>
      <c r="J24" s="1">
        <f ca="1">I24*('Updated Population'!J$15/'Updated Population'!I$15)</f>
        <v>0</v>
      </c>
      <c r="K24" s="1">
        <f ca="1">J24*('Updated Population'!K$15/'Updated Population'!J$15)</f>
        <v>0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OFFSET(Auckland_Reference,64,6)</f>
        <v>1.8142999209999999</v>
      </c>
      <c r="D25" s="4">
        <f ca="1">OFFSET(Auckland_Reference,65,6)</f>
        <v>1.7346656834</v>
      </c>
      <c r="E25" s="4">
        <f ca="1">OFFSET(Auckland_Reference,66,6)</f>
        <v>2.0092229745000001</v>
      </c>
      <c r="F25" s="4">
        <f ca="1">OFFSET(Auckland_Reference,67,6)</f>
        <v>2.1640008936999999</v>
      </c>
      <c r="G25" s="4">
        <f ca="1">OFFSET(Auckland_Reference,68,6)</f>
        <v>2.1748583427999999</v>
      </c>
      <c r="H25" s="4">
        <f ca="1">OFFSET(Auckland_Reference,69,6)</f>
        <v>2.1361527591999998</v>
      </c>
      <c r="I25" s="1">
        <f ca="1">H25*('Updated Population'!I$15/'Updated Population'!H$15)</f>
        <v>2.2279547284470915</v>
      </c>
      <c r="J25" s="1">
        <f ca="1">I25*('Updated Population'!J$15/'Updated Population'!I$15)</f>
        <v>2.3163051782914907</v>
      </c>
      <c r="K25" s="1">
        <f ca="1">J25*('Updated Population'!K$15/'Updated Population'!J$15)</f>
        <v>2.4029839114648612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OFFSET(Waikato_Reference,1,6)</f>
        <v>55.406616696</v>
      </c>
      <c r="D27" s="4">
        <f ca="1">OFFSET(Waikato_Reference,2,6)</f>
        <v>57.085431043</v>
      </c>
      <c r="E27" s="4">
        <f ca="1">OFFSET(Waikato_Reference,3,6)</f>
        <v>58.031914768</v>
      </c>
      <c r="F27" s="4">
        <f ca="1">OFFSET(Waikato_Reference,4,6)</f>
        <v>58.309579812999999</v>
      </c>
      <c r="G27" s="4">
        <f ca="1">OFFSET(Waikato_Reference,5,6)</f>
        <v>58.300039781000002</v>
      </c>
      <c r="H27" s="4">
        <f ca="1">OFFSET(Waikato_Reference,6,6)</f>
        <v>58.104213882000003</v>
      </c>
      <c r="I27" s="1">
        <f ca="1">H27*('Updated Population'!I$26/'Updated Population'!H$26)</f>
        <v>59.340668789492348</v>
      </c>
      <c r="J27" s="1">
        <f ca="1">I27*('Updated Population'!J$26/'Updated Population'!I$26)</f>
        <v>60.410524221490142</v>
      </c>
      <c r="K27" s="1">
        <f ca="1">J27*('Updated Population'!K$26/'Updated Population'!J$26)</f>
        <v>61.367501363727158</v>
      </c>
    </row>
    <row r="28" spans="1:11" x14ac:dyDescent="0.25">
      <c r="A28" t="str">
        <f ca="1">OFFSET(Waikato_Reference,7,2)</f>
        <v>Cyclist</v>
      </c>
      <c r="B28" s="4">
        <f ca="1">OFFSET(Waikato_Reference,7,6)</f>
        <v>21.829422874999999</v>
      </c>
      <c r="C28" s="4">
        <f ca="1">OFFSET(Waikato_Reference,8,6)</f>
        <v>22.705936718</v>
      </c>
      <c r="D28" s="4">
        <f ca="1">OFFSET(Waikato_Reference,9,6)</f>
        <v>23.418774751000001</v>
      </c>
      <c r="E28" s="4">
        <f ca="1">OFFSET(Waikato_Reference,10,6)</f>
        <v>23.612433871</v>
      </c>
      <c r="F28" s="4">
        <f ca="1">OFFSET(Waikato_Reference,11,6)</f>
        <v>23.862754649999999</v>
      </c>
      <c r="G28" s="4">
        <f ca="1">OFFSET(Waikato_Reference,12,6)</f>
        <v>24.122131498000002</v>
      </c>
      <c r="H28" s="4">
        <f ca="1">OFFSET(Waikato_Reference,13,6)</f>
        <v>24.277213420999999</v>
      </c>
      <c r="I28" s="1">
        <f ca="1">H28*('Updated Population'!I$26/'Updated Population'!H$26)</f>
        <v>24.793831367773969</v>
      </c>
      <c r="J28" s="1">
        <f ca="1">I28*('Updated Population'!J$26/'Updated Population'!I$26)</f>
        <v>25.240840404071641</v>
      </c>
      <c r="K28" s="1">
        <f ca="1">J28*('Updated Population'!K$26/'Updated Population'!J$26)</f>
        <v>25.640686418136792</v>
      </c>
    </row>
    <row r="29" spans="1:11" x14ac:dyDescent="0.25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OFFSET(Waikato_Reference,15,6)</f>
        <v>4013.2956181999998</v>
      </c>
      <c r="D29" s="4">
        <f ca="1">OFFSET(Waikato_Reference,16,6)</f>
        <v>4195.2758505000002</v>
      </c>
      <c r="E29" s="4">
        <f ca="1">OFFSET(Waikato_Reference,17,6)</f>
        <v>4390.7886171999999</v>
      </c>
      <c r="F29" s="4">
        <f ca="1">OFFSET(Waikato_Reference,18,6)</f>
        <v>4562.0400353000005</v>
      </c>
      <c r="G29" s="4">
        <f ca="1">OFFSET(Waikato_Reference,19,6)</f>
        <v>4675.8292522000002</v>
      </c>
      <c r="H29" s="4">
        <f ca="1">OFFSET(Waikato_Reference,20,6)</f>
        <v>4768.8117980999996</v>
      </c>
      <c r="I29" s="1">
        <f ca="1">H29*('Updated Population'!I$26/'Updated Population'!H$26)</f>
        <v>4870.2918863194664</v>
      </c>
      <c r="J29" s="1">
        <f ca="1">I29*('Updated Population'!J$26/'Updated Population'!I$26)</f>
        <v>4958.0985851026844</v>
      </c>
      <c r="K29" s="1">
        <f ca="1">J29*('Updated Population'!K$26/'Updated Population'!J$26)</f>
        <v>5036.6409761189352</v>
      </c>
    </row>
    <row r="30" spans="1:11" x14ac:dyDescent="0.25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OFFSET(Waikato_Reference,22,6)</f>
        <v>2041.696876</v>
      </c>
      <c r="D30" s="4">
        <f ca="1">OFFSET(Waikato_Reference,23,6)</f>
        <v>2086.5942933000001</v>
      </c>
      <c r="E30" s="4">
        <f ca="1">OFFSET(Waikato_Reference,24,6)</f>
        <v>2121.4940228999999</v>
      </c>
      <c r="F30" s="4">
        <f ca="1">OFFSET(Waikato_Reference,25,6)</f>
        <v>2156.5981864</v>
      </c>
      <c r="G30" s="4">
        <f ca="1">OFFSET(Waikato_Reference,26,6)</f>
        <v>2167.1804321999998</v>
      </c>
      <c r="H30" s="4">
        <f ca="1">OFFSET(Waikato_Reference,27,6)</f>
        <v>2163.1720759999998</v>
      </c>
      <c r="I30" s="1">
        <f ca="1">H30*('Updated Population'!I$26/'Updated Population'!H$26)</f>
        <v>2209.2042748789386</v>
      </c>
      <c r="J30" s="1">
        <f ca="1">I30*('Updated Population'!J$26/'Updated Population'!I$26)</f>
        <v>2249.0341123594781</v>
      </c>
      <c r="K30" s="1">
        <f ca="1">J30*('Updated Population'!K$26/'Updated Population'!J$26)</f>
        <v>2284.6615839859151</v>
      </c>
    </row>
    <row r="31" spans="1:11" x14ac:dyDescent="0.25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OFFSET(Waikato_Reference,29,6)</f>
        <v>2.991471953</v>
      </c>
      <c r="D31" s="4">
        <f ca="1">OFFSET(Waikato_Reference,30,6)</f>
        <v>3.3637285608999998</v>
      </c>
      <c r="E31" s="4">
        <f ca="1">OFFSET(Waikato_Reference,31,6)</f>
        <v>3.6855221157</v>
      </c>
      <c r="F31" s="4">
        <f ca="1">OFFSET(Waikato_Reference,32,6)</f>
        <v>3.9306320826999999</v>
      </c>
      <c r="G31" s="4">
        <f ca="1">OFFSET(Waikato_Reference,33,6)</f>
        <v>4.0521869135999999</v>
      </c>
      <c r="H31" s="4">
        <f ca="1">OFFSET(Waikato_Reference,34,6)</f>
        <v>4.1760819771</v>
      </c>
      <c r="I31" s="1">
        <f ca="1">H31*('Updated Population'!I$26/'Updated Population'!H$26)</f>
        <v>4.2649488029237164</v>
      </c>
      <c r="J31" s="1">
        <f ca="1">I31*('Updated Population'!J$26/'Updated Population'!I$26)</f>
        <v>4.3418417456067013</v>
      </c>
      <c r="K31" s="1">
        <f ca="1">J31*('Updated Population'!K$26/'Updated Population'!J$26)</f>
        <v>4.4106218689263059</v>
      </c>
    </row>
    <row r="32" spans="1:11" x14ac:dyDescent="0.25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OFFSET(Waikato_Reference,36,6)</f>
        <v>39.204316693000003</v>
      </c>
      <c r="D32" s="4">
        <f ca="1">OFFSET(Waikato_Reference,37,6)</f>
        <v>39.575297321000001</v>
      </c>
      <c r="E32" s="4">
        <f ca="1">OFFSET(Waikato_Reference,38,6)</f>
        <v>38.572059703000001</v>
      </c>
      <c r="F32" s="4">
        <f ca="1">OFFSET(Waikato_Reference,39,6)</f>
        <v>36.359309543000002</v>
      </c>
      <c r="G32" s="4">
        <f ca="1">OFFSET(Waikato_Reference,40,6)</f>
        <v>32.700616771</v>
      </c>
      <c r="H32" s="4">
        <f ca="1">OFFSET(Waikato_Reference,41,6)</f>
        <v>29.047686304999999</v>
      </c>
      <c r="I32" s="1">
        <f ca="1">H32*('Updated Population'!I$26/'Updated Population'!H$26)</f>
        <v>29.665819687822374</v>
      </c>
      <c r="J32" s="1">
        <f ca="1">I32*('Updated Population'!J$26/'Updated Population'!I$26)</f>
        <v>30.200666007978846</v>
      </c>
      <c r="K32" s="1">
        <f ca="1">J32*('Updated Population'!K$26/'Updated Population'!J$26)</f>
        <v>30.679081771166164</v>
      </c>
    </row>
    <row r="33" spans="1:11" x14ac:dyDescent="0.25">
      <c r="A33" t="str">
        <f ca="1">OFFSET(Waikato_Reference,42,2)</f>
        <v>Local Train</v>
      </c>
      <c r="B33" s="4">
        <f ca="1">OFFSET(Waikato_Reference,42,6)</f>
        <v>2.9773519310999998</v>
      </c>
      <c r="C33" s="4">
        <f ca="1">OFFSET(Waikato_Reference,43,6)</f>
        <v>3.2314632346000001</v>
      </c>
      <c r="D33" s="4">
        <f ca="1">OFFSET(Waikato_Reference,44,6)</f>
        <v>3.8027785731999999</v>
      </c>
      <c r="E33" s="4">
        <f ca="1">OFFSET(Waikato_Reference,45,6)</f>
        <v>4.3010200814999999</v>
      </c>
      <c r="F33" s="4">
        <f ca="1">OFFSET(Waikato_Reference,46,6)</f>
        <v>4.6298650450999999</v>
      </c>
      <c r="G33" s="4">
        <f ca="1">OFFSET(Waikato_Reference,47,6)</f>
        <v>4.9172725539000002</v>
      </c>
      <c r="H33" s="4">
        <f ca="1">OFFSET(Waikato_Reference,48,6)</f>
        <v>5.1503396770999998</v>
      </c>
      <c r="I33" s="1">
        <f ca="1">H33*('Updated Population'!I$26/'Updated Population'!H$26)</f>
        <v>5.2599386604359681</v>
      </c>
      <c r="J33" s="1">
        <f ca="1">I33*('Updated Population'!J$26/'Updated Population'!I$26)</f>
        <v>5.3547703174199066</v>
      </c>
      <c r="K33" s="1">
        <f ca="1">J33*('Updated Population'!K$26/'Updated Population'!J$26)</f>
        <v>5.4395964774597028</v>
      </c>
    </row>
    <row r="34" spans="1:11" x14ac:dyDescent="0.25">
      <c r="A34" t="str">
        <f ca="1">OFFSET(Waikato_Reference,49,2)</f>
        <v>Local Bus</v>
      </c>
      <c r="B34" s="4">
        <f ca="1">OFFSET(Waikato_Reference,49,6)</f>
        <v>54.303948532</v>
      </c>
      <c r="C34" s="4">
        <f ca="1">OFFSET(Waikato_Reference,50,6)</f>
        <v>51.763012885000002</v>
      </c>
      <c r="D34" s="4">
        <f ca="1">OFFSET(Waikato_Reference,51,6)</f>
        <v>50.418689811999997</v>
      </c>
      <c r="E34" s="4">
        <f ca="1">OFFSET(Waikato_Reference,52,6)</f>
        <v>49.843693670999997</v>
      </c>
      <c r="F34" s="4">
        <f ca="1">OFFSET(Waikato_Reference,53,6)</f>
        <v>48.979427686000001</v>
      </c>
      <c r="G34" s="4">
        <f ca="1">OFFSET(Waikato_Reference,54,6)</f>
        <v>48.203982576999998</v>
      </c>
      <c r="H34" s="4">
        <f ca="1">OFFSET(Waikato_Reference,55,6)</f>
        <v>47.224436009000001</v>
      </c>
      <c r="I34" s="1">
        <f ca="1">H34*('Updated Population'!I$26/'Updated Population'!H$26)</f>
        <v>48.22936976088706</v>
      </c>
      <c r="J34" s="1">
        <f ca="1">I34*('Updated Population'!J$26/'Updated Population'!I$26)</f>
        <v>49.098899111888443</v>
      </c>
      <c r="K34" s="1">
        <f ca="1">J34*('Updated Population'!K$26/'Updated Population'!J$26)</f>
        <v>49.876686174069967</v>
      </c>
    </row>
    <row r="35" spans="1:11" x14ac:dyDescent="0.25">
      <c r="A35" t="str">
        <f ca="1">OFFSET(Waikato_Reference,56,2)</f>
        <v>Local Ferry</v>
      </c>
      <c r="B35" s="4">
        <f ca="1">OFFSET(Waikato_Reference,56,6)</f>
        <v>0</v>
      </c>
      <c r="C35" s="4">
        <f ca="1">OFFSET(Waikato_Reference,57,6)</f>
        <v>0</v>
      </c>
      <c r="D35" s="4">
        <f ca="1">OFFSET(Waikato_Reference,58,6)</f>
        <v>0</v>
      </c>
      <c r="E35" s="4">
        <f ca="1">OFFSET(Waikato_Reference,59,6)</f>
        <v>0</v>
      </c>
      <c r="F35" s="4">
        <f ca="1">OFFSET(Waikato_Reference,60,6)</f>
        <v>0</v>
      </c>
      <c r="G35" s="4">
        <f ca="1">OFFSET(Waikato_Reference,61,6)</f>
        <v>0</v>
      </c>
      <c r="H35" s="4">
        <f ca="1">OFFSET(Waikato_Reference,62,6)</f>
        <v>0</v>
      </c>
      <c r="I35" s="1">
        <f ca="1">H35*('Updated Population'!I$26/'Updated Population'!H$26)</f>
        <v>0</v>
      </c>
      <c r="J35" s="1">
        <f ca="1">I35*('Updated Population'!J$26/'Updated Population'!I$26)</f>
        <v>0</v>
      </c>
      <c r="K35" s="1">
        <f ca="1">J35*('Updated Population'!K$26/'Updated Population'!J$26)</f>
        <v>0</v>
      </c>
    </row>
    <row r="36" spans="1:11" x14ac:dyDescent="0.25">
      <c r="A36" t="str">
        <f ca="1">OFFSET(Waikato_Reference,63,2)</f>
        <v>Other Household Travel</v>
      </c>
      <c r="B36" s="4">
        <f ca="1">OFFSET(Waikato_Reference,63,6)</f>
        <v>0</v>
      </c>
      <c r="C36" s="4">
        <f ca="1">OFFSET(Waikato_Reference,64,6)</f>
        <v>0</v>
      </c>
      <c r="D36" s="4">
        <f ca="1">OFFSET(Waikato_Reference,65,6)</f>
        <v>0</v>
      </c>
      <c r="E36" s="4">
        <f ca="1">OFFSET(Waikato_Reference,66,6)</f>
        <v>0</v>
      </c>
      <c r="F36" s="4">
        <f ca="1">OFFSET(Waikato_Reference,67,6)</f>
        <v>0</v>
      </c>
      <c r="G36" s="4">
        <f ca="1">OFFSET(Waikato_Reference,68,6)</f>
        <v>0</v>
      </c>
      <c r="H36" s="4">
        <f ca="1">OFFSET(Waikato_Reference,69,6)</f>
        <v>0</v>
      </c>
      <c r="I36" s="1">
        <f ca="1">H36*('Updated Population'!I$26/'Updated Population'!H$26)</f>
        <v>0</v>
      </c>
      <c r="J36" s="1">
        <f ca="1">I36*('Updated Population'!J$26/'Updated Population'!I$26)</f>
        <v>0</v>
      </c>
      <c r="K36" s="1">
        <f ca="1">J36*('Updated Population'!K$26/'Updated Population'!J$26)</f>
        <v>0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OFFSET(BOP_Reference,0,6)</f>
        <v>35.579183637</v>
      </c>
      <c r="C38" s="4">
        <f ca="1">OFFSET(BOP_Reference,1,6)</f>
        <v>34.790992879000001</v>
      </c>
      <c r="D38" s="4">
        <f ca="1">OFFSET(BOP_Reference,2,6)</f>
        <v>34.740502710000001</v>
      </c>
      <c r="E38" s="4">
        <f ca="1">OFFSET(BOP_Reference,3,6)</f>
        <v>34.816979435999997</v>
      </c>
      <c r="F38" s="4">
        <f ca="1">OFFSET(BOP_Reference,4,6)</f>
        <v>34.448423263999999</v>
      </c>
      <c r="G38" s="4">
        <f ca="1">OFFSET(BOP_Reference,5,6)</f>
        <v>34.190260559000002</v>
      </c>
      <c r="H38" s="4">
        <f ca="1">OFFSET(BOP_Reference,6,6)</f>
        <v>33.855235813</v>
      </c>
      <c r="I38" s="1">
        <f ca="1">H38*('Updated Population'!I$37/'Updated Population'!H$37)</f>
        <v>34.342121022036388</v>
      </c>
      <c r="J38" s="1">
        <f ca="1">I38*('Updated Population'!J$37/'Updated Population'!I$37)</f>
        <v>34.725119298262037</v>
      </c>
      <c r="K38" s="1">
        <f ca="1">J38*('Updated Population'!K$37/'Updated Population'!J$37)</f>
        <v>35.03693014639186</v>
      </c>
    </row>
    <row r="39" spans="1:11" x14ac:dyDescent="0.25">
      <c r="A39" t="str">
        <f ca="1">OFFSET(BOP_Reference,7,2)</f>
        <v>Cyclist</v>
      </c>
      <c r="B39" s="4">
        <f ca="1">OFFSET(BOP_Reference,7,6)</f>
        <v>8.5028812633000008</v>
      </c>
      <c r="C39" s="4">
        <f ca="1">OFFSET(BOP_Reference,8,6)</f>
        <v>8.1634751249999997</v>
      </c>
      <c r="D39" s="4">
        <f ca="1">OFFSET(BOP_Reference,9,6)</f>
        <v>8.0152527414999994</v>
      </c>
      <c r="E39" s="4">
        <f ca="1">OFFSET(BOP_Reference,10,6)</f>
        <v>8.1177348283999997</v>
      </c>
      <c r="F39" s="4">
        <f ca="1">OFFSET(BOP_Reference,11,6)</f>
        <v>8.0581097381000006</v>
      </c>
      <c r="G39" s="4">
        <f ca="1">OFFSET(BOP_Reference,12,6)</f>
        <v>8.0842583906000005</v>
      </c>
      <c r="H39" s="4">
        <f ca="1">OFFSET(BOP_Reference,13,6)</f>
        <v>8.0943519877999996</v>
      </c>
      <c r="I39" s="1">
        <f ca="1">H39*('Updated Population'!I$37/'Updated Population'!H$37)</f>
        <v>8.2107599868865346</v>
      </c>
      <c r="J39" s="1">
        <f ca="1">I39*('Updated Population'!J$37/'Updated Population'!I$37)</f>
        <v>8.3023299548411114</v>
      </c>
      <c r="K39" s="1">
        <f ca="1">J39*('Updated Population'!K$37/'Updated Population'!J$37)</f>
        <v>8.3768799231921847</v>
      </c>
    </row>
    <row r="40" spans="1:11" x14ac:dyDescent="0.25">
      <c r="A40" t="str">
        <f ca="1">OFFSET(BOP_Reference,14,2)</f>
        <v>Light Vehicle Driver</v>
      </c>
      <c r="B40" s="4">
        <f ca="1">OFFSET(BOP_Reference,14,6)</f>
        <v>1972.0747595</v>
      </c>
      <c r="C40" s="4">
        <f ca="1">OFFSET(BOP_Reference,15,6)</f>
        <v>2042.3257997999999</v>
      </c>
      <c r="D40" s="4">
        <f ca="1">OFFSET(BOP_Reference,16,6)</f>
        <v>2141.3896730000001</v>
      </c>
      <c r="E40" s="4">
        <f ca="1">OFFSET(BOP_Reference,17,6)</f>
        <v>2278.1616451999998</v>
      </c>
      <c r="F40" s="4">
        <f ca="1">OFFSET(BOP_Reference,18,6)</f>
        <v>2374.3043545999999</v>
      </c>
      <c r="G40" s="4">
        <f ca="1">OFFSET(BOP_Reference,19,6)</f>
        <v>2420.4336051</v>
      </c>
      <c r="H40" s="4">
        <f ca="1">OFFSET(BOP_Reference,20,6)</f>
        <v>2455.6110985</v>
      </c>
      <c r="I40" s="1">
        <f ca="1">H40*('Updated Population'!I$37/'Updated Population'!H$37)</f>
        <v>2490.9261891881633</v>
      </c>
      <c r="J40" s="1">
        <f ca="1">I40*('Updated Population'!J$37/'Updated Population'!I$37)</f>
        <v>2518.706081875986</v>
      </c>
      <c r="K40" s="1">
        <f ca="1">J40*('Updated Population'!K$37/'Updated Population'!J$37)</f>
        <v>2541.3225593842089</v>
      </c>
    </row>
    <row r="41" spans="1:11" x14ac:dyDescent="0.25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OFFSET(BOP_Reference,22,6)</f>
        <v>1434.7632172000001</v>
      </c>
      <c r="D41" s="4">
        <f ca="1">OFFSET(BOP_Reference,23,6)</f>
        <v>1486.2109055000001</v>
      </c>
      <c r="E41" s="4">
        <f ca="1">OFFSET(BOP_Reference,24,6)</f>
        <v>1545.3871498999999</v>
      </c>
      <c r="F41" s="4">
        <f ca="1">OFFSET(BOP_Reference,25,6)</f>
        <v>1575.3837180999999</v>
      </c>
      <c r="G41" s="4">
        <f ca="1">OFFSET(BOP_Reference,26,6)</f>
        <v>1592.4646315</v>
      </c>
      <c r="H41" s="4">
        <f ca="1">OFFSET(BOP_Reference,27,6)</f>
        <v>1603.5248200999999</v>
      </c>
      <c r="I41" s="1">
        <f ca="1">H41*('Updated Population'!I$37/'Updated Population'!H$37)</f>
        <v>1626.5857292468693</v>
      </c>
      <c r="J41" s="1">
        <f ca="1">I41*('Updated Population'!J$37/'Updated Population'!I$37)</f>
        <v>1644.7261210425606</v>
      </c>
      <c r="K41" s="1">
        <f ca="1">J41*('Updated Population'!K$37/'Updated Population'!J$37)</f>
        <v>1659.4947800740424</v>
      </c>
    </row>
    <row r="42" spans="1:11" x14ac:dyDescent="0.25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OFFSET(BOP_Reference,29,6)</f>
        <v>0.88961446099999997</v>
      </c>
      <c r="D42" s="4">
        <f ca="1">OFFSET(BOP_Reference,30,6)</f>
        <v>0.85643251509999996</v>
      </c>
      <c r="E42" s="4">
        <f ca="1">OFFSET(BOP_Reference,31,6)</f>
        <v>0.86840002230000002</v>
      </c>
      <c r="F42" s="4">
        <f ca="1">OFFSET(BOP_Reference,32,6)</f>
        <v>0.83907297010000004</v>
      </c>
      <c r="G42" s="4">
        <f ca="1">OFFSET(BOP_Reference,33,6)</f>
        <v>0.81564620629999995</v>
      </c>
      <c r="H42" s="4">
        <f ca="1">OFFSET(BOP_Reference,34,6)</f>
        <v>0.78788008840000001</v>
      </c>
      <c r="I42" s="1">
        <f ca="1">H42*('Updated Population'!I$37/'Updated Population'!H$37)</f>
        <v>0.79921089594938777</v>
      </c>
      <c r="J42" s="1">
        <f ca="1">I42*('Updated Population'!J$37/'Updated Population'!I$37)</f>
        <v>0.80812404360538015</v>
      </c>
      <c r="K42" s="1">
        <f ca="1">J42*('Updated Population'!K$37/'Updated Population'!J$37)</f>
        <v>0.8153805152467406</v>
      </c>
    </row>
    <row r="43" spans="1:11" x14ac:dyDescent="0.25">
      <c r="A43" t="str">
        <f ca="1">OFFSET(BOP_Reference,35,2)</f>
        <v>Motorcyclist</v>
      </c>
      <c r="B43" s="4">
        <f ca="1">OFFSET(BOP_Reference,35,6)</f>
        <v>35.608960758999999</v>
      </c>
      <c r="C43" s="4">
        <f ca="1">OFFSET(BOP_Reference,36,6)</f>
        <v>37.997833892999999</v>
      </c>
      <c r="D43" s="4">
        <f ca="1">OFFSET(BOP_Reference,37,6)</f>
        <v>39.257677358999999</v>
      </c>
      <c r="E43" s="4">
        <f ca="1">OFFSET(BOP_Reference,38,6)</f>
        <v>40.819015200999999</v>
      </c>
      <c r="F43" s="4">
        <f ca="1">OFFSET(BOP_Reference,39,6)</f>
        <v>41.178987313999997</v>
      </c>
      <c r="G43" s="4">
        <f ca="1">OFFSET(BOP_Reference,40,6)</f>
        <v>40.750946485</v>
      </c>
      <c r="H43" s="4">
        <f ca="1">OFFSET(BOP_Reference,41,6)</f>
        <v>40.040919848000001</v>
      </c>
      <c r="I43" s="1">
        <f ca="1">H43*('Updated Population'!I$37/'Updated Population'!H$37)</f>
        <v>40.616763765847324</v>
      </c>
      <c r="J43" s="1">
        <f ca="1">I43*('Updated Population'!J$37/'Updated Population'!I$37)</f>
        <v>41.069739588109492</v>
      </c>
      <c r="K43" s="1">
        <f ca="1">J43*('Updated Population'!K$37/'Updated Population'!J$37)</f>
        <v>41.438521340115756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5">
      <c r="A45" t="str">
        <f ca="1">OFFSET(BOP_Reference,42,2)</f>
        <v>Local Bus</v>
      </c>
      <c r="B45" s="4">
        <f ca="1">OFFSET(BOP_Reference,42,6)</f>
        <v>52.669440211999998</v>
      </c>
      <c r="C45" s="4">
        <f ca="1">OFFSET(BOP_Reference,43,6)</f>
        <v>49.582888507</v>
      </c>
      <c r="D45" s="4">
        <f ca="1">OFFSET(BOP_Reference,44,6)</f>
        <v>47.670083429999998</v>
      </c>
      <c r="E45" s="4">
        <f ca="1">OFFSET(BOP_Reference,45,6)</f>
        <v>45.967398043999999</v>
      </c>
      <c r="F45" s="4">
        <f ca="1">OFFSET(BOP_Reference,46,6)</f>
        <v>43.933462509000002</v>
      </c>
      <c r="G45" s="4">
        <f ca="1">OFFSET(BOP_Reference,47,6)</f>
        <v>42.571029846000002</v>
      </c>
      <c r="H45" s="4">
        <f ca="1">OFFSET(BOP_Reference,48,6)</f>
        <v>41.073932116999998</v>
      </c>
      <c r="I45" s="1">
        <f ca="1">H45*('Updated Population'!I$37/'Updated Population'!H$37)</f>
        <v>41.66463218286848</v>
      </c>
      <c r="J45" s="1">
        <f ca="1">I45*('Updated Population'!J$37/'Updated Population'!I$37)</f>
        <v>42.129294289654915</v>
      </c>
      <c r="K45" s="1">
        <f ca="1">J45*('Updated Population'!K$37/'Updated Population'!J$37)</f>
        <v>42.507590210562689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OFFSET(BOP_Reference,49,6)</f>
        <v>0</v>
      </c>
      <c r="C47" s="4">
        <f ca="1">OFFSET(BOP_Reference,50,6)</f>
        <v>0</v>
      </c>
      <c r="D47" s="4">
        <f ca="1">OFFSET(BOP_Reference,51,6)</f>
        <v>0</v>
      </c>
      <c r="E47" s="4">
        <f ca="1">OFFSET(BOP_Reference,52,6)</f>
        <v>0</v>
      </c>
      <c r="F47" s="4">
        <f ca="1">OFFSET(BOP_Reference,53,6)</f>
        <v>0</v>
      </c>
      <c r="G47" s="4">
        <f ca="1">OFFSET(BOP_Reference,54,6)</f>
        <v>0</v>
      </c>
      <c r="H47" s="4">
        <f ca="1">OFFSET(BOP_Reference,55,6)</f>
        <v>0</v>
      </c>
      <c r="I47" s="1">
        <f ca="1">H47*('Updated Population'!I$37/'Updated Population'!H$37)</f>
        <v>0</v>
      </c>
      <c r="J47" s="1">
        <f ca="1">I47*('Updated Population'!J$37/'Updated Population'!I$37)</f>
        <v>0</v>
      </c>
      <c r="K47" s="1">
        <f ca="1">J47*('Updated Population'!K$37/'Updated Population'!J$37)</f>
        <v>0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OFFSET(Gisborne_Reference,1,6)</f>
        <v>7.2552094140000003</v>
      </c>
      <c r="D49" s="4">
        <f ca="1">OFFSET(Gisborne_Reference,2,6)</f>
        <v>7.0004881509999999</v>
      </c>
      <c r="E49" s="4">
        <f ca="1">OFFSET(Gisborne_Reference,3,6)</f>
        <v>6.8967704684999998</v>
      </c>
      <c r="F49" s="4">
        <f ca="1">OFFSET(Gisborne_Reference,4,6)</f>
        <v>6.7636561305000003</v>
      </c>
      <c r="G49" s="4">
        <f ca="1">OFFSET(Gisborne_Reference,5,6)</f>
        <v>6.5489439032999996</v>
      </c>
      <c r="H49" s="4">
        <f ca="1">OFFSET(Gisborne_Reference,6,6)</f>
        <v>6.3600363009000001</v>
      </c>
      <c r="I49" s="1">
        <f ca="1">H49*('Updated Population'!I$48/'Updated Population'!H$48)</f>
        <v>6.3003441994599489</v>
      </c>
      <c r="J49" s="1">
        <f ca="1">I49*('Updated Population'!J$48/'Updated Population'!I$48)</f>
        <v>6.2213454837970401</v>
      </c>
      <c r="K49" s="1">
        <f ca="1">J49*('Updated Population'!K$48/'Updated Population'!J$48)</f>
        <v>6.1301348880725932</v>
      </c>
    </row>
    <row r="50" spans="1:11" x14ac:dyDescent="0.25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OFFSET(Gisborne_Reference,8,6)</f>
        <v>3.4125129915999999</v>
      </c>
      <c r="D50" s="4">
        <f ca="1">OFFSET(Gisborne_Reference,9,6)</f>
        <v>3.1860215773</v>
      </c>
      <c r="E50" s="4">
        <f ca="1">OFFSET(Gisborne_Reference,10,6)</f>
        <v>2.8562106812999999</v>
      </c>
      <c r="F50" s="4">
        <f ca="1">OFFSET(Gisborne_Reference,11,6)</f>
        <v>2.5182691677000002</v>
      </c>
      <c r="G50" s="4">
        <f ca="1">OFFSET(Gisborne_Reference,12,6)</f>
        <v>2.1961050489999998</v>
      </c>
      <c r="H50" s="4">
        <f ca="1">OFFSET(Gisborne_Reference,13,6)</f>
        <v>1.9231667240999999</v>
      </c>
      <c r="I50" s="1">
        <f ca="1">H50*('Updated Population'!I$48/'Updated Population'!H$48)</f>
        <v>1.9051168486354741</v>
      </c>
      <c r="J50" s="1">
        <f ca="1">I50*('Updated Population'!J$48/'Updated Population'!I$48)</f>
        <v>1.8812289816451484</v>
      </c>
      <c r="K50" s="1">
        <f ca="1">J50*('Updated Population'!K$48/'Updated Population'!J$48)</f>
        <v>1.8536484499809232</v>
      </c>
    </row>
    <row r="51" spans="1:11" x14ac:dyDescent="0.25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OFFSET(Gisborne_Reference,15,6)</f>
        <v>248.97396578999999</v>
      </c>
      <c r="D51" s="4">
        <f ca="1">OFFSET(Gisborne_Reference,16,6)</f>
        <v>248.88907699000001</v>
      </c>
      <c r="E51" s="4">
        <f ca="1">OFFSET(Gisborne_Reference,17,6)</f>
        <v>247.77314451000001</v>
      </c>
      <c r="F51" s="4">
        <f ca="1">OFFSET(Gisborne_Reference,18,6)</f>
        <v>245.72992592</v>
      </c>
      <c r="G51" s="4">
        <f ca="1">OFFSET(Gisborne_Reference,19,6)</f>
        <v>243.42898123000001</v>
      </c>
      <c r="H51" s="4">
        <f ca="1">OFFSET(Gisborne_Reference,20,6)</f>
        <v>240.35040748</v>
      </c>
      <c r="I51" s="1">
        <f ca="1">H51*('Updated Population'!I$48/'Updated Population'!H$48)</f>
        <v>238.09459945852322</v>
      </c>
      <c r="J51" s="1">
        <f ca="1">I51*('Updated Population'!J$48/'Updated Population'!I$48)</f>
        <v>235.10918041346372</v>
      </c>
      <c r="K51" s="1">
        <f ca="1">J51*('Updated Population'!K$48/'Updated Population'!J$48)</f>
        <v>231.66226551994933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OFFSET(Gisborne_Reference,22,6)</f>
        <v>164.46782039000001</v>
      </c>
      <c r="D52" s="4">
        <f ca="1">OFFSET(Gisborne_Reference,23,6)</f>
        <v>155.70298459</v>
      </c>
      <c r="E52" s="4">
        <f ca="1">OFFSET(Gisborne_Reference,24,6)</f>
        <v>148.30914981000001</v>
      </c>
      <c r="F52" s="4">
        <f ca="1">OFFSET(Gisborne_Reference,25,6)</f>
        <v>139.64882908999999</v>
      </c>
      <c r="G52" s="4">
        <f ca="1">OFFSET(Gisborne_Reference,26,6)</f>
        <v>132.51400441000001</v>
      </c>
      <c r="H52" s="4">
        <f ca="1">OFFSET(Gisborne_Reference,27,6)</f>
        <v>125.56188837000001</v>
      </c>
      <c r="I52" s="1">
        <f ca="1">H52*('Updated Population'!I$48/'Updated Population'!H$48)</f>
        <v>124.38342764698091</v>
      </c>
      <c r="J52" s="1">
        <f ca="1">I52*('Updated Population'!J$48/'Updated Population'!I$48)</f>
        <v>122.8238095177517</v>
      </c>
      <c r="K52" s="1">
        <f ca="1">J52*('Updated Population'!K$48/'Updated Population'!J$48)</f>
        <v>121.02310051285284</v>
      </c>
    </row>
    <row r="53" spans="1:11" x14ac:dyDescent="0.25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OFFSET(Gisborne_Reference,29,6)</f>
        <v>0.1623226676</v>
      </c>
      <c r="D53" s="4">
        <f ca="1">OFFSET(Gisborne_Reference,30,6)</f>
        <v>0.23263389800000001</v>
      </c>
      <c r="E53" s="4">
        <f ca="1">OFFSET(Gisborne_Reference,31,6)</f>
        <v>0.33599282660000002</v>
      </c>
      <c r="F53" s="4">
        <f ca="1">OFFSET(Gisborne_Reference,32,6)</f>
        <v>0.44888665840000003</v>
      </c>
      <c r="G53" s="4">
        <f ca="1">OFFSET(Gisborne_Reference,33,6)</f>
        <v>0.52828800300000001</v>
      </c>
      <c r="H53" s="4">
        <f ca="1">OFFSET(Gisborne_Reference,34,6)</f>
        <v>0.62011667479999999</v>
      </c>
      <c r="I53" s="1">
        <f ca="1">H53*('Updated Population'!I$48/'Updated Population'!H$48)</f>
        <v>0.61429657162675388</v>
      </c>
      <c r="J53" s="1">
        <f ca="1">I53*('Updated Population'!J$48/'Updated Population'!I$48)</f>
        <v>0.60659403369258813</v>
      </c>
      <c r="K53" s="1">
        <f ca="1">J53*('Updated Population'!K$48/'Updated Population'!J$48)</f>
        <v>0.59770081223107419</v>
      </c>
    </row>
    <row r="54" spans="1:11" x14ac:dyDescent="0.25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OFFSET(Gisborne_Reference,36,6)</f>
        <v>0.97433629160000002</v>
      </c>
      <c r="D54" s="4">
        <f ca="1">OFFSET(Gisborne_Reference,37,6)</f>
        <v>0.94457033199999996</v>
      </c>
      <c r="E54" s="4">
        <f ca="1">OFFSET(Gisborne_Reference,38,6)</f>
        <v>0.89185890739999996</v>
      </c>
      <c r="F54" s="4">
        <f ca="1">OFFSET(Gisborne_Reference,39,6)</f>
        <v>0.82265852510000004</v>
      </c>
      <c r="G54" s="4">
        <f ca="1">OFFSET(Gisborne_Reference,40,6)</f>
        <v>0.7571903794</v>
      </c>
      <c r="H54" s="4">
        <f ca="1">OFFSET(Gisborne_Reference,41,6)</f>
        <v>0.69245113039999995</v>
      </c>
      <c r="I54" s="1">
        <f ca="1">H54*('Updated Population'!I$48/'Updated Population'!H$48)</f>
        <v>0.68595213241279263</v>
      </c>
      <c r="J54" s="1">
        <f ca="1">I54*('Updated Population'!J$48/'Updated Population'!I$48)</f>
        <v>0.67735112019008126</v>
      </c>
      <c r="K54" s="1">
        <f ca="1">J54*('Updated Population'!K$48/'Updated Population'!J$48)</f>
        <v>0.66742053534343293</v>
      </c>
    </row>
    <row r="55" spans="1:11" x14ac:dyDescent="0.25">
      <c r="A55" t="str">
        <f ca="1">OFFSET(Gisborne_Reference,42,2)</f>
        <v>Local Train</v>
      </c>
      <c r="B55" s="4">
        <f ca="1">OFFSET(Gisborne_Reference,42,6)</f>
        <v>0</v>
      </c>
      <c r="C55" s="4">
        <f ca="1">OFFSET(Gisborne_Reference,43,6)</f>
        <v>0</v>
      </c>
      <c r="D55" s="4">
        <f ca="1">OFFSET(Gisborne_Reference,44,6)</f>
        <v>0</v>
      </c>
      <c r="E55" s="4">
        <f ca="1">OFFSET(Gisborne_Reference,45,6)</f>
        <v>0</v>
      </c>
      <c r="F55" s="4">
        <f ca="1">OFFSET(Gisborne_Reference,46,6)</f>
        <v>0</v>
      </c>
      <c r="G55" s="4">
        <f ca="1">OFFSET(Gisborne_Reference,47,6)</f>
        <v>0</v>
      </c>
      <c r="H55" s="4">
        <f ca="1">OFFSET(Gisborne_Reference,48,6)</f>
        <v>0</v>
      </c>
      <c r="I55" s="1">
        <f ca="1">H55*('Updated Population'!I$48/'Updated Population'!H$48)</f>
        <v>0</v>
      </c>
      <c r="J55" s="1">
        <f ca="1">I55*('Updated Population'!J$48/'Updated Population'!I$48)</f>
        <v>0</v>
      </c>
      <c r="K55" s="1">
        <f ca="1">J55*('Updated Population'!K$48/'Updated Population'!J$48)</f>
        <v>0</v>
      </c>
    </row>
    <row r="56" spans="1:11" x14ac:dyDescent="0.25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OFFSET(Gisborne_Reference,50,6)</f>
        <v>4.3392558229000002</v>
      </c>
      <c r="D56" s="4">
        <f ca="1">OFFSET(Gisborne_Reference,51,6)</f>
        <v>3.9678924358000001</v>
      </c>
      <c r="E56" s="4">
        <f ca="1">OFFSET(Gisborne_Reference,52,6)</f>
        <v>3.7072587056000001</v>
      </c>
      <c r="F56" s="4">
        <f ca="1">OFFSET(Gisborne_Reference,53,6)</f>
        <v>3.3077991598000001</v>
      </c>
      <c r="G56" s="4">
        <f ca="1">OFFSET(Gisborne_Reference,54,6)</f>
        <v>3.1270511717999998</v>
      </c>
      <c r="H56" s="4">
        <f ca="1">OFFSET(Gisborne_Reference,55,6)</f>
        <v>2.9593226316000001</v>
      </c>
      <c r="I56" s="1">
        <f ca="1">H56*('Updated Population'!I$48/'Updated Population'!H$48)</f>
        <v>2.9315479180037416</v>
      </c>
      <c r="J56" s="1">
        <f ca="1">I56*('Updated Population'!J$48/'Updated Population'!I$48)</f>
        <v>2.8947898436676729</v>
      </c>
      <c r="K56" s="1">
        <f ca="1">J56*('Updated Population'!K$48/'Updated Population'!J$48)</f>
        <v>2.8523495858768677</v>
      </c>
    </row>
    <row r="57" spans="1:11" x14ac:dyDescent="0.25">
      <c r="A57" t="str">
        <f ca="1">OFFSET(Gisborne_Reference,56,2)</f>
        <v>Local Ferry</v>
      </c>
      <c r="B57" s="4">
        <f ca="1">OFFSET(Gisborne_Reference,56,6)</f>
        <v>0</v>
      </c>
      <c r="C57" s="4">
        <f ca="1">OFFSET(Gisborne_Reference,57,6)</f>
        <v>0</v>
      </c>
      <c r="D57" s="4">
        <f ca="1">OFFSET(Gisborne_Reference,58,6)</f>
        <v>0</v>
      </c>
      <c r="E57" s="4">
        <f ca="1">OFFSET(Gisborne_Reference,59,6)</f>
        <v>0</v>
      </c>
      <c r="F57" s="4">
        <f ca="1">OFFSET(Gisborne_Reference,60,6)</f>
        <v>0</v>
      </c>
      <c r="G57" s="4">
        <f ca="1">OFFSET(Gisborne_Reference,61,6)</f>
        <v>0</v>
      </c>
      <c r="H57" s="4">
        <f ca="1">OFFSET(Gisborne_Reference,62,6)</f>
        <v>0</v>
      </c>
      <c r="I57" s="1">
        <f ca="1">H57*('Updated Population'!I$48/'Updated Population'!H$48)</f>
        <v>0</v>
      </c>
      <c r="J57" s="1">
        <f ca="1">I57*('Updated Population'!J$48/'Updated Population'!I$48)</f>
        <v>0</v>
      </c>
      <c r="K57" s="1">
        <f ca="1">J57*('Updated Population'!K$48/'Updated Population'!J$48)</f>
        <v>0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OFFSET(Gisborne_Reference,64,6)</f>
        <v>0</v>
      </c>
      <c r="D58" s="4">
        <f ca="1">OFFSET(Gisborne_Reference,65,6)</f>
        <v>0</v>
      </c>
      <c r="E58" s="4">
        <f ca="1">OFFSET(Gisborne_Reference,66,6)</f>
        <v>0</v>
      </c>
      <c r="F58" s="4">
        <f ca="1">OFFSET(Gisborne_Reference,67,6)</f>
        <v>0</v>
      </c>
      <c r="G58" s="4">
        <f ca="1">OFFSET(Gisborne_Reference,68,6)</f>
        <v>0</v>
      </c>
      <c r="H58" s="4">
        <f ca="1">OFFSET(Gisborne_Reference,69,6)</f>
        <v>0</v>
      </c>
      <c r="I58" s="1">
        <f ca="1">H58*('Updated Population'!I$48/'Updated Population'!H$48)</f>
        <v>0</v>
      </c>
      <c r="J58" s="1">
        <f ca="1">I58*('Updated Population'!J$48/'Updated Population'!I$48)</f>
        <v>0</v>
      </c>
      <c r="K58" s="1">
        <f ca="1">J58*('Updated Population'!K$48/'Updated Population'!J$48)</f>
        <v>0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OFFSET(Hawkes_Bay_Reference,1,6)</f>
        <v>23.209966743999999</v>
      </c>
      <c r="D60" s="4">
        <f ca="1">OFFSET(Hawkes_Bay_Reference,2,6)</f>
        <v>23.501564868999999</v>
      </c>
      <c r="E60" s="4">
        <f ca="1">OFFSET(Hawkes_Bay_Reference,3,6)</f>
        <v>23.398156782000001</v>
      </c>
      <c r="F60" s="4">
        <f ca="1">OFFSET(Hawkes_Bay_Reference,4,6)</f>
        <v>23.030792724000001</v>
      </c>
      <c r="G60" s="4">
        <f ca="1">OFFSET(Hawkes_Bay_Reference,5,6)</f>
        <v>22.777687182000001</v>
      </c>
      <c r="H60" s="4">
        <f ca="1">OFFSET(Hawkes_Bay_Reference,6,6)</f>
        <v>22.439128792999998</v>
      </c>
      <c r="I60" s="1">
        <f ca="1">H60*('Updated Population'!I$59/'Updated Population'!H$59)</f>
        <v>22.283884229293076</v>
      </c>
      <c r="J60" s="1">
        <f ca="1">I60*('Updated Population'!J$59/'Updated Population'!I$59)</f>
        <v>22.059271029481877</v>
      </c>
      <c r="K60" s="1">
        <f ca="1">J60*('Updated Population'!K$59/'Updated Population'!J$59)</f>
        <v>21.789992891168218</v>
      </c>
    </row>
    <row r="61" spans="1:11" x14ac:dyDescent="0.25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OFFSET(Hawkes_Bay_Reference,8,6)</f>
        <v>10.032392258</v>
      </c>
      <c r="D61" s="4">
        <f ca="1">OFFSET(Hawkes_Bay_Reference,9,6)</f>
        <v>10.255764629</v>
      </c>
      <c r="E61" s="4">
        <f ca="1">OFFSET(Hawkes_Bay_Reference,10,6)</f>
        <v>10.548974404999999</v>
      </c>
      <c r="F61" s="4">
        <f ca="1">OFFSET(Hawkes_Bay_Reference,11,6)</f>
        <v>10.788477503999999</v>
      </c>
      <c r="G61" s="4">
        <f ca="1">OFFSET(Hawkes_Bay_Reference,12,6)</f>
        <v>10.727869518</v>
      </c>
      <c r="H61" s="4">
        <f ca="1">OFFSET(Hawkes_Bay_Reference,13,6)</f>
        <v>10.601259002999999</v>
      </c>
      <c r="I61" s="1">
        <f ca="1">H61*('Updated Population'!I$59/'Updated Population'!H$59)</f>
        <v>10.527914451888094</v>
      </c>
      <c r="J61" s="1">
        <f ca="1">I61*('Updated Population'!J$59/'Updated Population'!I$59)</f>
        <v>10.421797020651908</v>
      </c>
      <c r="K61" s="1">
        <f ca="1">J61*('Updated Population'!K$59/'Updated Population'!J$59)</f>
        <v>10.294577852989779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OFFSET(Hawkes_Bay_Reference,15,6)</f>
        <v>1062.3768493</v>
      </c>
      <c r="D62" s="4">
        <f ca="1">OFFSET(Hawkes_Bay_Reference,16,6)</f>
        <v>1094.0680745</v>
      </c>
      <c r="E62" s="4">
        <f ca="1">OFFSET(Hawkes_Bay_Reference,17,6)</f>
        <v>1132.1334380999999</v>
      </c>
      <c r="F62" s="4">
        <f ca="1">OFFSET(Hawkes_Bay_Reference,18,6)</f>
        <v>1158.6771392999999</v>
      </c>
      <c r="G62" s="4">
        <f ca="1">OFFSET(Hawkes_Bay_Reference,19,6)</f>
        <v>1165.5586172999999</v>
      </c>
      <c r="H62" s="4">
        <f ca="1">OFFSET(Hawkes_Bay_Reference,20,6)</f>
        <v>1167.2849154999999</v>
      </c>
      <c r="I62" s="1">
        <f ca="1">H62*('Updated Population'!I$59/'Updated Population'!H$59)</f>
        <v>1159.2090833631926</v>
      </c>
      <c r="J62" s="1">
        <f ca="1">I62*('Updated Population'!J$59/'Updated Population'!I$59)</f>
        <v>1147.5246903379343</v>
      </c>
      <c r="K62" s="1">
        <f ca="1">J62*('Updated Population'!K$59/'Updated Population'!J$59)</f>
        <v>1133.5168243540502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OFFSET(Hawkes_Bay_Reference,22,6)</f>
        <v>628.16745817000003</v>
      </c>
      <c r="D63" s="4">
        <f ca="1">OFFSET(Hawkes_Bay_Reference,23,6)</f>
        <v>638.14087371000005</v>
      </c>
      <c r="E63" s="4">
        <f ca="1">OFFSET(Hawkes_Bay_Reference,24,6)</f>
        <v>641.93849739999996</v>
      </c>
      <c r="F63" s="4">
        <f ca="1">OFFSET(Hawkes_Bay_Reference,25,6)</f>
        <v>632.96035600000005</v>
      </c>
      <c r="G63" s="4">
        <f ca="1">OFFSET(Hawkes_Bay_Reference,26,6)</f>
        <v>619.34126666999998</v>
      </c>
      <c r="H63" s="4">
        <f ca="1">OFFSET(Hawkes_Bay_Reference,27,6)</f>
        <v>603.14902110000003</v>
      </c>
      <c r="I63" s="1">
        <f ca="1">H63*('Updated Population'!I$59/'Updated Population'!H$59)</f>
        <v>598.97614935017805</v>
      </c>
      <c r="J63" s="1">
        <f ca="1">I63*('Updated Population'!J$59/'Updated Population'!I$59)</f>
        <v>592.93869429378901</v>
      </c>
      <c r="K63" s="1">
        <f ca="1">J63*('Updated Population'!K$59/'Updated Population'!J$59)</f>
        <v>585.70067507184035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OFFSET(Hawkes_Bay_Reference,29,6)</f>
        <v>1.7036296033</v>
      </c>
      <c r="D64" s="4">
        <f ca="1">OFFSET(Hawkes_Bay_Reference,30,6)</f>
        <v>1.6722897465</v>
      </c>
      <c r="E64" s="4">
        <f ca="1">OFFSET(Hawkes_Bay_Reference,31,6)</f>
        <v>1.6688544890999999</v>
      </c>
      <c r="F64" s="4">
        <f ca="1">OFFSET(Hawkes_Bay_Reference,32,6)</f>
        <v>1.6783231248999999</v>
      </c>
      <c r="G64" s="4">
        <f ca="1">OFFSET(Hawkes_Bay_Reference,33,6)</f>
        <v>1.6131464772999999</v>
      </c>
      <c r="H64" s="4">
        <f ca="1">OFFSET(Hawkes_Bay_Reference,34,6)</f>
        <v>1.5285787811</v>
      </c>
      <c r="I64" s="1">
        <f ca="1">H64*('Updated Population'!I$59/'Updated Population'!H$59)</f>
        <v>1.5180033461910674</v>
      </c>
      <c r="J64" s="1">
        <f ca="1">I64*('Updated Population'!J$59/'Updated Population'!I$59)</f>
        <v>1.5027024414922414</v>
      </c>
      <c r="K64" s="1">
        <f ca="1">J64*('Updated Population'!K$59/'Updated Population'!J$59)</f>
        <v>1.4843589107679658</v>
      </c>
    </row>
    <row r="65" spans="1:11" x14ac:dyDescent="0.25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OFFSET(Hawkes_Bay_Reference,36,6)</f>
        <v>3.1470884633999998</v>
      </c>
      <c r="D65" s="4">
        <f ca="1">OFFSET(Hawkes_Bay_Reference,37,6)</f>
        <v>3.1888436533000002</v>
      </c>
      <c r="E65" s="4">
        <f ca="1">OFFSET(Hawkes_Bay_Reference,38,6)</f>
        <v>3.0102562057000002</v>
      </c>
      <c r="F65" s="4">
        <f ca="1">OFFSET(Hawkes_Bay_Reference,39,6)</f>
        <v>2.7843699933999999</v>
      </c>
      <c r="G65" s="4">
        <f ca="1">OFFSET(Hawkes_Bay_Reference,40,6)</f>
        <v>2.6252733485999999</v>
      </c>
      <c r="H65" s="4">
        <f ca="1">OFFSET(Hawkes_Bay_Reference,41,6)</f>
        <v>2.4749209025000001</v>
      </c>
      <c r="I65" s="1">
        <f ca="1">H65*('Updated Population'!I$59/'Updated Population'!H$59)</f>
        <v>2.4577982227711144</v>
      </c>
      <c r="J65" s="1">
        <f ca="1">I65*('Updated Population'!J$59/'Updated Population'!I$59)</f>
        <v>2.4330245380029445</v>
      </c>
      <c r="K65" s="1">
        <f ca="1">J65*('Updated Population'!K$59/'Updated Population'!J$59)</f>
        <v>2.4033245394314018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OFFSET(Hawkes_Bay_Reference,43,6)</f>
        <v>38.035323120999998</v>
      </c>
      <c r="D67" s="4">
        <f ca="1">OFFSET(Hawkes_Bay_Reference,44,6)</f>
        <v>36.712064374999997</v>
      </c>
      <c r="E67" s="4">
        <f ca="1">OFFSET(Hawkes_Bay_Reference,45,6)</f>
        <v>36.770764001000003</v>
      </c>
      <c r="F67" s="4">
        <f ca="1">OFFSET(Hawkes_Bay_Reference,46,6)</f>
        <v>35.534913803000002</v>
      </c>
      <c r="G67" s="4">
        <f ca="1">OFFSET(Hawkes_Bay_Reference,47,6)</f>
        <v>35.101439718000002</v>
      </c>
      <c r="H67" s="4">
        <f ca="1">OFFSET(Hawkes_Bay_Reference,48,6)</f>
        <v>34.470171174999997</v>
      </c>
      <c r="I67" s="1">
        <f ca="1">H67*('Updated Population'!I$59/'Updated Population'!H$59)</f>
        <v>34.231690138845188</v>
      </c>
      <c r="J67" s="1">
        <f ca="1">I67*('Updated Population'!J$59/'Updated Population'!I$59)</f>
        <v>33.886647534157618</v>
      </c>
      <c r="K67" s="1">
        <f ca="1">J67*('Updated Population'!K$59/'Updated Population'!J$59)</f>
        <v>33.472992280115278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OFFSET(Hawkes_Bay_Reference,50,6)</f>
        <v>0</v>
      </c>
      <c r="D69" s="4">
        <f ca="1">OFFSET(Hawkes_Bay_Reference,51,6)</f>
        <v>0</v>
      </c>
      <c r="E69" s="4">
        <f ca="1">OFFSET(Hawkes_Bay_Reference,52,6)</f>
        <v>0</v>
      </c>
      <c r="F69" s="4">
        <f ca="1">OFFSET(Hawkes_Bay_Reference,53,6)</f>
        <v>0</v>
      </c>
      <c r="G69" s="4">
        <f ca="1">OFFSET(Hawkes_Bay_Reference,54,6)</f>
        <v>0</v>
      </c>
      <c r="H69" s="4">
        <f ca="1">OFFSET(Hawkes_Bay_Reference,55,6)</f>
        <v>0</v>
      </c>
      <c r="I69" s="1">
        <f ca="1">H69*('Updated Population'!I$59/'Updated Population'!H$59)</f>
        <v>0</v>
      </c>
      <c r="J69" s="1">
        <f ca="1">I69*('Updated Population'!J$59/'Updated Population'!I$59)</f>
        <v>0</v>
      </c>
      <c r="K69" s="1">
        <f ca="1">J69*('Updated Population'!K$59/'Updated Population'!J$59)</f>
        <v>0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OFFSET(Taranaki_Reference,0,6)</f>
        <v>16.820589198</v>
      </c>
      <c r="C71" s="4">
        <f ca="1">OFFSET(Taranaki_Reference,1,6)</f>
        <v>17.53496093</v>
      </c>
      <c r="D71" s="4">
        <f ca="1">OFFSET(Taranaki_Reference,2,6)</f>
        <v>17.822499924999999</v>
      </c>
      <c r="E71" s="4">
        <f ca="1">OFFSET(Taranaki_Reference,3,6)</f>
        <v>17.912139479</v>
      </c>
      <c r="F71" s="4">
        <f ca="1">OFFSET(Taranaki_Reference,4,6)</f>
        <v>17.855241856999999</v>
      </c>
      <c r="G71" s="4">
        <f ca="1">OFFSET(Taranaki_Reference,5,6)</f>
        <v>17.790355129000002</v>
      </c>
      <c r="H71" s="4">
        <f ca="1">OFFSET(Taranaki_Reference,6,6)</f>
        <v>17.701020218</v>
      </c>
      <c r="I71" s="1">
        <f ca="1">H71*('Updated Population'!I$70/'Updated Population'!H$70)</f>
        <v>17.817391678822005</v>
      </c>
      <c r="J71" s="1">
        <f ca="1">I71*('Updated Population'!J$70/'Updated Population'!I$70)</f>
        <v>17.877439504743556</v>
      </c>
      <c r="K71" s="1">
        <f ca="1">J71*('Updated Population'!K$70/'Updated Population'!J$70)</f>
        <v>17.899140449021907</v>
      </c>
    </row>
    <row r="72" spans="1:11" x14ac:dyDescent="0.25">
      <c r="A72" t="str">
        <f ca="1">OFFSET(Taranaki_Reference,7,2)</f>
        <v>Cyclist</v>
      </c>
      <c r="B72" s="4">
        <f ca="1">OFFSET(Taranaki_Reference,7,6)</f>
        <v>5.5737915155</v>
      </c>
      <c r="C72" s="4">
        <f ca="1">OFFSET(Taranaki_Reference,8,6)</f>
        <v>5.6993542844</v>
      </c>
      <c r="D72" s="4">
        <f ca="1">OFFSET(Taranaki_Reference,9,6)</f>
        <v>5.6939714579</v>
      </c>
      <c r="E72" s="4">
        <f ca="1">OFFSET(Taranaki_Reference,10,6)</f>
        <v>5.4469470082000004</v>
      </c>
      <c r="F72" s="4">
        <f ca="1">OFFSET(Taranaki_Reference,11,6)</f>
        <v>5.3855192833999999</v>
      </c>
      <c r="G72" s="4">
        <f ca="1">OFFSET(Taranaki_Reference,12,6)</f>
        <v>5.4459820749999999</v>
      </c>
      <c r="H72" s="4">
        <f ca="1">OFFSET(Taranaki_Reference,13,6)</f>
        <v>5.5476818932</v>
      </c>
      <c r="I72" s="1">
        <f ca="1">H72*('Updated Population'!I$70/'Updated Population'!H$70)</f>
        <v>5.5841539065719177</v>
      </c>
      <c r="J72" s="1">
        <f ca="1">I72*('Updated Population'!J$70/'Updated Population'!I$70)</f>
        <v>5.6029735131532528</v>
      </c>
      <c r="K72" s="1">
        <f ca="1">J72*('Updated Population'!K$70/'Updated Population'!J$70)</f>
        <v>5.6097748124092091</v>
      </c>
    </row>
    <row r="73" spans="1:11" x14ac:dyDescent="0.25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OFFSET(Taranaki_Reference,15,6)</f>
        <v>1005.2077748</v>
      </c>
      <c r="D73" s="4">
        <f ca="1">OFFSET(Taranaki_Reference,16,6)</f>
        <v>1051.4597498999999</v>
      </c>
      <c r="E73" s="4">
        <f ca="1">OFFSET(Taranaki_Reference,17,6)</f>
        <v>1078.6353959999999</v>
      </c>
      <c r="F73" s="4">
        <f ca="1">OFFSET(Taranaki_Reference,18,6)</f>
        <v>1085.7181313000001</v>
      </c>
      <c r="G73" s="4">
        <f ca="1">OFFSET(Taranaki_Reference,19,6)</f>
        <v>1102.4151623</v>
      </c>
      <c r="H73" s="4">
        <f ca="1">OFFSET(Taranaki_Reference,20,6)</f>
        <v>1113.9243205</v>
      </c>
      <c r="I73" s="1">
        <f ca="1">H73*('Updated Population'!I$70/'Updated Population'!H$70)</f>
        <v>1121.2475707322058</v>
      </c>
      <c r="J73" s="1">
        <f ca="1">I73*('Updated Population'!J$70/'Updated Population'!I$70)</f>
        <v>1125.0263774260227</v>
      </c>
      <c r="K73" s="1">
        <f ca="1">J73*('Updated Population'!K$70/'Updated Population'!J$70)</f>
        <v>1126.3920167683748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OFFSET(Taranaki_Reference,22,6)</f>
        <v>654.53776778999998</v>
      </c>
      <c r="D74" s="4">
        <f ca="1">OFFSET(Taranaki_Reference,23,6)</f>
        <v>641.56447295999999</v>
      </c>
      <c r="E74" s="4">
        <f ca="1">OFFSET(Taranaki_Reference,24,6)</f>
        <v>635.29010734999997</v>
      </c>
      <c r="F74" s="4">
        <f ca="1">OFFSET(Taranaki_Reference,25,6)</f>
        <v>631.10600166999996</v>
      </c>
      <c r="G74" s="4">
        <f ca="1">OFFSET(Taranaki_Reference,26,6)</f>
        <v>619.95108234999998</v>
      </c>
      <c r="H74" s="4">
        <f ca="1">OFFSET(Taranaki_Reference,27,6)</f>
        <v>605.92168363999997</v>
      </c>
      <c r="I74" s="1">
        <f ca="1">H74*('Updated Population'!I$70/'Updated Population'!H$70)</f>
        <v>609.90518236496121</v>
      </c>
      <c r="J74" s="1">
        <f ca="1">I74*('Updated Population'!J$70/'Updated Population'!I$70)</f>
        <v>611.96067291483973</v>
      </c>
      <c r="K74" s="1">
        <f ca="1">J74*('Updated Population'!K$70/'Updated Population'!J$70)</f>
        <v>612.70351556073115</v>
      </c>
    </row>
    <row r="75" spans="1:11" x14ac:dyDescent="0.25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OFFSET(Taranaki_Reference,29,6)</f>
        <v>1.3664527943</v>
      </c>
      <c r="D75" s="4">
        <f ca="1">OFFSET(Taranaki_Reference,30,6)</f>
        <v>1.4970564316999999</v>
      </c>
      <c r="E75" s="4">
        <f ca="1">OFFSET(Taranaki_Reference,31,6)</f>
        <v>1.6301704101000001</v>
      </c>
      <c r="F75" s="4">
        <f ca="1">OFFSET(Taranaki_Reference,32,6)</f>
        <v>1.6729183734999999</v>
      </c>
      <c r="G75" s="4">
        <f ca="1">OFFSET(Taranaki_Reference,33,6)</f>
        <v>1.7017684255000001</v>
      </c>
      <c r="H75" s="4">
        <f ca="1">OFFSET(Taranaki_Reference,34,6)</f>
        <v>1.7184032031000001</v>
      </c>
      <c r="I75" s="1">
        <f ca="1">H75*('Updated Population'!I$70/'Updated Population'!H$70)</f>
        <v>1.7297004666793394</v>
      </c>
      <c r="J75" s="1">
        <f ca="1">I75*('Updated Population'!J$70/'Updated Population'!I$70)</f>
        <v>1.7355298694556751</v>
      </c>
      <c r="K75" s="1">
        <f ca="1">J75*('Updated Population'!K$70/'Updated Population'!J$70)</f>
        <v>1.7376365826111289</v>
      </c>
    </row>
    <row r="76" spans="1:11" x14ac:dyDescent="0.25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OFFSET(Taranaki_Reference,36,6)</f>
        <v>7.2801277295000002</v>
      </c>
      <c r="D76" s="4">
        <f ca="1">OFFSET(Taranaki_Reference,37,6)</f>
        <v>7.3798361622000002</v>
      </c>
      <c r="E76" s="4">
        <f ca="1">OFFSET(Taranaki_Reference,38,6)</f>
        <v>7.3621526298999997</v>
      </c>
      <c r="F76" s="4">
        <f ca="1">OFFSET(Taranaki_Reference,39,6)</f>
        <v>7.0816585221999997</v>
      </c>
      <c r="G76" s="4">
        <f ca="1">OFFSET(Taranaki_Reference,40,6)</f>
        <v>6.7771499517000002</v>
      </c>
      <c r="H76" s="4">
        <f ca="1">OFFSET(Taranaki_Reference,41,6)</f>
        <v>6.4570847358999997</v>
      </c>
      <c r="I76" s="1">
        <f ca="1">H76*('Updated Population'!I$70/'Updated Population'!H$70)</f>
        <v>6.499535418070514</v>
      </c>
      <c r="J76" s="1">
        <f ca="1">I76*('Updated Population'!J$70/'Updated Population'!I$70)</f>
        <v>6.5214400255680944</v>
      </c>
      <c r="K76" s="1">
        <f ca="1">J76*('Updated Population'!K$70/'Updated Population'!J$70)</f>
        <v>6.5293562266869358</v>
      </c>
    </row>
    <row r="77" spans="1:11" x14ac:dyDescent="0.25">
      <c r="A77" t="str">
        <f ca="1">OFFSET(Taranaki_Reference,42,2)</f>
        <v>Local Train</v>
      </c>
      <c r="B77" s="4">
        <f ca="1">OFFSET(Taranaki_Reference,42,6)</f>
        <v>0.36455468079999997</v>
      </c>
      <c r="C77" s="4">
        <f ca="1">OFFSET(Taranaki_Reference,43,6)</f>
        <v>0.35128993920000001</v>
      </c>
      <c r="D77" s="4">
        <f ca="1">OFFSET(Taranaki_Reference,44,6)</f>
        <v>0.31383889539999998</v>
      </c>
      <c r="E77" s="4">
        <f ca="1">OFFSET(Taranaki_Reference,45,6)</f>
        <v>0.3043781163</v>
      </c>
      <c r="F77" s="4">
        <f ca="1">OFFSET(Taranaki_Reference,46,6)</f>
        <v>0.33114989449999999</v>
      </c>
      <c r="G77" s="4">
        <f ca="1">OFFSET(Taranaki_Reference,47,6)</f>
        <v>0.38370352159999999</v>
      </c>
      <c r="H77" s="4">
        <f ca="1">OFFSET(Taranaki_Reference,48,6)</f>
        <v>0.43375039389999998</v>
      </c>
      <c r="I77" s="1">
        <f ca="1">H77*('Updated Population'!I$70/'Updated Population'!H$70)</f>
        <v>0.43660199038136749</v>
      </c>
      <c r="J77" s="1">
        <f ca="1">I77*('Updated Population'!J$70/'Updated Population'!I$70)</f>
        <v>0.43807341789376736</v>
      </c>
      <c r="K77" s="1">
        <f ca="1">J77*('Updated Population'!K$70/'Updated Population'!J$70)</f>
        <v>0.43860518346506278</v>
      </c>
    </row>
    <row r="78" spans="1:11" x14ac:dyDescent="0.25">
      <c r="A78" t="str">
        <f ca="1">OFFSET(Taranaki_Reference,49,2)</f>
        <v>Local Bus</v>
      </c>
      <c r="B78" s="4">
        <f ca="1">OFFSET(Taranaki_Reference,49,6)</f>
        <v>14.084735078</v>
      </c>
      <c r="C78" s="4">
        <f ca="1">OFFSET(Taranaki_Reference,50,6)</f>
        <v>15.051061588</v>
      </c>
      <c r="D78" s="4">
        <f ca="1">OFFSET(Taranaki_Reference,51,6)</f>
        <v>15.64016335</v>
      </c>
      <c r="E78" s="4">
        <f ca="1">OFFSET(Taranaki_Reference,52,6)</f>
        <v>15.545292867000001</v>
      </c>
      <c r="F78" s="4">
        <f ca="1">OFFSET(Taranaki_Reference,53,6)</f>
        <v>15.222023061</v>
      </c>
      <c r="G78" s="4">
        <f ca="1">OFFSET(Taranaki_Reference,54,6)</f>
        <v>16.080845462999999</v>
      </c>
      <c r="H78" s="4">
        <f ca="1">OFFSET(Taranaki_Reference,55,6)</f>
        <v>16.94682177</v>
      </c>
      <c r="I78" s="1">
        <f ca="1">H78*('Updated Population'!I$70/'Updated Population'!H$70)</f>
        <v>17.058234919150557</v>
      </c>
      <c r="J78" s="1">
        <f ca="1">I78*('Updated Population'!J$70/'Updated Population'!I$70)</f>
        <v>17.115724249767428</v>
      </c>
      <c r="K78" s="1">
        <f ca="1">J78*('Updated Population'!K$70/'Updated Population'!J$70)</f>
        <v>17.136500568329673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OFFSET(Taranaki_Reference,57,6)</f>
        <v>0</v>
      </c>
      <c r="D80" s="4">
        <f ca="1">OFFSET(Taranaki_Reference,58,6)</f>
        <v>0</v>
      </c>
      <c r="E80" s="4">
        <f ca="1">OFFSET(Taranaki_Reference,59,6)</f>
        <v>0</v>
      </c>
      <c r="F80" s="4">
        <f ca="1">OFFSET(Taranaki_Reference,60,6)</f>
        <v>0</v>
      </c>
      <c r="G80" s="4">
        <f ca="1">OFFSET(Taranaki_Reference,61,6)</f>
        <v>0</v>
      </c>
      <c r="H80" s="4">
        <f ca="1">OFFSET(Taranaki_Reference,62,6)</f>
        <v>0</v>
      </c>
      <c r="I80" s="1">
        <f ca="1">H80*('Updated Population'!I$70/'Updated Population'!H$70)</f>
        <v>0</v>
      </c>
      <c r="J80" s="1">
        <f ca="1">I80*('Updated Population'!J$70/'Updated Population'!I$70)</f>
        <v>0</v>
      </c>
      <c r="K80" s="1">
        <f ca="1">J80*('Updated Population'!K$70/'Updated Population'!J$70)</f>
        <v>0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OFFSET(Manawatu_Reference,0,6)</f>
        <v>32.265609755</v>
      </c>
      <c r="C82" s="4">
        <f ca="1">OFFSET(Manawatu_Reference,1,6)</f>
        <v>31.961970773000001</v>
      </c>
      <c r="D82" s="4">
        <f ca="1">OFFSET(Manawatu_Reference,2,6)</f>
        <v>31.111035954999998</v>
      </c>
      <c r="E82" s="4">
        <f ca="1">OFFSET(Manawatu_Reference,3,6)</f>
        <v>29.291542627999998</v>
      </c>
      <c r="F82" s="4">
        <f ca="1">OFFSET(Manawatu_Reference,4,6)</f>
        <v>27.515261346999999</v>
      </c>
      <c r="G82" s="4">
        <f ca="1">OFFSET(Manawatu_Reference,5,6)</f>
        <v>25.940383285999999</v>
      </c>
      <c r="H82" s="4">
        <f ca="1">OFFSET(Manawatu_Reference,6,6)</f>
        <v>24.518547519999998</v>
      </c>
      <c r="I82" s="1">
        <f ca="1">H82*('Updated Population'!I$81/'Updated Population'!H$81)</f>
        <v>24.316600332649816</v>
      </c>
      <c r="J82" s="1">
        <f ca="1">I82*('Updated Population'!J$81/'Updated Population'!I$81)</f>
        <v>24.03955009399688</v>
      </c>
      <c r="K82" s="1">
        <f ca="1">J82*('Updated Population'!K$81/'Updated Population'!J$81)</f>
        <v>23.714582485930755</v>
      </c>
    </row>
    <row r="83" spans="1:11" x14ac:dyDescent="0.25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OFFSET(Manawatu_Reference,8,6)</f>
        <v>22.873044531000001</v>
      </c>
      <c r="D83" s="4">
        <f ca="1">OFFSET(Manawatu_Reference,9,6)</f>
        <v>24.182825050999998</v>
      </c>
      <c r="E83" s="4">
        <f ca="1">OFFSET(Manawatu_Reference,10,6)</f>
        <v>24.438713443000001</v>
      </c>
      <c r="F83" s="4">
        <f ca="1">OFFSET(Manawatu_Reference,11,6)</f>
        <v>24.545137880999999</v>
      </c>
      <c r="G83" s="4">
        <f ca="1">OFFSET(Manawatu_Reference,12,6)</f>
        <v>24.635376608000001</v>
      </c>
      <c r="H83" s="4">
        <f ca="1">OFFSET(Manawatu_Reference,13,6)</f>
        <v>24.644989714000001</v>
      </c>
      <c r="I83" s="1">
        <f ca="1">H83*('Updated Population'!I$81/'Updated Population'!H$81)</f>
        <v>24.442001084638626</v>
      </c>
      <c r="J83" s="1">
        <f ca="1">I83*('Updated Population'!J$81/'Updated Population'!I$81)</f>
        <v>24.163522097402808</v>
      </c>
      <c r="K83" s="1">
        <f ca="1">J83*('Updated Population'!K$81/'Updated Population'!J$81)</f>
        <v>23.836878630792889</v>
      </c>
    </row>
    <row r="84" spans="1:11" x14ac:dyDescent="0.25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OFFSET(Manawatu_Reference,15,6)</f>
        <v>1900.1945091</v>
      </c>
      <c r="D84" s="4">
        <f ca="1">OFFSET(Manawatu_Reference,16,6)</f>
        <v>1963.2222936000001</v>
      </c>
      <c r="E84" s="4">
        <f ca="1">OFFSET(Manawatu_Reference,17,6)</f>
        <v>2009.5241550999999</v>
      </c>
      <c r="F84" s="4">
        <f ca="1">OFFSET(Manawatu_Reference,18,6)</f>
        <v>2039.3011776999999</v>
      </c>
      <c r="G84" s="4">
        <f ca="1">OFFSET(Manawatu_Reference,19,6)</f>
        <v>2041.7717204999999</v>
      </c>
      <c r="H84" s="4">
        <f ca="1">OFFSET(Manawatu_Reference,20,6)</f>
        <v>2032.5572597</v>
      </c>
      <c r="I84" s="1">
        <f ca="1">H84*('Updated Population'!I$81/'Updated Population'!H$81)</f>
        <v>2015.8160876795209</v>
      </c>
      <c r="J84" s="1">
        <f ca="1">I84*('Updated Population'!J$81/'Updated Population'!I$81)</f>
        <v>1992.8489656093291</v>
      </c>
      <c r="K84" s="1">
        <f ca="1">J84*('Updated Population'!K$81/'Updated Population'!J$81)</f>
        <v>1965.9095528890871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OFFSET(Manawatu_Reference,22,6)</f>
        <v>897.08027162999997</v>
      </c>
      <c r="D85" s="4">
        <f ca="1">OFFSET(Manawatu_Reference,23,6)</f>
        <v>894.07598287999997</v>
      </c>
      <c r="E85" s="4">
        <f ca="1">OFFSET(Manawatu_Reference,24,6)</f>
        <v>889.38199902999997</v>
      </c>
      <c r="F85" s="4">
        <f ca="1">OFFSET(Manawatu_Reference,25,6)</f>
        <v>892.43011753999997</v>
      </c>
      <c r="G85" s="4">
        <f ca="1">OFFSET(Manawatu_Reference,26,6)</f>
        <v>889.73545634000004</v>
      </c>
      <c r="H85" s="4">
        <f ca="1">OFFSET(Manawatu_Reference,27,6)</f>
        <v>884.17732663000004</v>
      </c>
      <c r="I85" s="1">
        <f ca="1">H85*('Updated Population'!I$81/'Updated Population'!H$81)</f>
        <v>876.8947939234406</v>
      </c>
      <c r="J85" s="1">
        <f ca="1">I85*('Updated Population'!J$81/'Updated Population'!I$81)</f>
        <v>866.90392724773153</v>
      </c>
      <c r="K85" s="1">
        <f ca="1">J85*('Updated Population'!K$81/'Updated Population'!J$81)</f>
        <v>855.18508498324286</v>
      </c>
    </row>
    <row r="86" spans="1:11" x14ac:dyDescent="0.25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OFFSET(Manawatu_Reference,29,6)</f>
        <v>6.7048361874999998</v>
      </c>
      <c r="D86" s="4">
        <f ca="1">OFFSET(Manawatu_Reference,30,6)</f>
        <v>7.3398777645999997</v>
      </c>
      <c r="E86" s="4">
        <f ca="1">OFFSET(Manawatu_Reference,31,6)</f>
        <v>7.4580330158999999</v>
      </c>
      <c r="F86" s="4">
        <f ca="1">OFFSET(Manawatu_Reference,32,6)</f>
        <v>7.5199853953</v>
      </c>
      <c r="G86" s="4">
        <f ca="1">OFFSET(Manawatu_Reference,33,6)</f>
        <v>8.0369111137000004</v>
      </c>
      <c r="H86" s="4">
        <f ca="1">OFFSET(Manawatu_Reference,34,6)</f>
        <v>8.5859613434999993</v>
      </c>
      <c r="I86" s="1">
        <f ca="1">H86*('Updated Population'!I$81/'Updated Population'!H$81)</f>
        <v>8.5152430131175461</v>
      </c>
      <c r="J86" s="1">
        <f ca="1">I86*('Updated Population'!J$81/'Updated Population'!I$81)</f>
        <v>8.4182249235532609</v>
      </c>
      <c r="K86" s="1">
        <f ca="1">J86*('Updated Population'!K$81/'Updated Population'!J$81)</f>
        <v>8.3044270193964405</v>
      </c>
    </row>
    <row r="87" spans="1:11" x14ac:dyDescent="0.25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OFFSET(Manawatu_Reference,36,6)</f>
        <v>4.1839188643999998</v>
      </c>
      <c r="D87" s="4">
        <f ca="1">OFFSET(Manawatu_Reference,37,6)</f>
        <v>4.2864243523000001</v>
      </c>
      <c r="E87" s="4">
        <f ca="1">OFFSET(Manawatu_Reference,38,6)</f>
        <v>4.1033343316000002</v>
      </c>
      <c r="F87" s="4">
        <f ca="1">OFFSET(Manawatu_Reference,39,6)</f>
        <v>3.9086050006000002</v>
      </c>
      <c r="G87" s="4">
        <f ca="1">OFFSET(Manawatu_Reference,40,6)</f>
        <v>3.8145017852000001</v>
      </c>
      <c r="H87" s="4">
        <f ca="1">OFFSET(Manawatu_Reference,41,6)</f>
        <v>3.6962655669000002</v>
      </c>
      <c r="I87" s="1">
        <f ca="1">H87*('Updated Population'!I$81/'Updated Population'!H$81)</f>
        <v>3.6658212498242886</v>
      </c>
      <c r="J87" s="1">
        <f ca="1">I87*('Updated Population'!J$81/'Updated Population'!I$81)</f>
        <v>3.6240548582140617</v>
      </c>
      <c r="K87" s="1">
        <f ca="1">J87*('Updated Population'!K$81/'Updated Population'!J$81)</f>
        <v>3.5750647384252421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OFFSET(Manawatu_Reference,43,6)</f>
        <v>34.946754415000001</v>
      </c>
      <c r="D89" s="4">
        <f ca="1">OFFSET(Manawatu_Reference,44,6)</f>
        <v>31.346787525</v>
      </c>
      <c r="E89" s="4">
        <f ca="1">OFFSET(Manawatu_Reference,45,6)</f>
        <v>28.828755388000001</v>
      </c>
      <c r="F89" s="4">
        <f ca="1">OFFSET(Manawatu_Reference,46,6)</f>
        <v>26.365692819</v>
      </c>
      <c r="G89" s="4">
        <f ca="1">OFFSET(Manawatu_Reference,47,6)</f>
        <v>24.214203065</v>
      </c>
      <c r="H89" s="4">
        <f ca="1">OFFSET(Manawatu_Reference,48,6)</f>
        <v>22.020428528</v>
      </c>
      <c r="I89" s="1">
        <f ca="1">H89*('Updated Population'!I$81/'Updated Population'!H$81)</f>
        <v>21.839057115119694</v>
      </c>
      <c r="J89" s="1">
        <f ca="1">I89*('Updated Population'!J$81/'Updated Population'!I$81)</f>
        <v>21.590234668604626</v>
      </c>
      <c r="K89" s="1">
        <f ca="1">J89*('Updated Population'!K$81/'Updated Population'!J$81)</f>
        <v>21.298377005278606</v>
      </c>
    </row>
    <row r="90" spans="1:11" x14ac:dyDescent="0.25">
      <c r="A90" t="str">
        <f ca="1">OFFSET(Manawatu_Reference,49,2)</f>
        <v>Local Ferry</v>
      </c>
      <c r="B90" s="4">
        <f ca="1">OFFSET(Manawatu_Reference,49,6)</f>
        <v>0</v>
      </c>
      <c r="C90" s="4">
        <f ca="1">OFFSET(Manawatu_Reference,50,6)</f>
        <v>0</v>
      </c>
      <c r="D90" s="4">
        <f ca="1">OFFSET(Manawatu_Reference,51,6)</f>
        <v>0</v>
      </c>
      <c r="E90" s="4">
        <f ca="1">OFFSET(Manawatu_Reference,52,6)</f>
        <v>0</v>
      </c>
      <c r="F90" s="4">
        <f ca="1">OFFSET(Manawatu_Reference,53,6)</f>
        <v>0</v>
      </c>
      <c r="G90" s="4">
        <f ca="1">OFFSET(Manawatu_Reference,54,6)</f>
        <v>0</v>
      </c>
      <c r="H90" s="4">
        <f ca="1">OFFSET(Manawatu_Reference,55,6)</f>
        <v>0</v>
      </c>
      <c r="I90" s="1">
        <f ca="1">H90*('Updated Population'!I$81/'Updated Population'!H$81)</f>
        <v>0</v>
      </c>
      <c r="J90" s="1">
        <f ca="1">I90*('Updated Population'!J$81/'Updated Population'!I$81)</f>
        <v>0</v>
      </c>
      <c r="K90" s="1">
        <f ca="1">J90*('Updated Population'!K$81/'Updated Population'!J$81)</f>
        <v>0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OFFSET(Manawatu_Reference,57,6)</f>
        <v>0</v>
      </c>
      <c r="D91" s="4">
        <f ca="1">OFFSET(Manawatu_Reference,58,6)</f>
        <v>0</v>
      </c>
      <c r="E91" s="4">
        <f ca="1">OFFSET(Manawatu_Reference,59,6)</f>
        <v>0</v>
      </c>
      <c r="F91" s="4">
        <f ca="1">OFFSET(Manawatu_Reference,60,6)</f>
        <v>0</v>
      </c>
      <c r="G91" s="4">
        <f ca="1">OFFSET(Manawatu_Reference,61,6)</f>
        <v>0</v>
      </c>
      <c r="H91" s="4">
        <f ca="1">OFFSET(Manawatu_Reference,62,6)</f>
        <v>0</v>
      </c>
      <c r="I91" s="1">
        <f ca="1">H91*('Updated Population'!I$81/'Updated Population'!H$81)</f>
        <v>0</v>
      </c>
      <c r="J91" s="1">
        <f ca="1">I91*('Updated Population'!J$81/'Updated Population'!I$81)</f>
        <v>0</v>
      </c>
      <c r="K91" s="1">
        <f ca="1">J91*('Updated Population'!K$81/'Updated Population'!J$81)</f>
        <v>0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OFFSET(Wellington_Reference,1,6)</f>
        <v>132.45113541000001</v>
      </c>
      <c r="D93" s="4">
        <f ca="1">OFFSET(Wellington_Reference,2,6)</f>
        <v>135.06483802</v>
      </c>
      <c r="E93" s="4">
        <f ca="1">OFFSET(Wellington_Reference,3,6)</f>
        <v>137.71668699</v>
      </c>
      <c r="F93" s="4">
        <f ca="1">OFFSET(Wellington_Reference,4,6)</f>
        <v>139.79366095</v>
      </c>
      <c r="G93" s="4">
        <f ca="1">OFFSET(Wellington_Reference,5,6)</f>
        <v>142.10474904</v>
      </c>
      <c r="H93" s="4">
        <f ca="1">OFFSET(Wellington_Reference,6,6)</f>
        <v>144.08450284</v>
      </c>
      <c r="I93" s="1">
        <f ca="1">H93*('Updated Population'!I$92/'Updated Population'!H$92)</f>
        <v>145.03738105034336</v>
      </c>
      <c r="J93" s="1">
        <f ca="1">I93*('Updated Population'!J$92/'Updated Population'!I$92)</f>
        <v>145.53182874834505</v>
      </c>
      <c r="K93" s="1">
        <f ca="1">J93*('Updated Population'!K$92/'Updated Population'!J$92)</f>
        <v>145.7141385490645</v>
      </c>
    </row>
    <row r="94" spans="1:11" x14ac:dyDescent="0.25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OFFSET(Wellington_Reference,8,6)</f>
        <v>54.619825529000003</v>
      </c>
      <c r="D94" s="4">
        <f ca="1">OFFSET(Wellington_Reference,9,6)</f>
        <v>55.456239609999997</v>
      </c>
      <c r="E94" s="4">
        <f ca="1">OFFSET(Wellington_Reference,10,6)</f>
        <v>56.716453205999997</v>
      </c>
      <c r="F94" s="4">
        <f ca="1">OFFSET(Wellington_Reference,11,6)</f>
        <v>60.390584517000001</v>
      </c>
      <c r="G94" s="4">
        <f ca="1">OFFSET(Wellington_Reference,12,6)</f>
        <v>65.895244525999999</v>
      </c>
      <c r="H94" s="4">
        <f ca="1">OFFSET(Wellington_Reference,13,6)</f>
        <v>71.642121337000006</v>
      </c>
      <c r="I94" s="1">
        <f ca="1">H94*('Updated Population'!I$92/'Updated Population'!H$92)</f>
        <v>72.115914250319818</v>
      </c>
      <c r="J94" s="1">
        <f ca="1">I94*('Updated Population'!J$92/'Updated Population'!I$92)</f>
        <v>72.361764992605231</v>
      </c>
      <c r="K94" s="1">
        <f ca="1">J94*('Updated Population'!K$92/'Updated Population'!J$92)</f>
        <v>72.452413609261612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OFFSET(Wellington_Reference,15,6)</f>
        <v>3641.9345367999999</v>
      </c>
      <c r="D95" s="4">
        <f ca="1">OFFSET(Wellington_Reference,16,6)</f>
        <v>3731.1882663000001</v>
      </c>
      <c r="E95" s="4">
        <f ca="1">OFFSET(Wellington_Reference,17,6)</f>
        <v>3886.7419365000001</v>
      </c>
      <c r="F95" s="4">
        <f ca="1">OFFSET(Wellington_Reference,18,6)</f>
        <v>4036.5519002999999</v>
      </c>
      <c r="G95" s="4">
        <f ca="1">OFFSET(Wellington_Reference,19,6)</f>
        <v>4147.7905872000001</v>
      </c>
      <c r="H95" s="4">
        <f ca="1">OFFSET(Wellington_Reference,20,6)</f>
        <v>4240.9874411000001</v>
      </c>
      <c r="I95" s="1">
        <f ca="1">H95*('Updated Population'!I$92/'Updated Population'!H$92)</f>
        <v>4269.0344860167706</v>
      </c>
      <c r="J95" s="1">
        <f ca="1">I95*('Updated Population'!J$92/'Updated Population'!I$92)</f>
        <v>4283.5880739195209</v>
      </c>
      <c r="K95" s="1">
        <f ca="1">J95*('Updated Population'!K$92/'Updated Population'!J$92)</f>
        <v>4288.954185888545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OFFSET(Wellington_Reference,22,6)</f>
        <v>1999.5831888</v>
      </c>
      <c r="D96" s="4">
        <f ca="1">OFFSET(Wellington_Reference,23,6)</f>
        <v>1970.7731154999999</v>
      </c>
      <c r="E96" s="4">
        <f ca="1">OFFSET(Wellington_Reference,24,6)</f>
        <v>1965.2787202</v>
      </c>
      <c r="F96" s="4">
        <f ca="1">OFFSET(Wellington_Reference,25,6)</f>
        <v>1965.0207774999999</v>
      </c>
      <c r="G96" s="4">
        <f ca="1">OFFSET(Wellington_Reference,26,6)</f>
        <v>1950.3790839000001</v>
      </c>
      <c r="H96" s="4">
        <f ca="1">OFFSET(Wellington_Reference,27,6)</f>
        <v>1926.4478180999999</v>
      </c>
      <c r="I96" s="1">
        <f ca="1">H96*('Updated Population'!I$92/'Updated Population'!H$92)</f>
        <v>1939.188051178844</v>
      </c>
      <c r="J96" s="1">
        <f ca="1">I96*('Updated Population'!J$92/'Updated Population'!I$92)</f>
        <v>1945.7989473557748</v>
      </c>
      <c r="K96" s="1">
        <f ca="1">J96*('Updated Population'!K$92/'Updated Population'!J$92)</f>
        <v>1948.2364774918524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OFFSET(Wellington_Reference,29,6)</f>
        <v>20.293499299</v>
      </c>
      <c r="D97" s="4">
        <f ca="1">OFFSET(Wellington_Reference,30,6)</f>
        <v>21.173082781000002</v>
      </c>
      <c r="E97" s="4">
        <f ca="1">OFFSET(Wellington_Reference,31,6)</f>
        <v>22.585173241</v>
      </c>
      <c r="F97" s="4">
        <f ca="1">OFFSET(Wellington_Reference,32,6)</f>
        <v>23.936852735999999</v>
      </c>
      <c r="G97" s="4">
        <f ca="1">OFFSET(Wellington_Reference,33,6)</f>
        <v>24.949145009999999</v>
      </c>
      <c r="H97" s="4">
        <f ca="1">OFFSET(Wellington_Reference,34,6)</f>
        <v>25.765838730999999</v>
      </c>
      <c r="I97" s="1">
        <f ca="1">H97*('Updated Population'!I$92/'Updated Population'!H$92)</f>
        <v>25.936236697568646</v>
      </c>
      <c r="J97" s="1">
        <f ca="1">I97*('Updated Population'!J$92/'Updated Population'!I$92)</f>
        <v>26.024656058405618</v>
      </c>
      <c r="K97" s="1">
        <f ca="1">J97*('Updated Population'!K$92/'Updated Population'!J$92)</f>
        <v>26.057257516798646</v>
      </c>
    </row>
    <row r="98" spans="1:11" x14ac:dyDescent="0.25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OFFSET(Wellington_Reference,36,6)</f>
        <v>24.296201889999999</v>
      </c>
      <c r="D98" s="4">
        <f ca="1">OFFSET(Wellington_Reference,37,6)</f>
        <v>23.759589644999998</v>
      </c>
      <c r="E98" s="4">
        <f ca="1">OFFSET(Wellington_Reference,38,6)</f>
        <v>24.081453671999999</v>
      </c>
      <c r="F98" s="4">
        <f ca="1">OFFSET(Wellington_Reference,39,6)</f>
        <v>25.052681531000001</v>
      </c>
      <c r="G98" s="4">
        <f ca="1">OFFSET(Wellington_Reference,40,6)</f>
        <v>25.872757813</v>
      </c>
      <c r="H98" s="4">
        <f ca="1">OFFSET(Wellington_Reference,41,6)</f>
        <v>26.366761792999998</v>
      </c>
      <c r="I98" s="1">
        <f ca="1">H98*('Updated Population'!I$92/'Updated Population'!H$92)</f>
        <v>26.541133861436553</v>
      </c>
      <c r="J98" s="1">
        <f ca="1">I98*('Updated Population'!J$92/'Updated Population'!I$92)</f>
        <v>26.631615380373983</v>
      </c>
      <c r="K98" s="1">
        <f ca="1">J98*('Updated Population'!K$92/'Updated Population'!J$92)</f>
        <v>26.664977185379737</v>
      </c>
    </row>
    <row r="99" spans="1:11" x14ac:dyDescent="0.25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265.00934484999999</v>
      </c>
      <c r="D99" s="4">
        <f ca="1">OFFSET(Wellington_Reference,44,6)</f>
        <v>274.59087191999998</v>
      </c>
      <c r="E99" s="4">
        <f ca="1">OFFSET(Wellington_Reference,45,6)</f>
        <v>280.53891522999999</v>
      </c>
      <c r="F99" s="4">
        <f ca="1">OFFSET(Wellington_Reference,46,6)</f>
        <v>280.46661624000001</v>
      </c>
      <c r="G99" s="4">
        <f ca="1">OFFSET(Wellington_Reference,47,6)</f>
        <v>281.29711746999999</v>
      </c>
      <c r="H99" s="4">
        <f ca="1">OFFSET(Wellington_Reference,48,6)</f>
        <v>280.54519583000001</v>
      </c>
      <c r="I99" s="1">
        <f ca="1">H99*('Updated Population'!I$92/'Updated Population'!H$92)</f>
        <v>282.40053348848346</v>
      </c>
      <c r="J99" s="1">
        <f ca="1">I99*('Updated Population'!J$92/'Updated Population'!I$92)</f>
        <v>283.36326663139209</v>
      </c>
      <c r="K99" s="1">
        <f ca="1">J99*('Updated Population'!K$92/'Updated Population'!J$92)</f>
        <v>283.71823984319798</v>
      </c>
    </row>
    <row r="100" spans="1:11" x14ac:dyDescent="0.25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194.02219538</v>
      </c>
      <c r="D100" s="4">
        <f ca="1">OFFSET(Wellington_Reference,51,6)</f>
        <v>195.43861494999999</v>
      </c>
      <c r="E100" s="4">
        <f ca="1">OFFSET(Wellington_Reference,52,6)</f>
        <v>195.36506292999999</v>
      </c>
      <c r="F100" s="4">
        <f ca="1">OFFSET(Wellington_Reference,53,6)</f>
        <v>193.63218957999999</v>
      </c>
      <c r="G100" s="4">
        <f ca="1">OFFSET(Wellington_Reference,54,6)</f>
        <v>191.16260774</v>
      </c>
      <c r="H100" s="4">
        <f ca="1">OFFSET(Wellington_Reference,55,6)</f>
        <v>187.86246208</v>
      </c>
      <c r="I100" s="1">
        <f ca="1">H100*('Updated Population'!I$92/'Updated Population'!H$92)</f>
        <v>189.10485833448317</v>
      </c>
      <c r="J100" s="1">
        <f ca="1">I100*('Updated Population'!J$92/'Updated Population'!I$92)</f>
        <v>189.74953670089664</v>
      </c>
      <c r="K100" s="1">
        <f ca="1">J100*('Updated Population'!K$92/'Updated Population'!J$92)</f>
        <v>189.98723865599518</v>
      </c>
    </row>
    <row r="101" spans="1:11" x14ac:dyDescent="0.25">
      <c r="A101" t="str">
        <f ca="1">OFFSET(Wellington_Reference,56,2)</f>
        <v>Local Ferry</v>
      </c>
      <c r="B101" s="4">
        <f ca="1">OFFSET(Wellington_Reference,56,6)</f>
        <v>0</v>
      </c>
      <c r="C101" s="4">
        <f ca="1">OFFSET(Wellington_Reference,57,6)</f>
        <v>0</v>
      </c>
      <c r="D101" s="4">
        <f ca="1">OFFSET(Wellington_Reference,58,6)</f>
        <v>0</v>
      </c>
      <c r="E101" s="4">
        <f ca="1">OFFSET(Wellington_Reference,59,6)</f>
        <v>0</v>
      </c>
      <c r="F101" s="4">
        <f ca="1">OFFSET(Wellington_Reference,60,6)</f>
        <v>0</v>
      </c>
      <c r="G101" s="4">
        <f ca="1">OFFSET(Wellington_Reference,61,6)</f>
        <v>0</v>
      </c>
      <c r="H101" s="4">
        <f ca="1">OFFSET(Wellington_Reference,62,6)</f>
        <v>0</v>
      </c>
      <c r="I101" s="1">
        <f ca="1">H101*('Updated Population'!I$92/'Updated Population'!H$92)</f>
        <v>0</v>
      </c>
      <c r="J101" s="1">
        <f ca="1">I101*('Updated Population'!J$92/'Updated Population'!I$92)</f>
        <v>0</v>
      </c>
      <c r="K101" s="1">
        <f ca="1">J101*('Updated Population'!K$92/'Updated Population'!J$92)</f>
        <v>0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OFFSET(Wellington_Reference,64,6)</f>
        <v>0</v>
      </c>
      <c r="D102" s="4">
        <f ca="1">OFFSET(Wellington_Reference,65,6)</f>
        <v>0</v>
      </c>
      <c r="E102" s="4">
        <f ca="1">OFFSET(Wellington_Reference,66,6)</f>
        <v>0</v>
      </c>
      <c r="F102" s="4">
        <f ca="1">OFFSET(Wellington_Reference,67,6)</f>
        <v>0</v>
      </c>
      <c r="G102" s="4">
        <f ca="1">OFFSET(Wellington_Reference,68,6)</f>
        <v>0</v>
      </c>
      <c r="H102" s="4">
        <f ca="1">OFFSET(Wellington_Reference,69,6)</f>
        <v>0</v>
      </c>
      <c r="I102" s="1">
        <f ca="1">H102*('Updated Population'!I$92/'Updated Population'!H$92)</f>
        <v>0</v>
      </c>
      <c r="J102" s="1">
        <f ca="1">I102*('Updated Population'!J$92/'Updated Population'!I$92)</f>
        <v>0</v>
      </c>
      <c r="K102" s="1">
        <f ca="1">J102*('Updated Population'!K$92/'Updated Population'!J$92)</f>
        <v>0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OFFSET(Nelson_Reference,1,6)</f>
        <v>29.218006952</v>
      </c>
      <c r="D104" s="4">
        <f ca="1">OFFSET(Nelson_Reference,2,6)</f>
        <v>29.915459591000001</v>
      </c>
      <c r="E104" s="4">
        <f ca="1">OFFSET(Nelson_Reference,3,6)</f>
        <v>30.710865215999998</v>
      </c>
      <c r="F104" s="4">
        <f ca="1">OFFSET(Nelson_Reference,4,6)</f>
        <v>30.793533067999999</v>
      </c>
      <c r="G104" s="4">
        <f ca="1">OFFSET(Nelson_Reference,5,6)</f>
        <v>30.261559836</v>
      </c>
      <c r="H104" s="4">
        <f ca="1">OFFSET(Nelson_Reference,6,6)</f>
        <v>29.572727163</v>
      </c>
      <c r="I104" s="1">
        <f ca="1">H104*('Updated Population'!I$103/'Updated Population'!H$103)</f>
        <v>29.527706053522476</v>
      </c>
      <c r="J104" s="1">
        <f ca="1">I104*('Updated Population'!J$103/'Updated Population'!I$103)</f>
        <v>29.390292306895912</v>
      </c>
      <c r="K104" s="1">
        <f ca="1">J104*('Updated Population'!K$103/'Updated Population'!J$103)</f>
        <v>29.192029994657272</v>
      </c>
    </row>
    <row r="105" spans="1:11" x14ac:dyDescent="0.25">
      <c r="A105" t="str">
        <f ca="1">OFFSET(Nelson_Reference,7,2)</f>
        <v>Cyclist</v>
      </c>
      <c r="B105" s="4">
        <f ca="1">OFFSET(Nelson_Reference,7,6)</f>
        <v>10.809874027999999</v>
      </c>
      <c r="C105" s="4">
        <f ca="1">OFFSET(Nelson_Reference,8,6)</f>
        <v>10.925292730000001</v>
      </c>
      <c r="D105" s="4">
        <f ca="1">OFFSET(Nelson_Reference,9,6)</f>
        <v>11.049815563999999</v>
      </c>
      <c r="E105" s="4">
        <f ca="1">OFFSET(Nelson_Reference,10,6)</f>
        <v>11.204092779</v>
      </c>
      <c r="F105" s="4">
        <f ca="1">OFFSET(Nelson_Reference,11,6)</f>
        <v>11.484619552</v>
      </c>
      <c r="G105" s="4">
        <f ca="1">OFFSET(Nelson_Reference,12,6)</f>
        <v>11.990194689000001</v>
      </c>
      <c r="H105" s="4">
        <f ca="1">OFFSET(Nelson_Reference,13,6)</f>
        <v>12.536337862</v>
      </c>
      <c r="I105" s="1">
        <f ca="1">H105*('Updated Population'!I$103/'Updated Population'!H$103)</f>
        <v>12.517252715194923</v>
      </c>
      <c r="J105" s="1">
        <f ca="1">I105*('Updated Population'!J$103/'Updated Population'!I$103)</f>
        <v>12.459000896040781</v>
      </c>
      <c r="K105" s="1">
        <f ca="1">J105*('Updated Population'!K$103/'Updated Population'!J$103)</f>
        <v>12.374954425864887</v>
      </c>
    </row>
    <row r="106" spans="1:11" x14ac:dyDescent="0.25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OFFSET(Nelson_Reference,15,6)</f>
        <v>1028.2362791999999</v>
      </c>
      <c r="D106" s="4">
        <f ca="1">OFFSET(Nelson_Reference,16,6)</f>
        <v>1024.2941461</v>
      </c>
      <c r="E106" s="4">
        <f ca="1">OFFSET(Nelson_Reference,17,6)</f>
        <v>1019.5480332</v>
      </c>
      <c r="F106" s="4">
        <f ca="1">OFFSET(Nelson_Reference,18,6)</f>
        <v>1012.0784126</v>
      </c>
      <c r="G106" s="4">
        <f ca="1">OFFSET(Nelson_Reference,19,6)</f>
        <v>995.60537398999998</v>
      </c>
      <c r="H106" s="4">
        <f ca="1">OFFSET(Nelson_Reference,20,6)</f>
        <v>976.73826785999995</v>
      </c>
      <c r="I106" s="1">
        <f ca="1">H106*('Updated Population'!I$103/'Updated Population'!H$103)</f>
        <v>975.25129507437089</v>
      </c>
      <c r="J106" s="1">
        <f ca="1">I106*('Updated Population'!J$103/'Updated Population'!I$103)</f>
        <v>970.71274629189304</v>
      </c>
      <c r="K106" s="1">
        <f ca="1">J106*('Updated Population'!K$103/'Updated Population'!J$103)</f>
        <v>964.16447002469181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OFFSET(Nelson_Reference,22,6)</f>
        <v>518.67977814999995</v>
      </c>
      <c r="D107" s="4">
        <f ca="1">OFFSET(Nelson_Reference,23,6)</f>
        <v>505.20694666000003</v>
      </c>
      <c r="E107" s="4">
        <f ca="1">OFFSET(Nelson_Reference,24,6)</f>
        <v>496.16170237</v>
      </c>
      <c r="F107" s="4">
        <f ca="1">OFFSET(Nelson_Reference,25,6)</f>
        <v>482.51162153000001</v>
      </c>
      <c r="G107" s="4">
        <f ca="1">OFFSET(Nelson_Reference,26,6)</f>
        <v>462.05360316000002</v>
      </c>
      <c r="H107" s="4">
        <f ca="1">OFFSET(Nelson_Reference,27,6)</f>
        <v>441.17056710999998</v>
      </c>
      <c r="I107" s="1">
        <f ca="1">H107*('Updated Population'!I$103/'Updated Population'!H$103)</f>
        <v>440.4989351603781</v>
      </c>
      <c r="J107" s="1">
        <f ca="1">I107*('Updated Population'!J$103/'Updated Population'!I$103)</f>
        <v>438.44897540543877</v>
      </c>
      <c r="K107" s="1">
        <f ca="1">J107*('Updated Population'!K$103/'Updated Population'!J$103)</f>
        <v>435.49126723585556</v>
      </c>
    </row>
    <row r="108" spans="1:11" x14ac:dyDescent="0.25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OFFSET(Nelson_Reference,29,6)</f>
        <v>2.8926528506000002</v>
      </c>
      <c r="D108" s="4">
        <f ca="1">OFFSET(Nelson_Reference,30,6)</f>
        <v>3.1149751873999998</v>
      </c>
      <c r="E108" s="4">
        <f ca="1">OFFSET(Nelson_Reference,31,6)</f>
        <v>3.2149763494000001</v>
      </c>
      <c r="F108" s="4">
        <f ca="1">OFFSET(Nelson_Reference,32,6)</f>
        <v>3.2924691902999998</v>
      </c>
      <c r="G108" s="4">
        <f ca="1">OFFSET(Nelson_Reference,33,6)</f>
        <v>3.2657928888000001</v>
      </c>
      <c r="H108" s="4">
        <f ca="1">OFFSET(Nelson_Reference,34,6)</f>
        <v>3.2338873887999999</v>
      </c>
      <c r="I108" s="1">
        <f ca="1">H108*('Updated Population'!I$103/'Updated Population'!H$103)</f>
        <v>3.2289641635131785</v>
      </c>
      <c r="J108" s="1">
        <f ca="1">I108*('Updated Population'!J$103/'Updated Population'!I$103)</f>
        <v>3.2139374607064317</v>
      </c>
      <c r="K108" s="1">
        <f ca="1">J108*('Updated Population'!K$103/'Updated Population'!J$103)</f>
        <v>3.192256741586788</v>
      </c>
    </row>
    <row r="109" spans="1:11" x14ac:dyDescent="0.25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OFFSET(Nelson_Reference,36,6)</f>
        <v>34.695855907000002</v>
      </c>
      <c r="D109" s="4">
        <f ca="1">OFFSET(Nelson_Reference,37,6)</f>
        <v>35.039109050999997</v>
      </c>
      <c r="E109" s="4">
        <f ca="1">OFFSET(Nelson_Reference,38,6)</f>
        <v>34.750453806000003</v>
      </c>
      <c r="F109" s="4">
        <f ca="1">OFFSET(Nelson_Reference,39,6)</f>
        <v>34.937319273</v>
      </c>
      <c r="G109" s="4">
        <f ca="1">OFFSET(Nelson_Reference,40,6)</f>
        <v>34.882346364999997</v>
      </c>
      <c r="H109" s="4">
        <f ca="1">OFFSET(Nelson_Reference,41,6)</f>
        <v>34.669041395999997</v>
      </c>
      <c r="I109" s="1">
        <f ca="1">H109*('Updated Population'!I$103/'Updated Population'!H$103)</f>
        <v>34.616261728451342</v>
      </c>
      <c r="J109" s="1">
        <f ca="1">I109*('Updated Population'!J$103/'Updated Population'!I$103)</f>
        <v>34.455167256375184</v>
      </c>
      <c r="K109" s="1">
        <f ca="1">J109*('Updated Population'!K$103/'Updated Population'!J$103)</f>
        <v>34.222738090394579</v>
      </c>
    </row>
    <row r="110" spans="1:11" x14ac:dyDescent="0.25">
      <c r="A110" t="str">
        <f ca="1">OFFSET(Nelson_Reference,42,2)</f>
        <v>Local Train</v>
      </c>
      <c r="B110" s="4">
        <f ca="1">OFFSET(Nelson_Reference,42,6)</f>
        <v>5.3733082988999996</v>
      </c>
      <c r="C110" s="4">
        <f ca="1">OFFSET(Nelson_Reference,43,6)</f>
        <v>4.7510430171999998</v>
      </c>
      <c r="D110" s="4">
        <f ca="1">OFFSET(Nelson_Reference,44,6)</f>
        <v>3.9433421000000002</v>
      </c>
      <c r="E110" s="4">
        <f ca="1">OFFSET(Nelson_Reference,45,6)</f>
        <v>2.9641180115000001</v>
      </c>
      <c r="F110" s="4">
        <f ca="1">OFFSET(Nelson_Reference,46,6)</f>
        <v>2.4229867529</v>
      </c>
      <c r="G110" s="4">
        <f ca="1">OFFSET(Nelson_Reference,47,6)</f>
        <v>2.1490975754999999</v>
      </c>
      <c r="H110" s="4">
        <f ca="1">OFFSET(Nelson_Reference,48,6)</f>
        <v>1.7972795133999999</v>
      </c>
      <c r="I110" s="1">
        <f ca="1">H110*('Updated Population'!I$103/'Updated Population'!H$103)</f>
        <v>1.7945433600081095</v>
      </c>
      <c r="J110" s="1">
        <f ca="1">I110*('Updated Population'!J$103/'Updated Population'!I$103)</f>
        <v>1.7861920534035411</v>
      </c>
      <c r="K110" s="1">
        <f ca="1">J110*('Updated Population'!K$103/'Updated Population'!J$103)</f>
        <v>1.7741426813553776</v>
      </c>
    </row>
    <row r="111" spans="1:11" x14ac:dyDescent="0.25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OFFSET(Nelson_Reference,50,6)</f>
        <v>17.986433473000002</v>
      </c>
      <c r="D111" s="4">
        <f ca="1">OFFSET(Nelson_Reference,51,6)</f>
        <v>16.641980147999998</v>
      </c>
      <c r="E111" s="4">
        <f ca="1">OFFSET(Nelson_Reference,52,6)</f>
        <v>16.114446565000001</v>
      </c>
      <c r="F111" s="4">
        <f ca="1">OFFSET(Nelson_Reference,53,6)</f>
        <v>14.947029371999999</v>
      </c>
      <c r="G111" s="4">
        <f ca="1">OFFSET(Nelson_Reference,54,6)</f>
        <v>14.660609039000001</v>
      </c>
      <c r="H111" s="4">
        <f ca="1">OFFSET(Nelson_Reference,55,6)</f>
        <v>14.403535255</v>
      </c>
      <c r="I111" s="1">
        <f ca="1">H111*('Updated Population'!I$103/'Updated Population'!H$103)</f>
        <v>14.38160751279332</v>
      </c>
      <c r="J111" s="1">
        <f ca="1">I111*('Updated Population'!J$103/'Updated Population'!I$103)</f>
        <v>14.314679503984795</v>
      </c>
      <c r="K111" s="1">
        <f ca="1">J111*('Updated Population'!K$103/'Updated Population'!J$103)</f>
        <v>14.218114916338649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OFFSET(Nelson_Reference,56,6)</f>
        <v>0</v>
      </c>
      <c r="C113" s="4">
        <f ca="1">OFFSET(Nelson_Reference,57,6)</f>
        <v>0</v>
      </c>
      <c r="D113" s="4">
        <f ca="1">OFFSET(Nelson_Reference,58,6)</f>
        <v>0</v>
      </c>
      <c r="E113" s="4">
        <f ca="1">OFFSET(Nelson_Reference,59,6)</f>
        <v>0</v>
      </c>
      <c r="F113" s="4">
        <f ca="1">OFFSET(Nelson_Reference,60,6)</f>
        <v>0</v>
      </c>
      <c r="G113" s="4">
        <f ca="1">OFFSET(Nelson_Reference,61,6)</f>
        <v>0</v>
      </c>
      <c r="H113" s="4">
        <f ca="1">OFFSET(Nelson_Reference,62,6)</f>
        <v>0</v>
      </c>
      <c r="I113" s="1">
        <f ca="1">H113*('Updated Population'!I$103/'Updated Population'!H$103)</f>
        <v>0</v>
      </c>
      <c r="J113" s="1">
        <f ca="1">I113*('Updated Population'!J$103/'Updated Population'!I$103)</f>
        <v>0</v>
      </c>
      <c r="K113" s="1">
        <f ca="1">J113*('Updated Population'!K$103/'Updated Population'!J$103)</f>
        <v>0</v>
      </c>
    </row>
    <row r="114" spans="1:11" x14ac:dyDescent="0.25">
      <c r="A114" t="str">
        <f ca="1">OFFSET(West_Coast_Reference,0,0)</f>
        <v>12 WEST COAST</v>
      </c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OFFSET(West_Coast_Reference,1,6)</f>
        <v>4.4036516173000004</v>
      </c>
      <c r="D115" s="4">
        <f ca="1">OFFSET(West_Coast_Reference,2,6)</f>
        <v>4.0114813512999996</v>
      </c>
      <c r="E115" s="4">
        <f ca="1">OFFSET(West_Coast_Reference,3,6)</f>
        <v>3.797880492</v>
      </c>
      <c r="F115" s="4">
        <f ca="1">OFFSET(West_Coast_Reference,4,6)</f>
        <v>3.5674526892</v>
      </c>
      <c r="G115" s="4">
        <f ca="1">OFFSET(West_Coast_Reference,5,6)</f>
        <v>3.3447319767999999</v>
      </c>
      <c r="H115" s="4">
        <f ca="1">OFFSET(West_Coast_Reference,6,6)</f>
        <v>3.1620964855000002</v>
      </c>
      <c r="I115" s="1">
        <f ca="1">H115*('Updated Population'!I$114/'Updated Population'!H$114)</f>
        <v>3.0807755568588839</v>
      </c>
      <c r="J115" s="1">
        <f ca="1">I115*('Updated Population'!J$114/'Updated Population'!I$114)</f>
        <v>2.9919915537291955</v>
      </c>
      <c r="K115" s="1">
        <f ca="1">J115*('Updated Population'!K$114/'Updated Population'!J$114)</f>
        <v>2.8995215125698146</v>
      </c>
    </row>
    <row r="116" spans="1:11" x14ac:dyDescent="0.25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OFFSET(West_Coast_Reference,8,6)</f>
        <v>1.9602378965</v>
      </c>
      <c r="D116" s="4">
        <f ca="1">OFFSET(West_Coast_Reference,9,6)</f>
        <v>1.8980732244</v>
      </c>
      <c r="E116" s="4">
        <f ca="1">OFFSET(West_Coast_Reference,10,6)</f>
        <v>1.8096679818000001</v>
      </c>
      <c r="F116" s="4">
        <f ca="1">OFFSET(West_Coast_Reference,11,6)</f>
        <v>1.7304941193000001</v>
      </c>
      <c r="G116" s="4">
        <f ca="1">OFFSET(West_Coast_Reference,12,6)</f>
        <v>1.7589072611000001</v>
      </c>
      <c r="H116" s="4">
        <f ca="1">OFFSET(West_Coast_Reference,13,6)</f>
        <v>1.7744572251999999</v>
      </c>
      <c r="I116" s="1">
        <f ca="1">H116*('Updated Population'!I$114/'Updated Population'!H$114)</f>
        <v>1.7288227829719081</v>
      </c>
      <c r="J116" s="1">
        <f ca="1">I116*('Updated Population'!J$114/'Updated Population'!I$114)</f>
        <v>1.6790003260803867</v>
      </c>
      <c r="K116" s="1">
        <f ca="1">J116*('Updated Population'!K$114/'Updated Population'!J$114)</f>
        <v>1.6271093944145685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OFFSET(West_Coast_Reference,15,6)</f>
        <v>226.76919437999999</v>
      </c>
      <c r="D117" s="4">
        <f ca="1">OFFSET(West_Coast_Reference,16,6)</f>
        <v>218.47035701999999</v>
      </c>
      <c r="E117" s="4">
        <f ca="1">OFFSET(West_Coast_Reference,17,6)</f>
        <v>214.79120030000001</v>
      </c>
      <c r="F117" s="4">
        <f ca="1">OFFSET(West_Coast_Reference,18,6)</f>
        <v>206.90045739999999</v>
      </c>
      <c r="G117" s="4">
        <f ca="1">OFFSET(West_Coast_Reference,19,6)</f>
        <v>202.86250271</v>
      </c>
      <c r="H117" s="4">
        <f ca="1">OFFSET(West_Coast_Reference,20,6)</f>
        <v>198.86366161999999</v>
      </c>
      <c r="I117" s="1">
        <f ca="1">H117*('Updated Population'!I$114/'Updated Population'!H$114)</f>
        <v>193.74940349724255</v>
      </c>
      <c r="J117" s="1">
        <f ca="1">I117*('Updated Population'!J$114/'Updated Population'!I$114)</f>
        <v>188.16579400378981</v>
      </c>
      <c r="K117" s="1">
        <f ca="1">J117*('Updated Population'!K$114/'Updated Population'!J$114)</f>
        <v>182.35037026215821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OFFSET(West_Coast_Reference,22,6)</f>
        <v>157.36112613</v>
      </c>
      <c r="D118" s="4">
        <f ca="1">OFFSET(West_Coast_Reference,23,6)</f>
        <v>147.81246711</v>
      </c>
      <c r="E118" s="4">
        <f ca="1">OFFSET(West_Coast_Reference,24,6)</f>
        <v>144.20808851000001</v>
      </c>
      <c r="F118" s="4">
        <f ca="1">OFFSET(West_Coast_Reference,25,6)</f>
        <v>134.6900292</v>
      </c>
      <c r="G118" s="4">
        <f ca="1">OFFSET(West_Coast_Reference,26,6)</f>
        <v>125.30941117</v>
      </c>
      <c r="H118" s="4">
        <f ca="1">OFFSET(West_Coast_Reference,27,6)</f>
        <v>116.32395984</v>
      </c>
      <c r="I118" s="1">
        <f ca="1">H118*('Updated Population'!I$114/'Updated Population'!H$114)</f>
        <v>113.33240898733683</v>
      </c>
      <c r="J118" s="1">
        <f ca="1">I118*('Updated Population'!J$114/'Updated Population'!I$114)</f>
        <v>110.06631421070662</v>
      </c>
      <c r="K118" s="1">
        <f ca="1">J118*('Updated Population'!K$114/'Updated Population'!J$114)</f>
        <v>106.66462125049762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OFFSET(West_Coast_Reference,29,6)</f>
        <v>1.9145078357</v>
      </c>
      <c r="D119" s="4">
        <f ca="1">OFFSET(West_Coast_Reference,30,6)</f>
        <v>2.009976531</v>
      </c>
      <c r="E119" s="4">
        <f ca="1">OFFSET(West_Coast_Reference,31,6)</f>
        <v>2.1367417183000001</v>
      </c>
      <c r="F119" s="4">
        <f ca="1">OFFSET(West_Coast_Reference,32,6)</f>
        <v>2.0424660099</v>
      </c>
      <c r="G119" s="4">
        <f ca="1">OFFSET(West_Coast_Reference,33,6)</f>
        <v>1.9979538278</v>
      </c>
      <c r="H119" s="4">
        <f ca="1">OFFSET(West_Coast_Reference,34,6)</f>
        <v>1.9184308257</v>
      </c>
      <c r="I119" s="1">
        <f ca="1">H119*('Updated Population'!I$114/'Updated Population'!H$114)</f>
        <v>1.8690937555014608</v>
      </c>
      <c r="J119" s="1">
        <f ca="1">I119*('Updated Population'!J$114/'Updated Population'!I$114)</f>
        <v>1.8152288689573342</v>
      </c>
      <c r="K119" s="1">
        <f ca="1">J119*('Updated Population'!K$114/'Updated Population'!J$114)</f>
        <v>1.759127678425239</v>
      </c>
    </row>
    <row r="120" spans="1:11" x14ac:dyDescent="0.25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OFFSET(West_Coast_Reference,36,6)</f>
        <v>0.33492242290000002</v>
      </c>
      <c r="D120" s="4">
        <f ca="1">OFFSET(West_Coast_Reference,37,6)</f>
        <v>0.33415798930000001</v>
      </c>
      <c r="E120" s="4">
        <f ca="1">OFFSET(West_Coast_Reference,38,6)</f>
        <v>0.3502175729</v>
      </c>
      <c r="F120" s="4">
        <f ca="1">OFFSET(West_Coast_Reference,39,6)</f>
        <v>0.37979788660000002</v>
      </c>
      <c r="G120" s="4">
        <f ca="1">OFFSET(West_Coast_Reference,40,6)</f>
        <v>0.4189990952</v>
      </c>
      <c r="H120" s="4">
        <f ca="1">OFFSET(West_Coast_Reference,41,6)</f>
        <v>0.44477333499999999</v>
      </c>
      <c r="I120" s="1">
        <f ca="1">H120*('Updated Population'!I$114/'Updated Population'!H$114)</f>
        <v>0.43333491722784684</v>
      </c>
      <c r="J120" s="1">
        <f ca="1">I120*('Updated Population'!J$114/'Updated Population'!I$114)</f>
        <v>0.42084676028901835</v>
      </c>
      <c r="K120" s="1">
        <f ca="1">J120*('Updated Population'!K$114/'Updated Population'!J$114)</f>
        <v>0.40784013358340038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OFFSET(West_Coast_Reference,43,6)</f>
        <v>5.7075676608999997</v>
      </c>
      <c r="D122" s="4">
        <f ca="1">OFFSET(West_Coast_Reference,44,6)</f>
        <v>5.1667210223</v>
      </c>
      <c r="E122" s="4">
        <f ca="1">OFFSET(West_Coast_Reference,45,6)</f>
        <v>4.8212451188000003</v>
      </c>
      <c r="F122" s="4">
        <f ca="1">OFFSET(West_Coast_Reference,46,6)</f>
        <v>4.4856052052999997</v>
      </c>
      <c r="G122" s="4">
        <f ca="1">OFFSET(West_Coast_Reference,47,6)</f>
        <v>4.1877024437000001</v>
      </c>
      <c r="H122" s="4">
        <f ca="1">OFFSET(West_Coast_Reference,48,6)</f>
        <v>3.9458011989999999</v>
      </c>
      <c r="I122" s="1">
        <f ca="1">H122*('Updated Population'!I$114/'Updated Population'!H$114)</f>
        <v>3.8443254157001201</v>
      </c>
      <c r="J122" s="1">
        <f ca="1">I122*('Updated Population'!J$114/'Updated Population'!I$114)</f>
        <v>3.7335368842281751</v>
      </c>
      <c r="K122" s="1">
        <f ca="1">J122*('Updated Population'!K$114/'Updated Population'!J$114)</f>
        <v>3.6181487545643929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OFFSET(West_Coast_Reference,50,6)</f>
        <v>0</v>
      </c>
      <c r="D124" s="4">
        <f ca="1">OFFSET(West_Coast_Reference,51,6)</f>
        <v>0</v>
      </c>
      <c r="E124" s="4">
        <f ca="1">OFFSET(West_Coast_Reference,52,6)</f>
        <v>0</v>
      </c>
      <c r="F124" s="4">
        <f ca="1">OFFSET(West_Coast_Reference,53,6)</f>
        <v>0</v>
      </c>
      <c r="G124" s="4">
        <f ca="1">OFFSET(West_Coast_Reference,54,6)</f>
        <v>0</v>
      </c>
      <c r="H124" s="4">
        <f ca="1">OFFSET(West_Coast_Reference,55,6)</f>
        <v>0</v>
      </c>
      <c r="I124" s="1">
        <f ca="1">H124*('Updated Population'!I$114/'Updated Population'!H$114)</f>
        <v>0</v>
      </c>
      <c r="J124" s="1">
        <f ca="1">I124*('Updated Population'!J$114/'Updated Population'!I$114)</f>
        <v>0</v>
      </c>
      <c r="K124" s="1">
        <f ca="1">J124*('Updated Population'!K$114/'Updated Population'!J$114)</f>
        <v>0</v>
      </c>
    </row>
    <row r="125" spans="1:11" x14ac:dyDescent="0.25">
      <c r="A125" t="str">
        <f ca="1">OFFSET(Canterbury_Reference,0,0)</f>
        <v>13 CANTERBURY</v>
      </c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OFFSET(Canterbury_Reference,1,6)</f>
        <v>118.90758648000001</v>
      </c>
      <c r="D126" s="4">
        <f ca="1">OFFSET(Canterbury_Reference,2,6)</f>
        <v>119.99817864000001</v>
      </c>
      <c r="E126" s="4">
        <f ca="1">OFFSET(Canterbury_Reference,3,6)</f>
        <v>120.58137821</v>
      </c>
      <c r="F126" s="4">
        <f ca="1">OFFSET(Canterbury_Reference,4,6)</f>
        <v>119.55818336999999</v>
      </c>
      <c r="G126" s="4">
        <f ca="1">OFFSET(Canterbury_Reference,5,6)</f>
        <v>117.95824456</v>
      </c>
      <c r="H126" s="4">
        <f ca="1">OFFSET(Canterbury_Reference,6,6)</f>
        <v>116.13972198</v>
      </c>
      <c r="I126" s="1">
        <f ca="1">H126*('Updated Population'!I$125/'Updated Population'!H$125)</f>
        <v>119.07797887863491</v>
      </c>
      <c r="J126" s="1">
        <f ca="1">I126*('Updated Population'!J$125/'Updated Population'!I$125)</f>
        <v>121.70193637528645</v>
      </c>
      <c r="K126" s="1">
        <f ca="1">J126*('Updated Population'!K$125/'Updated Population'!J$125)</f>
        <v>124.11640577568592</v>
      </c>
    </row>
    <row r="127" spans="1:11" x14ac:dyDescent="0.25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OFFSET(Canterbury_Reference,8,6)</f>
        <v>106.46325953</v>
      </c>
      <c r="D127" s="4">
        <f ca="1">OFFSET(Canterbury_Reference,9,6)</f>
        <v>108.69247494</v>
      </c>
      <c r="E127" s="4">
        <f ca="1">OFFSET(Canterbury_Reference,10,6)</f>
        <v>109.40569431999999</v>
      </c>
      <c r="F127" s="4">
        <f ca="1">OFFSET(Canterbury_Reference,11,6)</f>
        <v>111.35267871000001</v>
      </c>
      <c r="G127" s="4">
        <f ca="1">OFFSET(Canterbury_Reference,12,6)</f>
        <v>114.47612672</v>
      </c>
      <c r="H127" s="4">
        <f ca="1">OFFSET(Canterbury_Reference,13,6)</f>
        <v>117.86646498</v>
      </c>
      <c r="I127" s="1">
        <f ca="1">H127*('Updated Population'!I$125/'Updated Population'!H$125)</f>
        <v>120.84840731584298</v>
      </c>
      <c r="J127" s="1">
        <f ca="1">I127*('Updated Population'!J$125/'Updated Population'!I$125)</f>
        <v>123.51137730677637</v>
      </c>
      <c r="K127" s="1">
        <f ca="1">J127*('Updated Population'!K$125/'Updated Population'!J$125)</f>
        <v>125.96174457282228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OFFSET(Canterbury_Reference,15,6)</f>
        <v>4183.1327351</v>
      </c>
      <c r="D128" s="4">
        <f ca="1">OFFSET(Canterbury_Reference,16,6)</f>
        <v>4373.4417552000004</v>
      </c>
      <c r="E128" s="4">
        <f ca="1">OFFSET(Canterbury_Reference,17,6)</f>
        <v>4590.1699712999998</v>
      </c>
      <c r="F128" s="4">
        <f ca="1">OFFSET(Canterbury_Reference,18,6)</f>
        <v>4788.8704564999998</v>
      </c>
      <c r="G128" s="4">
        <f ca="1">OFFSET(Canterbury_Reference,19,6)</f>
        <v>4927.6012693000002</v>
      </c>
      <c r="H128" s="4">
        <f ca="1">OFFSET(Canterbury_Reference,20,6)</f>
        <v>5047.0858925000002</v>
      </c>
      <c r="I128" s="1">
        <f ca="1">H128*('Updated Population'!I$125/'Updated Population'!H$125)</f>
        <v>5174.7737730013396</v>
      </c>
      <c r="J128" s="1">
        <f ca="1">I128*('Updated Population'!J$125/'Updated Population'!I$125)</f>
        <v>5288.8031389933658</v>
      </c>
      <c r="K128" s="1">
        <f ca="1">J128*('Updated Population'!K$125/'Updated Population'!J$125)</f>
        <v>5393.7287771891215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OFFSET(Canterbury_Reference,22,6)</f>
        <v>2140.1258689000001</v>
      </c>
      <c r="D129" s="4">
        <f ca="1">OFFSET(Canterbury_Reference,23,6)</f>
        <v>2176.4917810000002</v>
      </c>
      <c r="E129" s="4">
        <f ca="1">OFFSET(Canterbury_Reference,24,6)</f>
        <v>2237.9710503000001</v>
      </c>
      <c r="F129" s="4">
        <f ca="1">OFFSET(Canterbury_Reference,25,6)</f>
        <v>2286.4231782000002</v>
      </c>
      <c r="G129" s="4">
        <f ca="1">OFFSET(Canterbury_Reference,26,6)</f>
        <v>2323.0310897999998</v>
      </c>
      <c r="H129" s="4">
        <f ca="1">OFFSET(Canterbury_Reference,27,6)</f>
        <v>2349.2401129</v>
      </c>
      <c r="I129" s="1">
        <f ca="1">H129*('Updated Population'!I$125/'Updated Population'!H$125)</f>
        <v>2408.6743086307852</v>
      </c>
      <c r="J129" s="1">
        <f ca="1">I129*('Updated Population'!J$125/'Updated Population'!I$125)</f>
        <v>2461.750948565742</v>
      </c>
      <c r="K129" s="1">
        <f ca="1">J129*('Updated Population'!K$125/'Updated Population'!J$125)</f>
        <v>2510.5901249481758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OFFSET(Canterbury_Reference,29,6)</f>
        <v>18.72563229</v>
      </c>
      <c r="D130" s="4">
        <f ca="1">OFFSET(Canterbury_Reference,30,6)</f>
        <v>19.857974495000001</v>
      </c>
      <c r="E130" s="4">
        <f ca="1">OFFSET(Canterbury_Reference,31,6)</f>
        <v>20.595019342000001</v>
      </c>
      <c r="F130" s="4">
        <f ca="1">OFFSET(Canterbury_Reference,32,6)</f>
        <v>21.343412953000001</v>
      </c>
      <c r="G130" s="4">
        <f ca="1">OFFSET(Canterbury_Reference,33,6)</f>
        <v>21.799716954000001</v>
      </c>
      <c r="H130" s="4">
        <f ca="1">OFFSET(Canterbury_Reference,34,6)</f>
        <v>22.132784133000001</v>
      </c>
      <c r="I130" s="1">
        <f ca="1">H130*('Updated Population'!I$125/'Updated Population'!H$125)</f>
        <v>22.69272869422414</v>
      </c>
      <c r="J130" s="1">
        <f ca="1">I130*('Updated Population'!J$125/'Updated Population'!I$125)</f>
        <v>23.192777117429049</v>
      </c>
      <c r="K130" s="1">
        <f ca="1">J130*('Updated Population'!K$125/'Updated Population'!J$125)</f>
        <v>23.652903326823438</v>
      </c>
    </row>
    <row r="131" spans="1:11" x14ac:dyDescent="0.25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OFFSET(Canterbury_Reference,36,6)</f>
        <v>12.746930331</v>
      </c>
      <c r="D131" s="4">
        <f ca="1">OFFSET(Canterbury_Reference,37,6)</f>
        <v>12.75056536</v>
      </c>
      <c r="E131" s="4">
        <f ca="1">OFFSET(Canterbury_Reference,38,6)</f>
        <v>12.782206131000001</v>
      </c>
      <c r="F131" s="4">
        <f ca="1">OFFSET(Canterbury_Reference,39,6)</f>
        <v>13.153218643000001</v>
      </c>
      <c r="G131" s="4">
        <f ca="1">OFFSET(Canterbury_Reference,40,6)</f>
        <v>13.865822413</v>
      </c>
      <c r="H131" s="4">
        <f ca="1">OFFSET(Canterbury_Reference,41,6)</f>
        <v>14.469892945</v>
      </c>
      <c r="I131" s="1">
        <f ca="1">H131*('Updated Population'!I$125/'Updated Population'!H$125)</f>
        <v>14.835971510053534</v>
      </c>
      <c r="J131" s="1">
        <f ca="1">I131*('Updated Population'!J$125/'Updated Population'!I$125)</f>
        <v>15.162891390878773</v>
      </c>
      <c r="K131" s="1">
        <f ca="1">J131*('Updated Population'!K$125/'Updated Population'!J$125)</f>
        <v>15.463711068652541</v>
      </c>
    </row>
    <row r="132" spans="1:11" x14ac:dyDescent="0.25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H132*('Updated Population'!I$125/'Updated Population'!H$125)</f>
        <v>0</v>
      </c>
      <c r="J132" s="1">
        <f ca="1">I132*('Updated Population'!J$125/'Updated Population'!I$125)</f>
        <v>0</v>
      </c>
      <c r="K132" s="1">
        <f ca="1">J132*('Updated Population'!K$125/'Updated Population'!J$125)</f>
        <v>0</v>
      </c>
    </row>
    <row r="133" spans="1:11" x14ac:dyDescent="0.25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175.21324804</v>
      </c>
      <c r="D133" s="4">
        <f ca="1">OFFSET(Canterbury_Reference,51,6)</f>
        <v>170.81122178000001</v>
      </c>
      <c r="E133" s="4">
        <f ca="1">OFFSET(Canterbury_Reference,52,6)</f>
        <v>168.83753199</v>
      </c>
      <c r="F133" s="4">
        <f ca="1">OFFSET(Canterbury_Reference,53,6)</f>
        <v>163.14112513000001</v>
      </c>
      <c r="G133" s="4">
        <f ca="1">OFFSET(Canterbury_Reference,54,6)</f>
        <v>157.35525977</v>
      </c>
      <c r="H133" s="4">
        <f ca="1">OFFSET(Canterbury_Reference,55,6)</f>
        <v>151.17563518</v>
      </c>
      <c r="I133" s="1">
        <f ca="1">H133*('Updated Population'!I$125/'Updated Population'!H$125)</f>
        <v>155.00027713195544</v>
      </c>
      <c r="J133" s="1">
        <f ca="1">I133*('Updated Population'!J$125/'Updated Population'!I$125)</f>
        <v>158.41580486423234</v>
      </c>
      <c r="K133" s="1">
        <f ca="1">J133*('Updated Population'!K$125/'Updated Population'!J$125)</f>
        <v>161.55864814821163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OFFSET(Canterbury_Reference,57,6)</f>
        <v>0</v>
      </c>
      <c r="D135" s="4">
        <f ca="1">OFFSET(Canterbury_Reference,58,6)</f>
        <v>0</v>
      </c>
      <c r="E135" s="4">
        <f ca="1">OFFSET(Canterbury_Reference,59,6)</f>
        <v>0</v>
      </c>
      <c r="F135" s="4">
        <f ca="1">OFFSET(Canterbury_Reference,60,6)</f>
        <v>0</v>
      </c>
      <c r="G135" s="4">
        <f ca="1">OFFSET(Canterbury_Reference,61,6)</f>
        <v>0</v>
      </c>
      <c r="H135" s="4">
        <f ca="1">OFFSET(Canterbury_Reference,62,6)</f>
        <v>0</v>
      </c>
      <c r="I135" s="1">
        <f ca="1">H135*('Updated Population'!I$125/'Updated Population'!H$125)</f>
        <v>0</v>
      </c>
      <c r="J135" s="1">
        <f ca="1">I135*('Updated Population'!J$125/'Updated Population'!I$125)</f>
        <v>0</v>
      </c>
      <c r="K135" s="1">
        <f ca="1">J135*('Updated Population'!K$125/'Updated Population'!J$125)</f>
        <v>0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OFFSET(Otago_Reference,0,6)</f>
        <v>45.829100335</v>
      </c>
      <c r="C137" s="4">
        <f ca="1">OFFSET(Otago_Reference,1,6)</f>
        <v>45.555986341999997</v>
      </c>
      <c r="D137" s="4">
        <f ca="1">OFFSET(Otago_Reference,2,6)</f>
        <v>44.845336727000003</v>
      </c>
      <c r="E137" s="4">
        <f ca="1">OFFSET(Otago_Reference,3,6)</f>
        <v>44.129299181</v>
      </c>
      <c r="F137" s="4">
        <f ca="1">OFFSET(Otago_Reference,4,6)</f>
        <v>43.299871373000002</v>
      </c>
      <c r="G137" s="4">
        <f ca="1">OFFSET(Otago_Reference,5,6)</f>
        <v>42.289980018000001</v>
      </c>
      <c r="H137" s="4">
        <f ca="1">OFFSET(Otago_Reference,6,6)</f>
        <v>41.397382225999998</v>
      </c>
      <c r="I137" s="1">
        <f ca="1">H137*('Updated Population'!I$136/'Updated Population'!H$136)</f>
        <v>41.810471898530942</v>
      </c>
      <c r="J137" s="1">
        <f ca="1">I137*('Updated Population'!J$136/'Updated Population'!I$136)</f>
        <v>42.0932656521166</v>
      </c>
      <c r="K137" s="1">
        <f ca="1">J137*('Updated Population'!K$136/'Updated Population'!J$136)</f>
        <v>42.286899140546637</v>
      </c>
    </row>
    <row r="138" spans="1:11" x14ac:dyDescent="0.25">
      <c r="A138" t="str">
        <f ca="1">OFFSET(Otago_Reference,7,2)</f>
        <v>Cyclist</v>
      </c>
      <c r="B138" s="4">
        <f ca="1">OFFSET(Otago_Reference,7,6)</f>
        <v>16.325352069000001</v>
      </c>
      <c r="C138" s="4">
        <f ca="1">OFFSET(Otago_Reference,8,6)</f>
        <v>17.73033062</v>
      </c>
      <c r="D138" s="4">
        <f ca="1">OFFSET(Otago_Reference,9,6)</f>
        <v>18.489044850999999</v>
      </c>
      <c r="E138" s="4">
        <f ca="1">OFFSET(Otago_Reference,10,6)</f>
        <v>18.720691483</v>
      </c>
      <c r="F138" s="4">
        <f ca="1">OFFSET(Otago_Reference,11,6)</f>
        <v>18.83940153</v>
      </c>
      <c r="G138" s="4">
        <f ca="1">OFFSET(Otago_Reference,12,6)</f>
        <v>19.006347539</v>
      </c>
      <c r="H138" s="4">
        <f ca="1">OFFSET(Otago_Reference,13,6)</f>
        <v>19.095822775999999</v>
      </c>
      <c r="I138" s="1">
        <f ca="1">H138*('Updated Population'!I$136/'Updated Population'!H$136)</f>
        <v>19.286373162354923</v>
      </c>
      <c r="J138" s="1">
        <f ca="1">I138*('Updated Population'!J$136/'Updated Population'!I$136)</f>
        <v>19.416820526662899</v>
      </c>
      <c r="K138" s="1">
        <f ca="1">J138*('Updated Population'!K$136/'Updated Population'!J$136)</f>
        <v>19.506139961364649</v>
      </c>
    </row>
    <row r="139" spans="1:11" x14ac:dyDescent="0.25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OFFSET(Otago_Reference,15,6)</f>
        <v>1255.9525262</v>
      </c>
      <c r="D139" s="4">
        <f ca="1">OFFSET(Otago_Reference,16,6)</f>
        <v>1299.6365043000001</v>
      </c>
      <c r="E139" s="4">
        <f ca="1">OFFSET(Otago_Reference,17,6)</f>
        <v>1354.9764213000001</v>
      </c>
      <c r="F139" s="4">
        <f ca="1">OFFSET(Otago_Reference,18,6)</f>
        <v>1407.6386468999999</v>
      </c>
      <c r="G139" s="4">
        <f ca="1">OFFSET(Otago_Reference,19,6)</f>
        <v>1451.5562854</v>
      </c>
      <c r="H139" s="4">
        <f ca="1">OFFSET(Otago_Reference,20,6)</f>
        <v>1495.7831358000001</v>
      </c>
      <c r="I139" s="1">
        <f ca="1">H139*('Updated Population'!I$136/'Updated Population'!H$136)</f>
        <v>1510.7090207840233</v>
      </c>
      <c r="J139" s="1">
        <f ca="1">I139*('Updated Population'!J$136/'Updated Population'!I$136)</f>
        <v>1520.9270129559375</v>
      </c>
      <c r="K139" s="1">
        <f ca="1">J139*('Updated Population'!K$136/'Updated Population'!J$136)</f>
        <v>1527.9234385979885</v>
      </c>
    </row>
    <row r="140" spans="1:11" x14ac:dyDescent="0.25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OFFSET(Otago_Reference,22,6)</f>
        <v>861.75878091000004</v>
      </c>
      <c r="D140" s="4">
        <f ca="1">OFFSET(Otago_Reference,23,6)</f>
        <v>861.43878566000001</v>
      </c>
      <c r="E140" s="4">
        <f ca="1">OFFSET(Otago_Reference,24,6)</f>
        <v>868.68491769000002</v>
      </c>
      <c r="F140" s="4">
        <f ca="1">OFFSET(Otago_Reference,25,6)</f>
        <v>864.24702822999996</v>
      </c>
      <c r="G140" s="4">
        <f ca="1">OFFSET(Otago_Reference,26,6)</f>
        <v>861.11575968</v>
      </c>
      <c r="H140" s="4">
        <f ca="1">OFFSET(Otago_Reference,27,6)</f>
        <v>857.34534384000006</v>
      </c>
      <c r="I140" s="1">
        <f ca="1">H140*('Updated Population'!I$136/'Updated Population'!H$136)</f>
        <v>865.90048641880685</v>
      </c>
      <c r="J140" s="1">
        <f ca="1">I140*('Updated Population'!J$136/'Updated Population'!I$136)</f>
        <v>871.7571830229565</v>
      </c>
      <c r="K140" s="1">
        <f ca="1">J140*('Updated Population'!K$136/'Updated Population'!J$136)</f>
        <v>875.76735856523328</v>
      </c>
    </row>
    <row r="141" spans="1:11" x14ac:dyDescent="0.25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OFFSET(Otago_Reference,29,6)</f>
        <v>7.1614835343000003</v>
      </c>
      <c r="D141" s="4">
        <f ca="1">OFFSET(Otago_Reference,30,6)</f>
        <v>7.1263790611999998</v>
      </c>
      <c r="E141" s="4">
        <f ca="1">OFFSET(Otago_Reference,31,6)</f>
        <v>7.0656179358999998</v>
      </c>
      <c r="F141" s="4">
        <f ca="1">OFFSET(Otago_Reference,32,6)</f>
        <v>7.0499637358999996</v>
      </c>
      <c r="G141" s="4">
        <f ca="1">OFFSET(Otago_Reference,33,6)</f>
        <v>6.6551843886000004</v>
      </c>
      <c r="H141" s="4">
        <f ca="1">OFFSET(Otago_Reference,34,6)</f>
        <v>6.2107039427000004</v>
      </c>
      <c r="I141" s="1">
        <f ca="1">H141*('Updated Population'!I$136/'Updated Population'!H$136)</f>
        <v>6.2726783362466829</v>
      </c>
      <c r="J141" s="1">
        <f ca="1">I141*('Updated Population'!J$136/'Updated Population'!I$136)</f>
        <v>6.3151048904374036</v>
      </c>
      <c r="K141" s="1">
        <f ca="1">J141*('Updated Population'!K$136/'Updated Population'!J$136)</f>
        <v>6.3441550430162756</v>
      </c>
    </row>
    <row r="142" spans="1:11" x14ac:dyDescent="0.25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OFFSET(Otago_Reference,36,6)</f>
        <v>20.029179084999999</v>
      </c>
      <c r="D142" s="4">
        <f ca="1">OFFSET(Otago_Reference,37,6)</f>
        <v>20.810711333</v>
      </c>
      <c r="E142" s="4">
        <f ca="1">OFFSET(Otago_Reference,38,6)</f>
        <v>21.738464022999999</v>
      </c>
      <c r="F142" s="4">
        <f ca="1">OFFSET(Otago_Reference,39,6)</f>
        <v>22.027541693</v>
      </c>
      <c r="G142" s="4">
        <f ca="1">OFFSET(Otago_Reference,40,6)</f>
        <v>21.545078026999999</v>
      </c>
      <c r="H142" s="4">
        <f ca="1">OFFSET(Otago_Reference,41,6)</f>
        <v>20.945182564</v>
      </c>
      <c r="I142" s="1">
        <f ca="1">H142*('Updated Population'!I$136/'Updated Population'!H$136)</f>
        <v>21.154187050303712</v>
      </c>
      <c r="J142" s="1">
        <f ca="1">I142*('Updated Population'!J$136/'Updated Population'!I$136)</f>
        <v>21.297267759235361</v>
      </c>
      <c r="K142" s="1">
        <f ca="1">J142*('Updated Population'!K$136/'Updated Population'!J$136)</f>
        <v>21.395237450737355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OFFSET(Otago_Reference,43,6)</f>
        <v>26.640789095999999</v>
      </c>
      <c r="D144" s="4">
        <f ca="1">OFFSET(Otago_Reference,44,6)</f>
        <v>26.226807336</v>
      </c>
      <c r="E144" s="4">
        <f ca="1">OFFSET(Otago_Reference,45,6)</f>
        <v>25.534304313</v>
      </c>
      <c r="F144" s="4">
        <f ca="1">OFFSET(Otago_Reference,46,6)</f>
        <v>24.690783295999999</v>
      </c>
      <c r="G144" s="4">
        <f ca="1">OFFSET(Otago_Reference,47,6)</f>
        <v>23.186410860999999</v>
      </c>
      <c r="H144" s="4">
        <f ca="1">OFFSET(Otago_Reference,48,6)</f>
        <v>21.680179902999999</v>
      </c>
      <c r="I144" s="1">
        <f ca="1">H144*('Updated Population'!I$136/'Updated Population'!H$136)</f>
        <v>21.896518664896817</v>
      </c>
      <c r="J144" s="1">
        <f ca="1">I144*('Updated Population'!J$136/'Updated Population'!I$136)</f>
        <v>22.044620286871627</v>
      </c>
      <c r="K144" s="1">
        <f ca="1">J144*('Updated Population'!K$136/'Updated Population'!J$136)</f>
        <v>22.146027879300796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OFFSET(Otago_Reference,49,6)</f>
        <v>0</v>
      </c>
      <c r="C146" s="4">
        <f ca="1">OFFSET(Otago_Reference,50,6)</f>
        <v>0</v>
      </c>
      <c r="D146" s="4">
        <f ca="1">OFFSET(Otago_Reference,51,6)</f>
        <v>0</v>
      </c>
      <c r="E146" s="4">
        <f ca="1">OFFSET(Otago_Reference,52,6)</f>
        <v>0</v>
      </c>
      <c r="F146" s="4">
        <f ca="1">OFFSET(Otago_Reference,53,6)</f>
        <v>0</v>
      </c>
      <c r="G146" s="4">
        <f ca="1">OFFSET(Otago_Reference,54,6)</f>
        <v>0</v>
      </c>
      <c r="H146" s="4">
        <f ca="1">OFFSET(Otago_Reference,55,6)</f>
        <v>0</v>
      </c>
      <c r="I146" s="1">
        <f ca="1">H146*('Updated Population'!I$136/'Updated Population'!H$136)</f>
        <v>0</v>
      </c>
      <c r="J146" s="1">
        <f ca="1">I146*('Updated Population'!J$136/'Updated Population'!I$136)</f>
        <v>0</v>
      </c>
      <c r="K146" s="1">
        <f ca="1">J146*('Updated Population'!K$136/'Updated Population'!J$136)</f>
        <v>0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OFFSET(Southland_Reference,1,6)</f>
        <v>8.9986548836000004</v>
      </c>
      <c r="D148" s="4">
        <f ca="1">OFFSET(Southland_Reference,2,6)</f>
        <v>9.0068575308999996</v>
      </c>
      <c r="E148" s="4">
        <f ca="1">OFFSET(Southland_Reference,3,6)</f>
        <v>9.0357188503000003</v>
      </c>
      <c r="F148" s="4">
        <f ca="1">OFFSET(Southland_Reference,4,6)</f>
        <v>8.8610601994000007</v>
      </c>
      <c r="G148" s="4">
        <f ca="1">OFFSET(Southland_Reference,5,6)</f>
        <v>8.6733196400000008</v>
      </c>
      <c r="H148" s="4">
        <f ca="1">OFFSET(Southland_Reference,6,6)</f>
        <v>8.4250576167000002</v>
      </c>
      <c r="I148" s="1">
        <f ca="1">H148*('Updated Population'!I$147/'Updated Population'!H$147)</f>
        <v>8.3121989168340278</v>
      </c>
      <c r="J148" s="1">
        <f ca="1">I148*('Updated Population'!J$147/'Updated Population'!I$147)</f>
        <v>8.1747473018976091</v>
      </c>
      <c r="K148" s="1">
        <f ca="1">J148*('Updated Population'!K$147/'Updated Population'!J$147)</f>
        <v>8.0222910527926761</v>
      </c>
    </row>
    <row r="149" spans="1:11" x14ac:dyDescent="0.25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OFFSET(Southland_Reference,8,6)</f>
        <v>8.2699694715999996</v>
      </c>
      <c r="D149" s="4">
        <f ca="1">OFFSET(Southland_Reference,9,6)</f>
        <v>8.3916132251000004</v>
      </c>
      <c r="E149" s="4">
        <f ca="1">OFFSET(Southland_Reference,10,6)</f>
        <v>7.6737036134999999</v>
      </c>
      <c r="F149" s="4">
        <f ca="1">OFFSET(Southland_Reference,11,6)</f>
        <v>7.1627488067999998</v>
      </c>
      <c r="G149" s="4">
        <f ca="1">OFFSET(Southland_Reference,12,6)</f>
        <v>6.7447243009999998</v>
      </c>
      <c r="H149" s="4">
        <f ca="1">OFFSET(Southland_Reference,13,6)</f>
        <v>6.3184077732999997</v>
      </c>
      <c r="I149" s="1">
        <f ca="1">H149*('Updated Population'!I$147/'Updated Population'!H$147)</f>
        <v>6.233768911590114</v>
      </c>
      <c r="J149" s="1">
        <f ca="1">I149*('Updated Population'!J$147/'Updated Population'!I$147)</f>
        <v>6.1306864886823549</v>
      </c>
      <c r="K149" s="1">
        <f ca="1">J149*('Updated Population'!K$147/'Updated Population'!J$147)</f>
        <v>6.0163512765974705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OFFSET(Southland_Reference,15,6)</f>
        <v>708.43675368000004</v>
      </c>
      <c r="D150" s="4">
        <f ca="1">OFFSET(Southland_Reference,16,6)</f>
        <v>733.46734273000004</v>
      </c>
      <c r="E150" s="4">
        <f ca="1">OFFSET(Southland_Reference,17,6)</f>
        <v>746.11241403999998</v>
      </c>
      <c r="F150" s="4">
        <f ca="1">OFFSET(Southland_Reference,18,6)</f>
        <v>757.43098916999998</v>
      </c>
      <c r="G150" s="4">
        <f ca="1">OFFSET(Southland_Reference,19,6)</f>
        <v>760.68044485999997</v>
      </c>
      <c r="H150" s="4">
        <f ca="1">OFFSET(Southland_Reference,20,6)</f>
        <v>762.19137111999999</v>
      </c>
      <c r="I150" s="1">
        <f ca="1">H150*('Updated Population'!I$147/'Updated Population'!H$147)</f>
        <v>751.98136056491978</v>
      </c>
      <c r="J150" s="1">
        <f ca="1">I150*('Updated Population'!J$147/'Updated Population'!I$147)</f>
        <v>739.54649784737762</v>
      </c>
      <c r="K150" s="1">
        <f ca="1">J150*('Updated Population'!K$147/'Updated Population'!J$147)</f>
        <v>725.75420789190366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OFFSET(Southland_Reference,22,6)</f>
        <v>391.52845958</v>
      </c>
      <c r="D151" s="4">
        <f ca="1">OFFSET(Southland_Reference,23,6)</f>
        <v>397.62404812</v>
      </c>
      <c r="E151" s="4">
        <f ca="1">OFFSET(Southland_Reference,24,6)</f>
        <v>397.90019488000002</v>
      </c>
      <c r="F151" s="4">
        <f ca="1">OFFSET(Southland_Reference,25,6)</f>
        <v>392.46624863</v>
      </c>
      <c r="G151" s="4">
        <f ca="1">OFFSET(Southland_Reference,26,6)</f>
        <v>382.03214718999999</v>
      </c>
      <c r="H151" s="4">
        <f ca="1">OFFSET(Southland_Reference,27,6)</f>
        <v>369.00148321</v>
      </c>
      <c r="I151" s="1">
        <f ca="1">H151*('Updated Population'!I$147/'Updated Population'!H$147)</f>
        <v>364.0584870266685</v>
      </c>
      <c r="J151" s="1">
        <f ca="1">I151*('Updated Population'!J$147/'Updated Population'!I$147)</f>
        <v>358.03836798551055</v>
      </c>
      <c r="K151" s="1">
        <f ca="1">J151*('Updated Population'!K$147/'Updated Population'!J$147)</f>
        <v>351.36107453497766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OFFSET(Southland_Reference,29,6)</f>
        <v>1.4451284210999999</v>
      </c>
      <c r="D152" s="4">
        <f ca="1">OFFSET(Southland_Reference,30,6)</f>
        <v>1.5841420984000001</v>
      </c>
      <c r="E152" s="4">
        <f ca="1">OFFSET(Southland_Reference,31,6)</f>
        <v>1.676464041</v>
      </c>
      <c r="F152" s="4">
        <f ca="1">OFFSET(Southland_Reference,32,6)</f>
        <v>1.7422705538000001</v>
      </c>
      <c r="G152" s="4">
        <f ca="1">OFFSET(Southland_Reference,33,6)</f>
        <v>1.7691115628</v>
      </c>
      <c r="H152" s="4">
        <f ca="1">OFFSET(Southland_Reference,34,6)</f>
        <v>1.7905152488</v>
      </c>
      <c r="I152" s="1">
        <f ca="1">H152*('Updated Population'!I$147/'Updated Population'!H$147)</f>
        <v>1.7665302231463813</v>
      </c>
      <c r="J152" s="1">
        <f ca="1">I152*('Updated Population'!J$147/'Updated Population'!I$147)</f>
        <v>1.7373186469515776</v>
      </c>
      <c r="K152" s="1">
        <f ca="1">J152*('Updated Population'!K$147/'Updated Population'!J$147)</f>
        <v>1.7049182467150088</v>
      </c>
    </row>
    <row r="153" spans="1:11" x14ac:dyDescent="0.25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OFFSET(Southland_Reference,36,6)</f>
        <v>24.485188045000001</v>
      </c>
      <c r="D153" s="4">
        <f ca="1">OFFSET(Southland_Reference,37,6)</f>
        <v>28.452920895999998</v>
      </c>
      <c r="E153" s="4">
        <f ca="1">OFFSET(Southland_Reference,38,6)</f>
        <v>30.162706071999999</v>
      </c>
      <c r="F153" s="4">
        <f ca="1">OFFSET(Southland_Reference,39,6)</f>
        <v>30.638000284</v>
      </c>
      <c r="G153" s="4">
        <f ca="1">OFFSET(Southland_Reference,40,6)</f>
        <v>30.272327342000001</v>
      </c>
      <c r="H153" s="4">
        <f ca="1">OFFSET(Southland_Reference,41,6)</f>
        <v>29.689960812999999</v>
      </c>
      <c r="I153" s="1">
        <f ca="1">H153*('Updated Population'!I$147/'Updated Population'!H$147)</f>
        <v>29.292245980785083</v>
      </c>
      <c r="J153" s="1">
        <f ca="1">I153*('Updated Population'!J$147/'Updated Population'!I$147)</f>
        <v>28.807865547224999</v>
      </c>
      <c r="K153" s="1">
        <f ca="1">J153*('Updated Population'!K$147/'Updated Population'!J$147)</f>
        <v>28.270608679966287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OFFSET(Southland_Reference,43,6)</f>
        <v>30.207858561999998</v>
      </c>
      <c r="D155" s="4">
        <f ca="1">OFFSET(Southland_Reference,44,6)</f>
        <v>30.548444348</v>
      </c>
      <c r="E155" s="4">
        <f ca="1">OFFSET(Southland_Reference,45,6)</f>
        <v>30.900492232000001</v>
      </c>
      <c r="F155" s="4">
        <f ca="1">OFFSET(Southland_Reference,46,6)</f>
        <v>29.823789112</v>
      </c>
      <c r="G155" s="4">
        <f ca="1">OFFSET(Southland_Reference,47,6)</f>
        <v>28.330878690999999</v>
      </c>
      <c r="H155" s="4">
        <f ca="1">OFFSET(Southland_Reference,48,6)</f>
        <v>26.670025538000001</v>
      </c>
      <c r="I155" s="1">
        <f ca="1">H155*('Updated Population'!I$147/'Updated Population'!H$147)</f>
        <v>26.312764550057949</v>
      </c>
      <c r="J155" s="1">
        <f ca="1">I155*('Updated Population'!J$147/'Updated Population'!I$147)</f>
        <v>25.877653213450913</v>
      </c>
      <c r="K155" s="1">
        <f ca="1">J155*('Updated Population'!K$147/'Updated Population'!J$147)</f>
        <v>25.395043806840249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OFFSET(Southland_Reference,50,6)</f>
        <v>0</v>
      </c>
      <c r="D157" s="4">
        <f ca="1">OFFSET(Southland_Reference,51,6)</f>
        <v>0</v>
      </c>
      <c r="E157" s="4">
        <f ca="1">OFFSET(Southland_Reference,52,6)</f>
        <v>0</v>
      </c>
      <c r="F157" s="4">
        <f ca="1">OFFSET(Southland_Reference,53,6)</f>
        <v>0</v>
      </c>
      <c r="G157" s="4">
        <f ca="1">OFFSET(Southland_Reference,54,6)</f>
        <v>0</v>
      </c>
      <c r="H157" s="4">
        <f ca="1">OFFSET(Southland_Reference,55,6)</f>
        <v>0</v>
      </c>
      <c r="I157" s="1">
        <f ca="1">H157*('Updated Population'!I$147/'Updated Population'!H$147)</f>
        <v>0</v>
      </c>
      <c r="J157" s="1">
        <f ca="1">I157*('Updated Population'!J$147/'Updated Population'!I$147)</f>
        <v>0</v>
      </c>
      <c r="K157" s="1">
        <f ca="1">J157*('Updated Population'!K$147/'Updated Population'!J$147)</f>
        <v>0</v>
      </c>
    </row>
    <row r="158" spans="1:11" x14ac:dyDescent="0.25">
      <c r="A158" t="s">
        <v>12</v>
      </c>
      <c r="I158" s="1"/>
      <c r="J158" s="1"/>
      <c r="K158" s="1"/>
    </row>
    <row r="159" spans="1:11" x14ac:dyDescent="0.25">
      <c r="A159" t="str">
        <f t="shared" ref="A159:A168" ca="1" si="0">A5</f>
        <v>Pedestrian</v>
      </c>
      <c r="B159" s="4">
        <f ca="1">B5+B16+B27+B38+B49+B60+B71+B82+B93+B104+B115+B126+B137+B148</f>
        <v>807.42091028530001</v>
      </c>
      <c r="C159" s="4">
        <f t="shared" ref="C159:K168" ca="1" si="1">C5+C16+C27+C38+C49+C60+C71+C82+C93+C104+C115+C126+C137+C148</f>
        <v>848.55089885389998</v>
      </c>
      <c r="D159" s="4">
        <f t="shared" ca="1" si="1"/>
        <v>869.92227931619982</v>
      </c>
      <c r="E159" s="4">
        <f t="shared" ca="1" si="1"/>
        <v>883.31809308379991</v>
      </c>
      <c r="F159" s="4">
        <f t="shared" ca="1" si="1"/>
        <v>888.64277475609993</v>
      </c>
      <c r="G159" s="4">
        <f t="shared" ca="1" si="1"/>
        <v>892.02663540210006</v>
      </c>
      <c r="H159" s="4">
        <f t="shared" ca="1" si="1"/>
        <v>892.00838088209991</v>
      </c>
      <c r="I159" s="1">
        <f t="shared" ca="1" si="1"/>
        <v>913.52429924212879</v>
      </c>
      <c r="J159" s="1">
        <f t="shared" ca="1" si="1"/>
        <v>932.87453786856224</v>
      </c>
      <c r="K159" s="1">
        <f t="shared" ca="1" si="1"/>
        <v>950.8843438784412</v>
      </c>
    </row>
    <row r="160" spans="1:11" x14ac:dyDescent="0.25">
      <c r="A160" t="str">
        <f t="shared" ca="1" si="0"/>
        <v>Cyclist</v>
      </c>
      <c r="B160" s="4">
        <f t="shared" ref="B160:H168" ca="1" si="2">B6+B17+B28+B39+B50+B61+B72+B83+B94+B105+B116+B127+B138+B149</f>
        <v>312.57850166600002</v>
      </c>
      <c r="C160" s="4">
        <f t="shared" ca="1" si="2"/>
        <v>337.49401732640001</v>
      </c>
      <c r="D160" s="4">
        <f t="shared" ca="1" si="2"/>
        <v>348.73828731900005</v>
      </c>
      <c r="E160" s="4">
        <f t="shared" ca="1" si="2"/>
        <v>355.04380657979999</v>
      </c>
      <c r="F160" s="4">
        <f t="shared" ca="1" si="2"/>
        <v>366.05286132009996</v>
      </c>
      <c r="G160" s="4">
        <f t="shared" ca="1" si="2"/>
        <v>382.75155336770001</v>
      </c>
      <c r="H160" s="4">
        <f t="shared" ca="1" si="2"/>
        <v>399.83326441560001</v>
      </c>
      <c r="I160" s="1">
        <f t="shared" ca="1" si="1"/>
        <v>407.78669141335018</v>
      </c>
      <c r="J160" s="1">
        <f t="shared" ca="1" si="1"/>
        <v>414.68982148059217</v>
      </c>
      <c r="K160" s="1">
        <f t="shared" ca="1" si="1"/>
        <v>420.92015809761745</v>
      </c>
    </row>
    <row r="161" spans="1:11" x14ac:dyDescent="0.25">
      <c r="A161" t="str">
        <f t="shared" ca="1" si="0"/>
        <v>Light Vehicle Driver</v>
      </c>
      <c r="B161" s="4">
        <f t="shared" ca="1" si="2"/>
        <v>30373.708042980001</v>
      </c>
      <c r="C161" s="4">
        <f t="shared" ca="1" si="2"/>
        <v>32934.405610049995</v>
      </c>
      <c r="D161" s="4">
        <f t="shared" ca="1" si="2"/>
        <v>34424.527339640001</v>
      </c>
      <c r="E161" s="4">
        <f t="shared" ca="1" si="2"/>
        <v>36036.669187549996</v>
      </c>
      <c r="F161" s="4">
        <f t="shared" ca="1" si="2"/>
        <v>37518.853234690003</v>
      </c>
      <c r="G161" s="4">
        <f t="shared" ca="1" si="2"/>
        <v>38630.312779590007</v>
      </c>
      <c r="H161" s="4">
        <f t="shared" ca="1" si="2"/>
        <v>39573.941432379994</v>
      </c>
      <c r="I161" s="1">
        <f t="shared" ca="1" si="1"/>
        <v>40449.160339391434</v>
      </c>
      <c r="J161" s="1">
        <f t="shared" ca="1" si="1"/>
        <v>41225.309588442986</v>
      </c>
      <c r="K161" s="1">
        <f t="shared" ca="1" si="1"/>
        <v>41939.382123542331</v>
      </c>
    </row>
    <row r="162" spans="1:11" x14ac:dyDescent="0.25">
      <c r="A162" t="str">
        <f t="shared" ca="1" si="0"/>
        <v>Light Vehicle Passenger</v>
      </c>
      <c r="B162" s="4">
        <f t="shared" ca="1" si="2"/>
        <v>17104.323927279998</v>
      </c>
      <c r="C162" s="4">
        <f t="shared" ca="1" si="2"/>
        <v>17806.12046573</v>
      </c>
      <c r="D162" s="4">
        <f t="shared" ca="1" si="2"/>
        <v>18187.833683830002</v>
      </c>
      <c r="E162" s="4">
        <f t="shared" ca="1" si="2"/>
        <v>18629.260841020001</v>
      </c>
      <c r="F162" s="4">
        <f t="shared" ca="1" si="2"/>
        <v>18949.612470669996</v>
      </c>
      <c r="G162" s="4">
        <f t="shared" ca="1" si="2"/>
        <v>19149.375211439998</v>
      </c>
      <c r="H162" s="4">
        <f t="shared" ca="1" si="2"/>
        <v>19253.200708199998</v>
      </c>
      <c r="I162" s="1">
        <f t="shared" ca="1" si="1"/>
        <v>19670.916235903849</v>
      </c>
      <c r="J162" s="1">
        <f t="shared" ca="1" si="1"/>
        <v>20040.050255973518</v>
      </c>
      <c r="K162" s="1">
        <f t="shared" ca="1" si="1"/>
        <v>20378.639617561959</v>
      </c>
    </row>
    <row r="163" spans="1:11" x14ac:dyDescent="0.25">
      <c r="A163" t="str">
        <f t="shared" ca="1" si="0"/>
        <v>Taxi/Vehicle Share</v>
      </c>
      <c r="B163" s="4">
        <f t="shared" ca="1" si="2"/>
        <v>102.6492410403</v>
      </c>
      <c r="C163" s="4">
        <f t="shared" ca="1" si="2"/>
        <v>116.47437759350002</v>
      </c>
      <c r="D163" s="4">
        <f t="shared" ca="1" si="2"/>
        <v>128.49867639960004</v>
      </c>
      <c r="E163" s="4">
        <f t="shared" ca="1" si="2"/>
        <v>140.45158406510004</v>
      </c>
      <c r="F163" s="4">
        <f t="shared" ca="1" si="2"/>
        <v>151.12274427160003</v>
      </c>
      <c r="G163" s="4">
        <f t="shared" ca="1" si="2"/>
        <v>159.55069884159997</v>
      </c>
      <c r="H163" s="4">
        <f t="shared" ca="1" si="2"/>
        <v>167.50214069440003</v>
      </c>
      <c r="I163" s="1">
        <f t="shared" ca="1" si="1"/>
        <v>172.030233997582</v>
      </c>
      <c r="J163" s="1">
        <f t="shared" ca="1" si="1"/>
        <v>176.17891625679198</v>
      </c>
      <c r="K163" s="1">
        <f t="shared" ca="1" si="1"/>
        <v>180.10090045325686</v>
      </c>
    </row>
    <row r="164" spans="1:11" x14ac:dyDescent="0.25">
      <c r="A164" t="str">
        <f t="shared" ca="1" si="0"/>
        <v>Motorcyclist</v>
      </c>
      <c r="B164" s="4">
        <f t="shared" ca="1" si="2"/>
        <v>249.6655534436</v>
      </c>
      <c r="C164" s="4">
        <f t="shared" ca="1" si="2"/>
        <v>268.0787866105</v>
      </c>
      <c r="D164" s="4">
        <f t="shared" ca="1" si="2"/>
        <v>277.57305643370006</v>
      </c>
      <c r="E164" s="4">
        <f t="shared" ca="1" si="2"/>
        <v>283.6964684175</v>
      </c>
      <c r="F164" s="4">
        <f t="shared" ca="1" si="2"/>
        <v>287.00117790819996</v>
      </c>
      <c r="G164" s="4">
        <f t="shared" ca="1" si="2"/>
        <v>285.16492218129997</v>
      </c>
      <c r="H164" s="4">
        <f t="shared" ca="1" si="2"/>
        <v>281.73618718499995</v>
      </c>
      <c r="I164" s="1">
        <f t="shared" ca="1" si="1"/>
        <v>286.0017170449072</v>
      </c>
      <c r="J164" s="1">
        <f t="shared" ca="1" si="1"/>
        <v>289.50332070734589</v>
      </c>
      <c r="K164" s="1">
        <f t="shared" ca="1" si="1"/>
        <v>292.51490979433134</v>
      </c>
    </row>
    <row r="165" spans="1:11" x14ac:dyDescent="0.25">
      <c r="A165" t="str">
        <f t="shared" ca="1" si="0"/>
        <v>Local Train</v>
      </c>
      <c r="B165" s="4">
        <f t="shared" ca="1" si="2"/>
        <v>386.1221812508</v>
      </c>
      <c r="C165" s="4">
        <f t="shared" ca="1" si="2"/>
        <v>415.62629279099997</v>
      </c>
      <c r="D165" s="4">
        <f t="shared" ca="1" si="2"/>
        <v>434.64035098859995</v>
      </c>
      <c r="E165" s="4">
        <f t="shared" ca="1" si="2"/>
        <v>447.51104004929994</v>
      </c>
      <c r="F165" s="4">
        <f t="shared" ca="1" si="2"/>
        <v>453.37742202250001</v>
      </c>
      <c r="G165" s="4">
        <f t="shared" ca="1" si="2"/>
        <v>457.85951043099999</v>
      </c>
      <c r="H165" s="4">
        <f t="shared" ca="1" si="2"/>
        <v>459.2489793044</v>
      </c>
      <c r="I165" s="1">
        <f t="shared" ca="1" si="1"/>
        <v>468.5766766418692</v>
      </c>
      <c r="J165" s="1">
        <f t="shared" ca="1" si="1"/>
        <v>476.71319017226705</v>
      </c>
      <c r="K165" s="1">
        <f t="shared" ca="1" si="1"/>
        <v>484.09322655173486</v>
      </c>
    </row>
    <row r="166" spans="1:11" x14ac:dyDescent="0.25">
      <c r="A166" t="str">
        <f t="shared" ca="1" si="0"/>
        <v>Local Bus</v>
      </c>
      <c r="B166" s="4">
        <f t="shared" ca="1" si="2"/>
        <v>1134.4665534744004</v>
      </c>
      <c r="C166" s="4">
        <f t="shared" ca="1" si="2"/>
        <v>1161.1617483098</v>
      </c>
      <c r="D166" s="4">
        <f t="shared" ca="1" si="2"/>
        <v>1164.8724779450999</v>
      </c>
      <c r="E166" s="4">
        <f t="shared" ca="1" si="2"/>
        <v>1164.4859414063999</v>
      </c>
      <c r="F166" s="4">
        <f t="shared" ca="1" si="2"/>
        <v>1143.0855375690999</v>
      </c>
      <c r="G166" s="4">
        <f t="shared" ca="1" si="2"/>
        <v>1122.4697085524999</v>
      </c>
      <c r="H166" s="4">
        <f t="shared" ca="1" si="2"/>
        <v>1095.5940076886</v>
      </c>
      <c r="I166" s="1">
        <f t="shared" ca="1" si="1"/>
        <v>1123.2240927554299</v>
      </c>
      <c r="J166" s="1">
        <f t="shared" ca="1" si="1"/>
        <v>1148.25880296172</v>
      </c>
      <c r="K166" s="1">
        <f t="shared" ca="1" si="1"/>
        <v>1171.706132453133</v>
      </c>
    </row>
    <row r="167" spans="1:11" x14ac:dyDescent="0.25">
      <c r="A167" t="str">
        <f t="shared" ca="1" si="0"/>
        <v>Local Ferry</v>
      </c>
      <c r="B167" s="4">
        <f t="shared" ca="1" si="2"/>
        <v>0</v>
      </c>
      <c r="C167" s="4">
        <f t="shared" ca="1" si="2"/>
        <v>0</v>
      </c>
      <c r="D167" s="4">
        <f t="shared" ca="1" si="2"/>
        <v>0</v>
      </c>
      <c r="E167" s="4">
        <f t="shared" ca="1" si="2"/>
        <v>0</v>
      </c>
      <c r="F167" s="4">
        <f t="shared" ca="1" si="2"/>
        <v>0</v>
      </c>
      <c r="G167" s="4">
        <f t="shared" ca="1" si="2"/>
        <v>0</v>
      </c>
      <c r="H167" s="4">
        <f t="shared" ca="1" si="2"/>
        <v>0</v>
      </c>
      <c r="I167" s="1">
        <f t="shared" ca="1" si="1"/>
        <v>0</v>
      </c>
      <c r="J167" s="1">
        <f t="shared" ca="1" si="1"/>
        <v>0</v>
      </c>
      <c r="K167" s="1">
        <f t="shared" ca="1" si="1"/>
        <v>0</v>
      </c>
    </row>
    <row r="168" spans="1:11" x14ac:dyDescent="0.25">
      <c r="A168" t="str">
        <f t="shared" ca="1" si="0"/>
        <v>Other Household Travel</v>
      </c>
      <c r="B168" s="4">
        <f t="shared" ca="1" si="2"/>
        <v>1.8241938706</v>
      </c>
      <c r="C168" s="4">
        <f t="shared" ca="1" si="2"/>
        <v>1.8142999209999999</v>
      </c>
      <c r="D168" s="4">
        <f t="shared" ca="1" si="2"/>
        <v>1.7346656834</v>
      </c>
      <c r="E168" s="4">
        <f t="shared" ca="1" si="2"/>
        <v>2.0092229745000001</v>
      </c>
      <c r="F168" s="4">
        <f t="shared" ca="1" si="2"/>
        <v>2.1640008936999999</v>
      </c>
      <c r="G168" s="4">
        <f t="shared" ca="1" si="2"/>
        <v>2.1748583427999999</v>
      </c>
      <c r="H168" s="4">
        <f t="shared" ca="1" si="2"/>
        <v>2.1361527591999998</v>
      </c>
      <c r="I168" s="1">
        <f t="shared" ca="1" si="1"/>
        <v>2.2279547284470915</v>
      </c>
      <c r="J168" s="1">
        <f t="shared" ca="1" si="1"/>
        <v>2.3163051782914907</v>
      </c>
      <c r="K168" s="1">
        <f t="shared" ca="1" si="1"/>
        <v>2.4029839114648612</v>
      </c>
    </row>
    <row r="170" spans="1:11" x14ac:dyDescent="0.25">
      <c r="B170" s="4"/>
      <c r="C170" s="4"/>
      <c r="D170" s="4"/>
      <c r="E170" s="4"/>
      <c r="F170" s="4"/>
      <c r="G170" s="4"/>
      <c r="H170" s="4"/>
    </row>
    <row r="171" spans="1:11" x14ac:dyDescent="0.25">
      <c r="B171" s="4"/>
      <c r="C171" s="4"/>
      <c r="D171" s="4"/>
      <c r="E171" s="4"/>
      <c r="F171" s="4"/>
      <c r="G171" s="4"/>
      <c r="H171" s="4"/>
    </row>
    <row r="172" spans="1:11" x14ac:dyDescent="0.25">
      <c r="B172" s="4"/>
      <c r="C172" s="4"/>
      <c r="D172" s="4"/>
      <c r="E172" s="4"/>
      <c r="F172" s="4"/>
      <c r="G172" s="4"/>
      <c r="H172" s="4"/>
    </row>
    <row r="173" spans="1:11" x14ac:dyDescent="0.25">
      <c r="B173" s="4"/>
      <c r="C173" s="4"/>
      <c r="D173" s="4"/>
      <c r="E173" s="4"/>
      <c r="F173" s="4"/>
      <c r="G173" s="4"/>
      <c r="H173" s="4"/>
    </row>
    <row r="174" spans="1:11" x14ac:dyDescent="0.25">
      <c r="B174" s="4"/>
      <c r="C174" s="4"/>
      <c r="D174" s="4"/>
      <c r="E174" s="4"/>
      <c r="F174" s="4"/>
      <c r="G174" s="4"/>
      <c r="H174" s="4"/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1" spans="2:8" x14ac:dyDescent="0.25">
      <c r="B181" s="4"/>
      <c r="C181" s="4"/>
      <c r="D181" s="4"/>
      <c r="E181" s="4"/>
      <c r="F181" s="4"/>
      <c r="G181" s="4"/>
      <c r="H181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202"/>
  <sheetViews>
    <sheetView topLeftCell="A38" workbookViewId="0">
      <selection activeCell="G24" sqref="G24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59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B159*'Total Duration Tables Sup #1'!B5*(1+'Other Assumptions'!D$44)*(1+'Active Mode Assumptions'!B11)</f>
        <v>5.0772161771000004</v>
      </c>
      <c r="C5" s="4">
        <f ca="1">C159*'Total Duration Tables Sup #1'!C5*(1+'Other Assumptions'!G$44)*(1+'Active Mode Assumptions'!C11)</f>
        <v>5.3349820109090897</v>
      </c>
      <c r="D5" s="4">
        <f ca="1">D159*'Total Duration Tables Sup #1'!D5*(1+'Other Assumptions'!H$44)*(1+'Active Mode Assumptions'!D11)</f>
        <v>5.7738683644079227</v>
      </c>
      <c r="E5" s="4">
        <f ca="1">E159*'Total Duration Tables Sup #1'!E5*(1+'Other Assumptions'!I$44)*(1+'Active Mode Assumptions'!E11)</f>
        <v>6.1287323457807457</v>
      </c>
      <c r="F5" s="4">
        <f ca="1">F159*'Total Duration Tables Sup #1'!F5*(1+'Other Assumptions'!J$44)*(1+'Active Mode Assumptions'!F11)</f>
        <v>6.4101752945505259</v>
      </c>
      <c r="G5" s="4">
        <f ca="1">G159*'Total Duration Tables Sup #1'!G5*(1+'Other Assumptions'!K$44)*(1+'Active Mode Assumptions'!G11)</f>
        <v>6.6519416823522777</v>
      </c>
      <c r="H5" s="4">
        <f ca="1">H159*'Total Duration Tables Sup #1'!H5*(1+'Other Assumptions'!L$44)*(1+'Active Mode Assumptions'!H11)</f>
        <v>6.8534910454608555</v>
      </c>
      <c r="I5" s="4">
        <f ca="1">I159*'Total Duration Tables Sup #1'!I5*(1+'Other Assumptions'!M$44)*(1+'Active Mode Assumptions'!I11)</f>
        <v>6.8805496189979234</v>
      </c>
      <c r="J5" s="4">
        <f ca="1">J159*'Total Duration Tables Sup #1'!J5*(1+'Other Assumptions'!N$44)*(1+'Active Mode Assumptions'!J11)</f>
        <v>6.8857965376246932</v>
      </c>
      <c r="K5" s="4">
        <f ca="1">K159*'Total Duration Tables Sup #1'!K5*(1+'Other Assumptions'!O$44)*(1+'Active Mode Assumptions'!K11)</f>
        <v>6.8763066795847259</v>
      </c>
    </row>
    <row r="6" spans="1:11" x14ac:dyDescent="0.25">
      <c r="A6" t="str">
        <f ca="1">OFFSET(Northland_Reference,7,2)</f>
        <v>Cyclist</v>
      </c>
      <c r="B6" s="4">
        <f ca="1">B160*'Total Duration Tables Sup #1'!B6*(1+'Other Assumptions'!D$44)*(1+'Active Mode Assumptions'!B20)</f>
        <v>0.15772883609999999</v>
      </c>
      <c r="C6" s="4">
        <f ca="1">C160*'Total Duration Tables Sup #1'!C6*(1+'Other Assumptions'!G$44)*(1+'Active Mode Assumptions'!C20)</f>
        <v>0.17002569797466005</v>
      </c>
      <c r="D6" s="4">
        <f ca="1">D160*'Total Duration Tables Sup #1'!D6*(1+'Other Assumptions'!H$44)*(1+'Active Mode Assumptions'!D20)</f>
        <v>0.24551924033067832</v>
      </c>
      <c r="E6" s="4">
        <f ca="1">E160*'Total Duration Tables Sup #1'!E6*(1+'Other Assumptions'!I$44)*(1+'Active Mode Assumptions'!E20)</f>
        <v>0.31863951239674626</v>
      </c>
      <c r="F6" s="4">
        <f ca="1">F160*'Total Duration Tables Sup #1'!F6*(1+'Other Assumptions'!J$44)*(1+'Active Mode Assumptions'!F20)</f>
        <v>0.39502157022481715</v>
      </c>
      <c r="G6" s="4">
        <f ca="1">G160*'Total Duration Tables Sup #1'!G6*(1+'Other Assumptions'!K$44)*(1+'Active Mode Assumptions'!G20)</f>
        <v>0.4774265652333301</v>
      </c>
      <c r="H6" s="4">
        <f ca="1">H160*'Total Duration Tables Sup #1'!H6*(1+'Other Assumptions'!L$44)*(1+'Active Mode Assumptions'!H20)</f>
        <v>0.56263104473712267</v>
      </c>
      <c r="I6" s="4">
        <f ca="1">I160*'Total Duration Tables Sup #1'!I6*(1+'Other Assumptions'!M$44)*(1+'Active Mode Assumptions'!I20)</f>
        <v>0.56754321348040926</v>
      </c>
      <c r="J6" s="4">
        <f ca="1">J160*'Total Duration Tables Sup #1'!J6*(1+'Other Assumptions'!N$44)*(1+'Active Mode Assumptions'!J20)</f>
        <v>0.57070805253057222</v>
      </c>
      <c r="K6" s="4">
        <f ca="1">K160*'Total Duration Tables Sup #1'!K6*(1+'Other Assumptions'!O$44)*(1+'Active Mode Assumptions'!K20)</f>
        <v>0.57268868568188525</v>
      </c>
    </row>
    <row r="7" spans="1:11" x14ac:dyDescent="0.25">
      <c r="A7" t="str">
        <f ca="1">OFFSET(Northland_Reference,14,2)</f>
        <v>Light Vehicle Driver</v>
      </c>
      <c r="B7" s="4">
        <f ca="1">B161*'Total Duration Tables Sup #1'!B7*(1+'Other Assumptions'!D$44)-(B5*'Active Mode Assumptions'!B11*'Active Mode Assumptions'!B14/(1+'Active Mode Assumptions'!B11))-(B6*'Active Mode Assumptions'!B20*'Active Mode Assumptions'!B23/(1+'Active Mode Assumptions'!B20))</f>
        <v>23.421840091</v>
      </c>
      <c r="C7" s="4">
        <f ca="1">C161*'Total Duration Tables Sup #1'!C7*(1+'Other Assumptions'!G$44)-(C5*'Active Mode Assumptions'!C11*'Active Mode Assumptions'!C14/(1+'Active Mode Assumptions'!C11))-(C6*'Active Mode Assumptions'!C20*'Active Mode Assumptions'!C23/(1+'Active Mode Assumptions'!C20))</f>
        <v>25.453369681649782</v>
      </c>
      <c r="D7" s="4">
        <f ca="1">D161*'Total Duration Tables Sup #1'!D7*(1+'Other Assumptions'!H$44)-(D5*'Active Mode Assumptions'!D11*'Active Mode Assumptions'!D14/(1+'Active Mode Assumptions'!D11))-(D6*'Active Mode Assumptions'!D20*'Active Mode Assumptions'!D23/(1+'Active Mode Assumptions'!D20))</f>
        <v>26.403609800226874</v>
      </c>
      <c r="E7" s="4">
        <f ca="1">E161*'Total Duration Tables Sup #1'!E7*(1+'Other Assumptions'!I$44)-(E5*'Active Mode Assumptions'!E11*'Active Mode Assumptions'!E14/(1+'Active Mode Assumptions'!E11))-(E6*'Active Mode Assumptions'!E20*'Active Mode Assumptions'!E23/(1+'Active Mode Assumptions'!E20))</f>
        <v>27.167189900713151</v>
      </c>
      <c r="F7" s="4">
        <f ca="1">F161*'Total Duration Tables Sup #1'!F7*(1+'Other Assumptions'!J$44)-(F5*'Active Mode Assumptions'!F11*'Active Mode Assumptions'!F14/(1+'Active Mode Assumptions'!F11))-(F6*'Active Mode Assumptions'!F20*'Active Mode Assumptions'!F23/(1+'Active Mode Assumptions'!F20))</f>
        <v>27.744526617567836</v>
      </c>
      <c r="G7" s="4">
        <f ca="1">G161*'Total Duration Tables Sup #1'!G7*(1+'Other Assumptions'!K$44)-(G5*'Active Mode Assumptions'!G11*'Active Mode Assumptions'!G14/(1+'Active Mode Assumptions'!G11))-(G6*'Active Mode Assumptions'!G20*'Active Mode Assumptions'!G23/(1+'Active Mode Assumptions'!G20))</f>
        <v>28.00797878923008</v>
      </c>
      <c r="H7" s="4">
        <f ca="1">H161*'Total Duration Tables Sup #1'!H7*(1+'Other Assumptions'!L$44)-(H5*'Active Mode Assumptions'!H11*'Active Mode Assumptions'!H14/(1+'Active Mode Assumptions'!H11))-(H6*'Active Mode Assumptions'!H20*'Active Mode Assumptions'!H23/(1+'Active Mode Assumptions'!H20))</f>
        <v>28.106126781945104</v>
      </c>
      <c r="I7" s="4">
        <f ca="1">I161*'Total Duration Tables Sup #1'!I7*(1+'Other Assumptions'!M$44)-(I5*'Active Mode Assumptions'!I11*'Active Mode Assumptions'!I14/(1+'Active Mode Assumptions'!I11))-(I6*'Active Mode Assumptions'!I20*'Active Mode Assumptions'!I23/(1+'Active Mode Assumptions'!I20))</f>
        <v>28.204886601096124</v>
      </c>
      <c r="J7" s="4">
        <f ca="1">J161*'Total Duration Tables Sup #1'!J7*(1+'Other Assumptions'!N$44)-(J5*'Active Mode Assumptions'!J11*'Active Mode Assumptions'!J14/(1+'Active Mode Assumptions'!J11))-(J6*'Active Mode Assumptions'!J20*'Active Mode Assumptions'!J23/(1+'Active Mode Assumptions'!J20))</f>
        <v>28.214239743549776</v>
      </c>
      <c r="K7" s="4">
        <f ca="1">K161*'Total Duration Tables Sup #1'!K7*(1+'Other Assumptions'!O$44)-(K5*'Active Mode Assumptions'!K11*'Active Mode Assumptions'!K14/(1+'Active Mode Assumptions'!K11))-(K6*'Active Mode Assumptions'!K20*'Active Mode Assumptions'!K23/(1+'Active Mode Assumptions'!K20))</f>
        <v>28.163294076353807</v>
      </c>
    </row>
    <row r="8" spans="1:11" x14ac:dyDescent="0.25">
      <c r="A8" t="str">
        <f ca="1">OFFSET(Northland_Reference,21,2)</f>
        <v>Light Vehicle Passenger</v>
      </c>
      <c r="B8" s="4">
        <f ca="1">B162*'Total Duration Tables Sup #1'!B8*(1+'Other Assumptions'!D$44)-(B5*'Active Mode Assumptions'!B11*'Active Mode Assumptions'!B15/(1+'Active Mode Assumptions'!B11))-(B6*'Active Mode Assumptions'!B20*'Active Mode Assumptions'!B24/(1+'Active Mode Assumptions'!B20))</f>
        <v>15.174949781</v>
      </c>
      <c r="C8" s="4">
        <f ca="1">C162*'Total Duration Tables Sup #1'!C8*(1+'Other Assumptions'!G$44)-(C5*'Active Mode Assumptions'!C11*'Active Mode Assumptions'!C15/(1+'Active Mode Assumptions'!C11))-(C6*'Active Mode Assumptions'!C20*'Active Mode Assumptions'!C24/(1+'Active Mode Assumptions'!C20))</f>
        <v>15.804469236073954</v>
      </c>
      <c r="D8" s="4">
        <f ca="1">D162*'Total Duration Tables Sup #1'!D8*(1+'Other Assumptions'!H$44)-(D5*'Active Mode Assumptions'!D11*'Active Mode Assumptions'!D15/(1+'Active Mode Assumptions'!D11))-(D6*'Active Mode Assumptions'!D20*'Active Mode Assumptions'!D24/(1+'Active Mode Assumptions'!D20))</f>
        <v>15.972721200744488</v>
      </c>
      <c r="E8" s="4">
        <f ca="1">E162*'Total Duration Tables Sup #1'!E8*(1+'Other Assumptions'!I$44)-(E5*'Active Mode Assumptions'!E11*'Active Mode Assumptions'!E15/(1+'Active Mode Assumptions'!E11))-(E6*'Active Mode Assumptions'!E20*'Active Mode Assumptions'!E24/(1+'Active Mode Assumptions'!E20))</f>
        <v>16.014115185046354</v>
      </c>
      <c r="F8" s="4">
        <f ca="1">F162*'Total Duration Tables Sup #1'!F8*(1+'Other Assumptions'!J$44)-(F5*'Active Mode Assumptions'!F11*'Active Mode Assumptions'!F15/(1+'Active Mode Assumptions'!F11))-(F6*'Active Mode Assumptions'!F20*'Active Mode Assumptions'!F24/(1+'Active Mode Assumptions'!F20))</f>
        <v>15.920001261691006</v>
      </c>
      <c r="G8" s="4">
        <f ca="1">G162*'Total Duration Tables Sup #1'!G8*(1+'Other Assumptions'!K$44)-(G5*'Active Mode Assumptions'!G11*'Active Mode Assumptions'!G15/(1+'Active Mode Assumptions'!G11))-(G6*'Active Mode Assumptions'!G20*'Active Mode Assumptions'!G24/(1+'Active Mode Assumptions'!G20))</f>
        <v>15.707733413098723</v>
      </c>
      <c r="H8" s="4">
        <f ca="1">H162*'Total Duration Tables Sup #1'!H8*(1+'Other Assumptions'!L$44)-(H5*'Active Mode Assumptions'!H11*'Active Mode Assumptions'!H15/(1+'Active Mode Assumptions'!H11))-(H6*'Active Mode Assumptions'!H20*'Active Mode Assumptions'!H24/(1+'Active Mode Assumptions'!H20))</f>
        <v>15.404265805211425</v>
      </c>
      <c r="I8" s="4">
        <f ca="1">I162*'Total Duration Tables Sup #1'!I8*(1+'Other Assumptions'!M$44)-(I5*'Active Mode Assumptions'!I11*'Active Mode Assumptions'!I15/(1+'Active Mode Assumptions'!I11))-(I6*'Active Mode Assumptions'!I20*'Active Mode Assumptions'!I24/(1+'Active Mode Assumptions'!I20))</f>
        <v>15.47388997819626</v>
      </c>
      <c r="J8" s="4">
        <f ca="1">J162*'Total Duration Tables Sup #1'!J8*(1+'Other Assumptions'!N$44)-(J5*'Active Mode Assumptions'!J11*'Active Mode Assumptions'!J15/(1+'Active Mode Assumptions'!J11))-(J6*'Active Mode Assumptions'!J20*'Active Mode Assumptions'!J24/(1+'Active Mode Assumptions'!J20))</f>
        <v>15.494455221107579</v>
      </c>
      <c r="K8" s="4">
        <f ca="1">K162*'Total Duration Tables Sup #1'!K8*(1+'Other Assumptions'!O$44)-(K5*'Active Mode Assumptions'!K11*'Active Mode Assumptions'!K15/(1+'Active Mode Assumptions'!K11))-(K6*'Active Mode Assumptions'!K20*'Active Mode Assumptions'!K24/(1+'Active Mode Assumptions'!K20))</f>
        <v>15.481808630176962</v>
      </c>
    </row>
    <row r="9" spans="1:11" x14ac:dyDescent="0.25">
      <c r="A9" t="str">
        <f ca="1">OFFSET(Northland_Reference,28,2)</f>
        <v>Taxi/Vehicle Share</v>
      </c>
      <c r="B9" s="4">
        <f ca="1">B163*'Total Duration Tables Sup #1'!B9*(1+'Other Assumptions'!D$44)</f>
        <v>2.5131369800000001E-2</v>
      </c>
      <c r="C9" s="4">
        <f ca="1">C163*'Total Duration Tables Sup #1'!C9*(1+'Other Assumptions'!G$44)</f>
        <v>2.8383766814758436E-2</v>
      </c>
      <c r="D9" s="4">
        <f ca="1">D163*'Total Duration Tables Sup #1'!D9*(1+'Other Assumptions'!H$44)</f>
        <v>3.0792417835264804E-2</v>
      </c>
      <c r="E9" s="4">
        <f ca="1">E163*'Total Duration Tables Sup #1'!E9*(1+'Other Assumptions'!I$44)</f>
        <v>3.2715515476102665E-2</v>
      </c>
      <c r="F9" s="4">
        <f ca="1">F163*'Total Duration Tables Sup #1'!F9*(1+'Other Assumptions'!J$44)</f>
        <v>3.4198846489329381E-2</v>
      </c>
      <c r="G9" s="4">
        <f ca="1">G163*'Total Duration Tables Sup #1'!G9*(1+'Other Assumptions'!K$44)</f>
        <v>3.500150122340747E-2</v>
      </c>
      <c r="H9" s="4">
        <f ca="1">H163*'Total Duration Tables Sup #1'!H9*(1+'Other Assumptions'!L$44)</f>
        <v>3.5598278581397406E-2</v>
      </c>
      <c r="I9" s="4">
        <f ca="1">I163*'Total Duration Tables Sup #1'!I9*(1+'Other Assumptions'!M$44)</f>
        <v>3.5660732982908394E-2</v>
      </c>
      <c r="J9" s="4">
        <f ca="1">J163*'Total Duration Tables Sup #1'!J9*(1+'Other Assumptions'!N$44)</f>
        <v>3.5610063841044426E-2</v>
      </c>
      <c r="K9" s="4">
        <f ca="1">K163*'Total Duration Tables Sup #1'!K9*(1+'Other Assumptions'!O$44)</f>
        <v>3.5483578946886661E-2</v>
      </c>
    </row>
    <row r="10" spans="1:11" x14ac:dyDescent="0.25">
      <c r="A10" t="str">
        <f ca="1">OFFSET(Northland_Reference,35,2)</f>
        <v>Motorcyclist</v>
      </c>
      <c r="B10" s="4">
        <f ca="1">B164*'Total Duration Tables Sup #1'!B10*(1+'Other Assumptions'!D$44)</f>
        <v>0.28382488960000002</v>
      </c>
      <c r="C10" s="4">
        <f ca="1">C164*'Total Duration Tables Sup #1'!C10*(1+'Other Assumptions'!G$44)</f>
        <v>0.30557720548605849</v>
      </c>
      <c r="D10" s="4">
        <f ca="1">D164*'Total Duration Tables Sup #1'!D10*(1+'Other Assumptions'!H$44)</f>
        <v>0.31606962413842521</v>
      </c>
      <c r="E10" s="4">
        <f ca="1">E164*'Total Duration Tables Sup #1'!E10*(1+'Other Assumptions'!I$44)</f>
        <v>0.32213821201661713</v>
      </c>
      <c r="F10" s="4">
        <f ca="1">F164*'Total Duration Tables Sup #1'!F10*(1+'Other Assumptions'!J$44)</f>
        <v>0.32593972402743954</v>
      </c>
      <c r="G10" s="4">
        <f ca="1">G164*'Total Duration Tables Sup #1'!G10*(1+'Other Assumptions'!K$44)</f>
        <v>0.32449824926947912</v>
      </c>
      <c r="H10" s="4">
        <f ca="1">H164*'Total Duration Tables Sup #1'!H10*(1+'Other Assumptions'!L$44)</f>
        <v>0.32089526521406042</v>
      </c>
      <c r="I10" s="4">
        <f ca="1">I164*'Total Duration Tables Sup #1'!I10*(1+'Other Assumptions'!M$44)</f>
        <v>0.32369170615089438</v>
      </c>
      <c r="J10" s="4">
        <f ca="1">J164*'Total Duration Tables Sup #1'!J10*(1+'Other Assumptions'!N$44)</f>
        <v>0.32547517600552678</v>
      </c>
      <c r="K10" s="4">
        <f ca="1">K164*'Total Duration Tables Sup #1'!K10*(1+'Other Assumptions'!O$44)</f>
        <v>0.32656636601715222</v>
      </c>
    </row>
    <row r="11" spans="1:11" x14ac:dyDescent="0.25">
      <c r="A11" t="str">
        <f ca="1">OFFSET(Auckland_Reference,42,2)</f>
        <v>Local Train</v>
      </c>
      <c r="B11" s="4">
        <f ca="1">B165*'Total Duration Tables Sup #1'!B11*(1+'Other Assumptions'!D$44)</f>
        <v>0</v>
      </c>
      <c r="C11" s="4">
        <f ca="1">C165*'Total Duration Tables Sup #1'!C11*(1+'Other Assumptions'!G$44)</f>
        <v>0</v>
      </c>
      <c r="D11" s="4">
        <f ca="1">D165*'Total Duration Tables Sup #1'!D11*(1+'Other Assumptions'!H$44)</f>
        <v>0</v>
      </c>
      <c r="E11" s="4">
        <f ca="1">E165*'Total Duration Tables Sup #1'!E11*(1+'Other Assumptions'!I$44)</f>
        <v>0</v>
      </c>
      <c r="F11" s="4">
        <f ca="1">F165*'Total Duration Tables Sup #1'!F11*(1+'Other Assumptions'!J$44)</f>
        <v>0</v>
      </c>
      <c r="G11" s="4">
        <f ca="1">G165*'Total Duration Tables Sup #1'!G11*(1+'Other Assumptions'!K$44)</f>
        <v>0</v>
      </c>
      <c r="H11" s="4">
        <f ca="1">H165*'Total Duration Tables Sup #1'!H11*(1+'Other Assumptions'!L$44)</f>
        <v>0</v>
      </c>
      <c r="I11" s="4">
        <f ca="1">I165*'Total Duration Tables Sup #1'!I11*(1+'Other Assumptions'!M$44)</f>
        <v>0</v>
      </c>
      <c r="J11" s="4">
        <f ca="1">J165*'Total Duration Tables Sup #1'!J11*(1+'Other Assumptions'!N$44)</f>
        <v>0</v>
      </c>
      <c r="K11" s="4">
        <f ca="1">K165*'Total Duration Tables Sup #1'!K11*(1+'Other Assumptions'!O$44)</f>
        <v>0</v>
      </c>
    </row>
    <row r="12" spans="1:11" x14ac:dyDescent="0.25">
      <c r="A12" t="str">
        <f ca="1">OFFSET(Northland_Reference,42,2)</f>
        <v>Local Bus</v>
      </c>
      <c r="B12" s="4">
        <f ca="1">B166*'Total Duration Tables Sup #1'!B12*(1+'Other Assumptions'!D$44)</f>
        <v>1.5691203781</v>
      </c>
      <c r="C12" s="4">
        <f ca="1">C166*'Total Duration Tables Sup #1'!C12*(1+'Other Assumptions'!G$44)</f>
        <v>1.5352221154524697</v>
      </c>
      <c r="D12" s="4">
        <f ca="1">D166*'Total Duration Tables Sup #1'!D12*(1+'Other Assumptions'!H$44)</f>
        <v>1.4993565835872356</v>
      </c>
      <c r="E12" s="4">
        <f ca="1">E166*'Total Duration Tables Sup #1'!E12*(1+'Other Assumptions'!I$44)</f>
        <v>1.4740589984033112</v>
      </c>
      <c r="F12" s="4">
        <f ca="1">F166*'Total Duration Tables Sup #1'!F12*(1+'Other Assumptions'!J$44)</f>
        <v>1.4280084639474915</v>
      </c>
      <c r="G12" s="4">
        <f ca="1">G166*'Total Duration Tables Sup #1'!G12*(1+'Other Assumptions'!K$44)</f>
        <v>1.3900776996542066</v>
      </c>
      <c r="H12" s="4">
        <f ca="1">H166*'Total Duration Tables Sup #1'!H12*(1+'Other Assumptions'!L$44)</f>
        <v>1.3459881027159808</v>
      </c>
      <c r="I12" s="4">
        <f ca="1">I166*'Total Duration Tables Sup #1'!I12*(1+'Other Assumptions'!M$44)</f>
        <v>1.3539098960692797</v>
      </c>
      <c r="J12" s="4">
        <f ca="1">J166*'Total Duration Tables Sup #1'!J12*(1+'Other Assumptions'!N$44)</f>
        <v>1.357549443147861</v>
      </c>
      <c r="K12" s="4">
        <f ca="1">K166*'Total Duration Tables Sup #1'!K12*(1+'Other Assumptions'!O$44)</f>
        <v>1.3582794583038169</v>
      </c>
    </row>
    <row r="13" spans="1:11" x14ac:dyDescent="0.25">
      <c r="A13" t="str">
        <f ca="1">OFFSET(Northland_Reference,49,2)</f>
        <v>Local Ferry</v>
      </c>
      <c r="B13" s="4">
        <f ca="1">B167*'Total Duration Tables Sup #1'!B13*(1+'Other Assumptions'!D$44)</f>
        <v>1.4305812299999996E-2</v>
      </c>
      <c r="C13" s="4">
        <f ca="1">C167*'Total Duration Tables Sup #1'!C13*(1+'Other Assumptions'!G$44)</f>
        <v>1.5831552894806096E-2</v>
      </c>
      <c r="D13" s="4">
        <f ca="1">D167*'Total Duration Tables Sup #1'!D13*(1+'Other Assumptions'!H$44)</f>
        <v>1.6719405818976629E-2</v>
      </c>
      <c r="E13" s="4">
        <f ca="1">E167*'Total Duration Tables Sup #1'!E13*(1+'Other Assumptions'!I$44)</f>
        <v>1.7187433275497981E-2</v>
      </c>
      <c r="F13" s="4">
        <f ca="1">F167*'Total Duration Tables Sup #1'!F13*(1+'Other Assumptions'!J$44)</f>
        <v>1.7372374623234932E-2</v>
      </c>
      <c r="G13" s="4">
        <f ca="1">G167*'Total Duration Tables Sup #1'!G13*(1+'Other Assumptions'!K$44)</f>
        <v>1.7799327585017281E-2</v>
      </c>
      <c r="H13" s="4">
        <f ca="1">H167*'Total Duration Tables Sup #1'!H13*(1+'Other Assumptions'!L$44)</f>
        <v>1.8040256010965299E-2</v>
      </c>
      <c r="I13" s="4">
        <f ca="1">I167*'Total Duration Tables Sup #1'!I13*(1+'Other Assumptions'!M$44)</f>
        <v>1.784065281383114E-2</v>
      </c>
      <c r="J13" s="4">
        <f ca="1">J167*'Total Duration Tables Sup #1'!J13*(1+'Other Assumptions'!N$44)</f>
        <v>1.7591223311734419E-2</v>
      </c>
      <c r="K13" s="4">
        <f ca="1">K167*'Total Duration Tables Sup #1'!K13*(1+'Other Assumptions'!O$44)</f>
        <v>1.7312068804887577E-2</v>
      </c>
    </row>
    <row r="14" spans="1:11" x14ac:dyDescent="0.25">
      <c r="A14" t="str">
        <f ca="1">OFFSET(Northland_Reference,56,2)</f>
        <v>Other Household Travel</v>
      </c>
      <c r="B14" s="4">
        <f ca="1">B168*'Total Duration Tables Sup #1'!B14*(1+'Other Assumptions'!D$44)</f>
        <v>0</v>
      </c>
      <c r="C14" s="4">
        <f ca="1">C168*'Total Duration Tables Sup #1'!C14*(1+'Other Assumptions'!G$44)</f>
        <v>0</v>
      </c>
      <c r="D14" s="4">
        <f ca="1">D168*'Total Duration Tables Sup #1'!D14*(1+'Other Assumptions'!H$44)</f>
        <v>0</v>
      </c>
      <c r="E14" s="4">
        <f ca="1">E168*'Total Duration Tables Sup #1'!E14*(1+'Other Assumptions'!I$44)</f>
        <v>0</v>
      </c>
      <c r="F14" s="4">
        <f ca="1">F168*'Total Duration Tables Sup #1'!F14*(1+'Other Assumptions'!J$44)</f>
        <v>0</v>
      </c>
      <c r="G14" s="4">
        <f ca="1">G168*'Total Duration Tables Sup #1'!G14*(1+'Other Assumptions'!K$44)</f>
        <v>0</v>
      </c>
      <c r="H14" s="4">
        <f ca="1">H168*'Total Duration Tables Sup #1'!H14*(1+'Other Assumptions'!L$44)</f>
        <v>0</v>
      </c>
      <c r="I14" s="4">
        <f ca="1">I168*'Total Duration Tables Sup #1'!I14*(1+'Other Assumptions'!M$44)</f>
        <v>0</v>
      </c>
      <c r="J14" s="4">
        <f ca="1">J168*'Total Duration Tables Sup #1'!J14*(1+'Other Assumptions'!N$44)</f>
        <v>0</v>
      </c>
      <c r="K14" s="4">
        <f ca="1">K168*'Total Duration Tables Sup #1'!K14*(1+'Other Assumptions'!O$44)</f>
        <v>0</v>
      </c>
    </row>
    <row r="15" spans="1:11" x14ac:dyDescent="0.25">
      <c r="A15" t="str">
        <f ca="1">OFFSET(Auckland_Reference,0,0)</f>
        <v>02 AUCKLAND</v>
      </c>
    </row>
    <row r="16" spans="1:11" x14ac:dyDescent="0.25">
      <c r="A16" t="str">
        <f ca="1">OFFSET(Auckland_Reference,0,2)</f>
        <v>Pedestrian</v>
      </c>
      <c r="B16" s="4">
        <f ca="1">(B159*'Total Duration Tables Sup #1'!B16)*(1+'Other Assumptions'!D$45)*(1+'Active Mode Assumptions'!B11)-('PT Assumptions'!B14*'Total Duration Tables Sup #2'!B170+'PT Assumptions'!B26*'Total Duration Tables Sup #2'!B173)*(1+'Other Assumptions'!D$45)</f>
        <v>73.381071999</v>
      </c>
      <c r="C16" s="4">
        <f ca="1">(C159*'Total Duration Tables Sup #1'!C16)*(1+'Other Assumptions'!G$45)*(1+'Active Mode Assumptions'!C11)-('PT Assumptions'!C14*'Total Duration Tables Sup #2'!C170+'PT Assumptions'!C26*'Total Duration Tables Sup #2'!C173)*(1+'Other Assumptions'!G$45)</f>
        <v>82.088624353764615</v>
      </c>
      <c r="D16" s="4">
        <f ca="1">(D159*'Total Duration Tables Sup #1'!D16)*(1+'Other Assumptions'!H$45)*(1+'Active Mode Assumptions'!D11)-('PT Assumptions'!D14*'Total Duration Tables Sup #2'!D170+'PT Assumptions'!D26*'Total Duration Tables Sup #2'!D173)*(1+'Other Assumptions'!H$45)</f>
        <v>91.115789273879827</v>
      </c>
      <c r="E16" s="4">
        <f ca="1">(E159*'Total Duration Tables Sup #1'!E16)*(1+'Other Assumptions'!I$45)*(1+'Active Mode Assumptions'!E11)-('PT Assumptions'!E14*'Total Duration Tables Sup #2'!E170+'PT Assumptions'!E26*'Total Duration Tables Sup #2'!E173)*(1+'Other Assumptions'!I$45)</f>
        <v>98.242364017960114</v>
      </c>
      <c r="F16" s="4">
        <f ca="1">(F159*'Total Duration Tables Sup #1'!F16)*(1+'Other Assumptions'!J$45)*(1+'Active Mode Assumptions'!F11)-('PT Assumptions'!F14*'Total Duration Tables Sup #2'!F170+'PT Assumptions'!F26*'Total Duration Tables Sup #2'!F173)*(1+'Other Assumptions'!J$45)</f>
        <v>104.46803826323983</v>
      </c>
      <c r="G16" s="4">
        <f ca="1">(G159*'Total Duration Tables Sup #1'!G16)*(1+'Other Assumptions'!K$45)*(1+'Active Mode Assumptions'!G11)-('PT Assumptions'!G14*'Total Duration Tables Sup #2'!G170+'PT Assumptions'!G26*'Total Duration Tables Sup #2'!G173)*(1+'Other Assumptions'!K$45)</f>
        <v>110.04171426991878</v>
      </c>
      <c r="H16" s="4">
        <f ca="1">(H159*'Total Duration Tables Sup #1'!H16)*(1+'Other Assumptions'!L$45)*(1+'Active Mode Assumptions'!H11)-('PT Assumptions'!H14*'Total Duration Tables Sup #2'!H170+'PT Assumptions'!H26*'Total Duration Tables Sup #2'!H173)*(1+'Other Assumptions'!L$45)</f>
        <v>115.00012635004299</v>
      </c>
      <c r="I16" s="4">
        <f ca="1">(I159*'Total Duration Tables Sup #1'!I16)*(1+'Other Assumptions'!M$45)*(1+'Active Mode Assumptions'!I11)-('PT Assumptions'!I14*'Total Duration Tables Sup #2'!I170+'PT Assumptions'!I26*'Total Duration Tables Sup #2'!I173)*(1+'Other Assumptions'!M$45)</f>
        <v>117.05464501018361</v>
      </c>
      <c r="J16" s="4">
        <f ca="1">(J159*'Total Duration Tables Sup #1'!J16)*(1+'Other Assumptions'!N$45)*(1+'Active Mode Assumptions'!J11)-('PT Assumptions'!J14*'Total Duration Tables Sup #2'!J170+'PT Assumptions'!J26*'Total Duration Tables Sup #2'!J173)*(1+'Other Assumptions'!N$45)</f>
        <v>118.69957457846243</v>
      </c>
      <c r="K16" s="4">
        <f ca="1">(K159*'Total Duration Tables Sup #1'!K16)*(1+'Other Assumptions'!O$45)*(1+'Active Mode Assumptions'!K11)-('PT Assumptions'!K14*'Total Duration Tables Sup #2'!K170+'PT Assumptions'!K26*'Total Duration Tables Sup #2'!K173)*(1+'Other Assumptions'!O$45)</f>
        <v>120.03130867849158</v>
      </c>
    </row>
    <row r="17" spans="1:11" x14ac:dyDescent="0.25">
      <c r="A17" t="str">
        <f ca="1">OFFSET(Auckland_Reference,7,2)</f>
        <v>Cyclist</v>
      </c>
      <c r="B17" s="4">
        <f ca="1">(B160*'Total Duration Tables Sup #1'!B17)*(1+'Other Assumptions'!D$45)*(1+'Active Mode Assumptions'!B20)-('PT Assumptions'!B15*'Total Duration Tables Sup #2'!B170+'PT Assumptions'!B27*'Total Duration Tables Sup #2'!B173)*(1+'Other Assumptions'!D$45)</f>
        <v>4.3659429593999999</v>
      </c>
      <c r="C17" s="4">
        <f ca="1">(C160*'Total Duration Tables Sup #1'!C17)*(1+'Other Assumptions'!G$45)*(1+'Active Mode Assumptions'!C20)-('PT Assumptions'!C15*'Total Duration Tables Sup #2'!C170+'PT Assumptions'!C27*'Total Duration Tables Sup #2'!C173)*(1+'Other Assumptions'!G$45)</f>
        <v>5.0109625957271362</v>
      </c>
      <c r="D17" s="4">
        <f ca="1">(D160*'Total Duration Tables Sup #1'!D17)*(1+'Other Assumptions'!H$45)*(1+'Active Mode Assumptions'!D20)-('PT Assumptions'!D15*'Total Duration Tables Sup #2'!D170+'PT Assumptions'!D27*'Total Duration Tables Sup #2'!D173)*(1+'Other Assumptions'!H$45)</f>
        <v>7.451456807135111</v>
      </c>
      <c r="E17" s="4">
        <f ca="1">(E160*'Total Duration Tables Sup #1'!E17)*(1+'Other Assumptions'!I$45)*(1+'Active Mode Assumptions'!E20)-('PT Assumptions'!E15*'Total Duration Tables Sup #2'!E170+'PT Assumptions'!E27*'Total Duration Tables Sup #2'!E173)*(1+'Other Assumptions'!I$45)</f>
        <v>9.85477356473816</v>
      </c>
      <c r="F17" s="4">
        <f ca="1">(F160*'Total Duration Tables Sup #1'!F17)*(1+'Other Assumptions'!J$45)*(1+'Active Mode Assumptions'!F20)-('PT Assumptions'!F15*'Total Duration Tables Sup #2'!F170+'PT Assumptions'!F27*'Total Duration Tables Sup #2'!F173)*(1+'Other Assumptions'!J$45)</f>
        <v>12.438110802230447</v>
      </c>
      <c r="G17" s="4">
        <f ca="1">(G160*'Total Duration Tables Sup #1'!G17)*(1+'Other Assumptions'!K$45)*(1+'Active Mode Assumptions'!G20)-('PT Assumptions'!G15*'Total Duration Tables Sup #2'!G170+'PT Assumptions'!G27*'Total Duration Tables Sup #2'!G173)*(1+'Other Assumptions'!K$45)</f>
        <v>15.277791005440509</v>
      </c>
      <c r="H17" s="4">
        <f ca="1">(H160*'Total Duration Tables Sup #1'!H17)*(1+'Other Assumptions'!L$45)*(1+'Active Mode Assumptions'!H20)-('PT Assumptions'!H15*'Total Duration Tables Sup #2'!H170+'PT Assumptions'!H27*'Total Duration Tables Sup #2'!H173)*(1+'Other Assumptions'!L$45)</f>
        <v>18.283168824619217</v>
      </c>
      <c r="I17" s="4">
        <f ca="1">(I160*'Total Duration Tables Sup #1'!I17)*(1+'Other Assumptions'!M$45)*(1+'Active Mode Assumptions'!I20)-('PT Assumptions'!I15*'Total Duration Tables Sup #2'!I170+'PT Assumptions'!I27*'Total Duration Tables Sup #2'!I173)*(1+'Other Assumptions'!M$45)</f>
        <v>18.719144058967263</v>
      </c>
      <c r="J17" s="4">
        <f ca="1">(J160*'Total Duration Tables Sup #1'!J17)*(1+'Other Assumptions'!N$45)*(1+'Active Mode Assumptions'!J20)-('PT Assumptions'!J15*'Total Duration Tables Sup #2'!J170+'PT Assumptions'!J27*'Total Duration Tables Sup #2'!J173)*(1+'Other Assumptions'!N$45)</f>
        <v>19.095715801093846</v>
      </c>
      <c r="K17" s="4">
        <f ca="1">(K160*'Total Duration Tables Sup #1'!K17)*(1+'Other Assumptions'!O$45)*(1+'Active Mode Assumptions'!K20)-('PT Assumptions'!K15*'Total Duration Tables Sup #2'!K170+'PT Assumptions'!K27*'Total Duration Tables Sup #2'!K173)*(1+'Other Assumptions'!O$45)</f>
        <v>19.428554564306047</v>
      </c>
    </row>
    <row r="18" spans="1:11" x14ac:dyDescent="0.25">
      <c r="A18" t="str">
        <f ca="1">OFFSET(Auckland_Reference,14,2)</f>
        <v>Light Vehicle Driver</v>
      </c>
      <c r="B18" s="4">
        <f ca="1">(B161*'Total Duration Tables Sup #1'!B18-'PT Assumptions'!B16*'Total Duration Tables Sup #2'!B170-'PT Assumptions'!B28*'Total Duration Tables Sup #2'!B173)*(1+'Other Assumptions'!D$45)-(B159*'Total Duration Tables Sup #1'!B16)*(1+'Other Assumptions'!D$45)*'Active Mode Assumptions'!B11*'Active Mode Assumptions'!B14-(B160*'Total Duration Tables Sup #1'!B17)*(1+'Other Assumptions'!D$45)*'Active Mode Assumptions'!B20*'Active Mode Assumptions'!B23</f>
        <v>295.36669345000001</v>
      </c>
      <c r="C18" s="4">
        <f ca="1">(C161*'Total Duration Tables Sup #1'!C18-'PT Assumptions'!C16*'Total Duration Tables Sup #2'!C170-'PT Assumptions'!C28*'Total Duration Tables Sup #2'!C173)*(1+'Other Assumptions'!G$45)-(C159*'Total Duration Tables Sup #1'!C16)*(1+'Other Assumptions'!G$45)*'Active Mode Assumptions'!C11*'Active Mode Assumptions'!C14-(C160*'Total Duration Tables Sup #1'!C17)*(1+'Other Assumptions'!G$45)*'Active Mode Assumptions'!C20*'Active Mode Assumptions'!C23</f>
        <v>340.42196755846783</v>
      </c>
      <c r="D18" s="4">
        <f ca="1">(D161*'Total Duration Tables Sup #1'!D18-'PT Assumptions'!D16*'Total Duration Tables Sup #2'!D170-'PT Assumptions'!D28*'Total Duration Tables Sup #2'!D173)*(1+'Other Assumptions'!H$45)-(D159*'Total Duration Tables Sup #1'!D16)*(1+'Other Assumptions'!H$45)*'Active Mode Assumptions'!D11*'Active Mode Assumptions'!D14-(D160*'Total Duration Tables Sup #1'!D17)*(1+'Other Assumptions'!H$45)*'Active Mode Assumptions'!D20*'Active Mode Assumptions'!D23</f>
        <v>357.58998806155415</v>
      </c>
      <c r="E18" s="4">
        <f ca="1">(E161*'Total Duration Tables Sup #1'!E18-'PT Assumptions'!E16*'Total Duration Tables Sup #2'!E170-'PT Assumptions'!E28*'Total Duration Tables Sup #2'!E173)*(1+'Other Assumptions'!I$45)-(E159*'Total Duration Tables Sup #1'!E16)*(1+'Other Assumptions'!I$45)*'Active Mode Assumptions'!E11*'Active Mode Assumptions'!E14-(E160*'Total Duration Tables Sup #1'!E17)*(1+'Other Assumptions'!I$45)*'Active Mode Assumptions'!E20*'Active Mode Assumptions'!E23</f>
        <v>369.44372751753201</v>
      </c>
      <c r="F18" s="4">
        <f ca="1">(F161*'Total Duration Tables Sup #1'!F18-'PT Assumptions'!F16*'Total Duration Tables Sup #2'!F170-'PT Assumptions'!F28*'Total Duration Tables Sup #2'!F173)*(1+'Other Assumptions'!J$45)-(F159*'Total Duration Tables Sup #1'!F16)*(1+'Other Assumptions'!J$45)*'Active Mode Assumptions'!F11*'Active Mode Assumptions'!F14-(F160*'Total Duration Tables Sup #1'!F17)*(1+'Other Assumptions'!J$45)*'Active Mode Assumptions'!F20*'Active Mode Assumptions'!F23</f>
        <v>381.45762303656409</v>
      </c>
      <c r="G18" s="4">
        <f ca="1">(G161*'Total Duration Tables Sup #1'!G18-'PT Assumptions'!G16*'Total Duration Tables Sup #2'!G170-'PT Assumptions'!G28*'Total Duration Tables Sup #2'!G173)*(1+'Other Assumptions'!K$45)-(G159*'Total Duration Tables Sup #1'!G16)*(1+'Other Assumptions'!K$45)*'Active Mode Assumptions'!G11*'Active Mode Assumptions'!G14-(G160*'Total Duration Tables Sup #1'!G17)*(1+'Other Assumptions'!K$45)*'Active Mode Assumptions'!G20*'Active Mode Assumptions'!G23</f>
        <v>388.66960921035013</v>
      </c>
      <c r="H18" s="4">
        <f ca="1">(H161*'Total Duration Tables Sup #1'!H18-'PT Assumptions'!H16*'Total Duration Tables Sup #2'!H170-'PT Assumptions'!H28*'Total Duration Tables Sup #2'!H173)*(1+'Other Assumptions'!L$45)-(H159*'Total Duration Tables Sup #1'!H16)*(1+'Other Assumptions'!L$45)*'Active Mode Assumptions'!H11*'Active Mode Assumptions'!H14-(H160*'Total Duration Tables Sup #1'!H17)*(1+'Other Assumptions'!L$45)*'Active Mode Assumptions'!H20*'Active Mode Assumptions'!H23</f>
        <v>393.36277191269687</v>
      </c>
      <c r="I18" s="4">
        <f ca="1">(I161*'Total Duration Tables Sup #1'!I18-'PT Assumptions'!I16*'Total Duration Tables Sup #2'!I170-'PT Assumptions'!I28*'Total Duration Tables Sup #2'!I173)*(1+'Other Assumptions'!M$45)-(I159*'Total Duration Tables Sup #1'!I16)*(1+'Other Assumptions'!M$45)*'Active Mode Assumptions'!I11*'Active Mode Assumptions'!I14-(I160*'Total Duration Tables Sup #1'!I17)*(1+'Other Assumptions'!M$45)*'Active Mode Assumptions'!I20*'Active Mode Assumptions'!I23</f>
        <v>398.7872389878961</v>
      </c>
      <c r="J18" s="4">
        <f ca="1">(J161*'Total Duration Tables Sup #1'!J18-'PT Assumptions'!J16*'Total Duration Tables Sup #2'!J170-'PT Assumptions'!J28*'Total Duration Tables Sup #2'!J173)*(1+'Other Assumptions'!N$45)-(J159*'Total Duration Tables Sup #1'!J16)*(1+'Other Assumptions'!N$45)*'Active Mode Assumptions'!J11*'Active Mode Assumptions'!J14-(J160*'Total Duration Tables Sup #1'!J17)*(1+'Other Assumptions'!N$45)*'Active Mode Assumptions'!J20*'Active Mode Assumptions'!J23</f>
        <v>402.693422079161</v>
      </c>
      <c r="K18" s="4">
        <f ca="1">(K161*'Total Duration Tables Sup #1'!K18-'PT Assumptions'!K16*'Total Duration Tables Sup #2'!K170-'PT Assumptions'!K28*'Total Duration Tables Sup #2'!K173)*(1+'Other Assumptions'!O$45)-(K159*'Total Duration Tables Sup #1'!K16)*(1+'Other Assumptions'!O$45)*'Active Mode Assumptions'!K11*'Active Mode Assumptions'!K14-(K160*'Total Duration Tables Sup #1'!K17)*(1+'Other Assumptions'!O$45)*'Active Mode Assumptions'!K20*'Active Mode Assumptions'!K23</f>
        <v>405.33707955273712</v>
      </c>
    </row>
    <row r="19" spans="1:11" x14ac:dyDescent="0.25">
      <c r="A19" t="str">
        <f ca="1">OFFSET(Auckland_Reference,21,2)</f>
        <v>Light Vehicle Passenger</v>
      </c>
      <c r="B19" s="4">
        <f ca="1">(B162*'Total Duration Tables Sup #1'!B19-'PT Assumptions'!B17*'Total Duration Tables Sup #2'!B170-'PT Assumptions'!B29*'Total Duration Tables Sup #2'!B173)*(1+'Other Assumptions'!D$45)-(B159*'Total Duration Tables Sup #1'!B16)*(1+'Other Assumptions'!D$45)*'Active Mode Assumptions'!B11*'Active Mode Assumptions'!B15-(B160*'Total Duration Tables Sup #1'!B17)*(1+'Other Assumptions'!D$45)*'Active Mode Assumptions'!B20*'Active Mode Assumptions'!B24</f>
        <v>145.42645436999999</v>
      </c>
      <c r="C19" s="4">
        <f ca="1">(C162*'Total Duration Tables Sup #1'!C19-'PT Assumptions'!C17*'Total Duration Tables Sup #2'!C170-'PT Assumptions'!C29*'Total Duration Tables Sup #2'!C173)*(1+'Other Assumptions'!G$45)-(C159*'Total Duration Tables Sup #1'!C16)*(1+'Other Assumptions'!G$45)*'Active Mode Assumptions'!C11*'Active Mode Assumptions'!C15-(C160*'Total Duration Tables Sup #1'!C17)*(1+'Other Assumptions'!G$45)*'Active Mode Assumptions'!C20*'Active Mode Assumptions'!C24</f>
        <v>159.92202277500482</v>
      </c>
      <c r="D19" s="4">
        <f ca="1">(D162*'Total Duration Tables Sup #1'!D19-'PT Assumptions'!D17*'Total Duration Tables Sup #2'!D170-'PT Assumptions'!D29*'Total Duration Tables Sup #2'!D173)*(1+'Other Assumptions'!H$45)-(D159*'Total Duration Tables Sup #1'!D16)*(1+'Other Assumptions'!H$45)*'Active Mode Assumptions'!D11*'Active Mode Assumptions'!D15-(D160*'Total Duration Tables Sup #1'!D17)*(1+'Other Assumptions'!H$45)*'Active Mode Assumptions'!D20*'Active Mode Assumptions'!D24</f>
        <v>160.01227690236865</v>
      </c>
      <c r="E19" s="4">
        <f ca="1">(E162*'Total Duration Tables Sup #1'!E19-'PT Assumptions'!E17*'Total Duration Tables Sup #2'!E170-'PT Assumptions'!E29*'Total Duration Tables Sup #2'!E173)*(1+'Other Assumptions'!I$45)-(E159*'Total Duration Tables Sup #1'!E16)*(1+'Other Assumptions'!I$45)*'Active Mode Assumptions'!E11*'Active Mode Assumptions'!E15-(E160*'Total Duration Tables Sup #1'!E17)*(1+'Other Assumptions'!I$45)*'Active Mode Assumptions'!E20*'Active Mode Assumptions'!E24</f>
        <v>157.44887135421371</v>
      </c>
      <c r="F19" s="4">
        <f ca="1">(F162*'Total Duration Tables Sup #1'!F19-'PT Assumptions'!F17*'Total Duration Tables Sup #2'!F170-'PT Assumptions'!F29*'Total Duration Tables Sup #2'!F173)*(1+'Other Assumptions'!J$45)-(F159*'Total Duration Tables Sup #1'!F16)*(1+'Other Assumptions'!J$45)*'Active Mode Assumptions'!F11*'Active Mode Assumptions'!F15-(F160*'Total Duration Tables Sup #1'!F17)*(1+'Other Assumptions'!J$45)*'Active Mode Assumptions'!F20*'Active Mode Assumptions'!F24</f>
        <v>155.97948153478029</v>
      </c>
      <c r="G19" s="4">
        <f ca="1">(G162*'Total Duration Tables Sup #1'!G19-'PT Assumptions'!G17*'Total Duration Tables Sup #2'!G170-'PT Assumptions'!G29*'Total Duration Tables Sup #2'!G173)*(1+'Other Assumptions'!K$45)-(G159*'Total Duration Tables Sup #1'!G16)*(1+'Other Assumptions'!K$45)*'Active Mode Assumptions'!G11*'Active Mode Assumptions'!G15-(G160*'Total Duration Tables Sup #1'!G17)*(1+'Other Assumptions'!K$45)*'Active Mode Assumptions'!G20*'Active Mode Assumptions'!G24</f>
        <v>152.98491690297513</v>
      </c>
      <c r="H19" s="4">
        <f ca="1">(H162*'Total Duration Tables Sup #1'!H19-'PT Assumptions'!H17*'Total Duration Tables Sup #2'!H170-'PT Assumptions'!H29*'Total Duration Tables Sup #2'!H173)*(1+'Other Assumptions'!L$45)-(H159*'Total Duration Tables Sup #1'!H16)*(1+'Other Assumptions'!L$45)*'Active Mode Assumptions'!H11*'Active Mode Assumptions'!H15-(H160*'Total Duration Tables Sup #1'!H17)*(1+'Other Assumptions'!L$45)*'Active Mode Assumptions'!H20*'Active Mode Assumptions'!H24</f>
        <v>148.8275427178647</v>
      </c>
      <c r="I19" s="4">
        <f ca="1">(I162*'Total Duration Tables Sup #1'!I19-'PT Assumptions'!I17*'Total Duration Tables Sup #2'!I170-'PT Assumptions'!I29*'Total Duration Tables Sup #2'!I173)*(1+'Other Assumptions'!M$45)-(I159*'Total Duration Tables Sup #1'!I16)*(1+'Other Assumptions'!M$45)*'Active Mode Assumptions'!I11*'Active Mode Assumptions'!I15-(I160*'Total Duration Tables Sup #1'!I17)*(1+'Other Assumptions'!M$45)*'Active Mode Assumptions'!I20*'Active Mode Assumptions'!I24</f>
        <v>149.89029419153715</v>
      </c>
      <c r="J19" s="4">
        <f ca="1">(J162*'Total Duration Tables Sup #1'!J19-'PT Assumptions'!J17*'Total Duration Tables Sup #2'!J170-'PT Assumptions'!J29*'Total Duration Tables Sup #2'!J173)*(1+'Other Assumptions'!N$45)-(J159*'Total Duration Tables Sup #1'!J16)*(1+'Other Assumptions'!N$45)*'Active Mode Assumptions'!J11*'Active Mode Assumptions'!J15-(J160*'Total Duration Tables Sup #1'!J17)*(1+'Other Assumptions'!N$45)*'Active Mode Assumptions'!J20*'Active Mode Assumptions'!J24</f>
        <v>150.29006744974106</v>
      </c>
      <c r="K19" s="4">
        <f ca="1">(K162*'Total Duration Tables Sup #1'!K19-'PT Assumptions'!K17*'Total Duration Tables Sup #2'!K170-'PT Assumptions'!K29*'Total Duration Tables Sup #2'!K173)*(1+'Other Assumptions'!O$45)-(K159*'Total Duration Tables Sup #1'!K16)*(1+'Other Assumptions'!O$45)*'Active Mode Assumptions'!K11*'Active Mode Assumptions'!K15-(K160*'Total Duration Tables Sup #1'!K17)*(1+'Other Assumptions'!O$45)*'Active Mode Assumptions'!K20*'Active Mode Assumptions'!K24</f>
        <v>150.06215562675192</v>
      </c>
    </row>
    <row r="20" spans="1:11" x14ac:dyDescent="0.25">
      <c r="A20" t="str">
        <f ca="1">OFFSET(Auckland_Reference,28,2)</f>
        <v>Taxi/Vehicle Share</v>
      </c>
      <c r="B20" s="4">
        <f ca="1">B163*'Total Duration Tables Sup #1'!B20*(1+'Other Assumptions'!D$45)</f>
        <v>1.9131795197999999</v>
      </c>
      <c r="C20" s="4">
        <f ca="1">C163*'Total Duration Tables Sup #1'!C20*(1+'Other Assumptions'!G$45)</f>
        <v>2.3006429781884963</v>
      </c>
      <c r="D20" s="4">
        <f ca="1">D163*'Total Duration Tables Sup #1'!D20*(1+'Other Assumptions'!H$45)</f>
        <v>2.5702303743585855</v>
      </c>
      <c r="E20" s="4">
        <f ca="1">E163*'Total Duration Tables Sup #1'!E20*(1+'Other Assumptions'!I$45)</f>
        <v>2.7827448796544889</v>
      </c>
      <c r="F20" s="4">
        <f ca="1">F163*'Total Duration Tables Sup #1'!F20*(1+'Other Assumptions'!J$45)</f>
        <v>2.9615404702521619</v>
      </c>
      <c r="G20" s="4">
        <f ca="1">G163*'Total Duration Tables Sup #1'!G20*(1+'Other Assumptions'!K$45)</f>
        <v>3.0804435852197769</v>
      </c>
      <c r="H20" s="4">
        <f ca="1">H163*'Total Duration Tables Sup #1'!H20*(1+'Other Assumptions'!L$45)</f>
        <v>3.1814813278194496</v>
      </c>
      <c r="I20" s="4">
        <f ca="1">I163*'Total Duration Tables Sup #1'!I20*(1+'Other Assumptions'!M$45)</f>
        <v>3.2348185205716087</v>
      </c>
      <c r="J20" s="4">
        <f ca="1">J163*'Total Duration Tables Sup #1'!J20*(1+'Other Assumptions'!N$45)</f>
        <v>3.2769310094835702</v>
      </c>
      <c r="K20" s="4">
        <f ca="1">K163*'Total Duration Tables Sup #1'!K20*(1+'Other Assumptions'!O$45)</f>
        <v>3.310715859308087</v>
      </c>
    </row>
    <row r="21" spans="1:11" x14ac:dyDescent="0.25">
      <c r="A21" t="str">
        <f ca="1">OFFSET(Auckland_Reference,35,2)</f>
        <v>Motorcyclist</v>
      </c>
      <c r="B21" s="4">
        <f ca="1">B164*'Total Duration Tables Sup #1'!B21*(1+'Other Assumptions'!D$45)</f>
        <v>1.5334409518000001</v>
      </c>
      <c r="C21" s="4">
        <f ca="1">C164*'Total Duration Tables Sup #1'!C21*(1+'Other Assumptions'!G$45)</f>
        <v>1.7578312076461207</v>
      </c>
      <c r="D21" s="4">
        <f ca="1">D164*'Total Duration Tables Sup #1'!D21*(1+'Other Assumptions'!H$45)</f>
        <v>1.8723543222998096</v>
      </c>
      <c r="E21" s="4">
        <f ca="1">E164*'Total Duration Tables Sup #1'!E21*(1+'Other Assumptions'!I$45)</f>
        <v>1.9446385273829434</v>
      </c>
      <c r="F21" s="4">
        <f ca="1">F164*'Total Duration Tables Sup #1'!F21*(1+'Other Assumptions'!J$45)</f>
        <v>2.003182533157529</v>
      </c>
      <c r="G21" s="4">
        <f ca="1">G164*'Total Duration Tables Sup #1'!G21*(1+'Other Assumptions'!K$45)</f>
        <v>2.0268236493560905</v>
      </c>
      <c r="H21" s="4">
        <f ca="1">H164*'Total Duration Tables Sup #1'!H21*(1+'Other Assumptions'!L$45)</f>
        <v>2.0353575272632258</v>
      </c>
      <c r="I21" s="4">
        <f ca="1">I164*'Total Duration Tables Sup #1'!I21*(1+'Other Assumptions'!M$45)</f>
        <v>2.083858588981474</v>
      </c>
      <c r="J21" s="4">
        <f ca="1">J164*'Total Duration Tables Sup #1'!J21*(1+'Other Assumptions'!N$45)</f>
        <v>2.1256386274813659</v>
      </c>
      <c r="K21" s="4">
        <f ca="1">K164*'Total Duration Tables Sup #1'!K21*(1+'Other Assumptions'!O$45)</f>
        <v>2.1624345056049532</v>
      </c>
    </row>
    <row r="22" spans="1:11" x14ac:dyDescent="0.25">
      <c r="A22" t="str">
        <f ca="1">OFFSET(Auckland_Reference,42,2)</f>
        <v>Local Train</v>
      </c>
      <c r="B22" s="4">
        <f ca="1">'Total Duration Tables Sup #1'!B22*(1+'PT Assumptions'!B11)*(1+'Other Assumptions'!D$45)</f>
        <v>5.3839181294388831</v>
      </c>
      <c r="C22" s="4">
        <f ca="1">'Total Duration Tables Sup #1'!C22*(1+'PT Assumptions'!C11)*(1+'Other Assumptions'!G$45)</f>
        <v>11.074578130869721</v>
      </c>
      <c r="D22" s="4">
        <f ca="1">'Total Duration Tables Sup #1'!D22*(1+'PT Assumptions'!D11)*(1+'Other Assumptions'!H$45)</f>
        <v>21.839794770443245</v>
      </c>
      <c r="E22" s="4">
        <f ca="1">'Total Duration Tables Sup #1'!E22*(1+'PT Assumptions'!E11)*(1+'Other Assumptions'!I$45)</f>
        <v>31.53544472951382</v>
      </c>
      <c r="F22" s="4">
        <f ca="1">'Total Duration Tables Sup #1'!F22*(1+'PT Assumptions'!F11)*(1+'Other Assumptions'!J$45)</f>
        <v>35.238193121858139</v>
      </c>
      <c r="G22" s="4">
        <f ca="1">'Total Duration Tables Sup #1'!G22*(1+'PT Assumptions'!G11)*(1+'Other Assumptions'!K$45)</f>
        <v>38.518961716011638</v>
      </c>
      <c r="H22" s="4">
        <f ca="1">'Total Duration Tables Sup #1'!H22*(1+'PT Assumptions'!H11)*(1+'Other Assumptions'!L$45)</f>
        <v>41.364812303611785</v>
      </c>
      <c r="I22" s="4">
        <f ca="1">'Total Duration Tables Sup #1'!I22*(1+'PT Assumptions'!I11)*(1+'Other Assumptions'!M$45)</f>
        <v>45.026258287366758</v>
      </c>
      <c r="J22" s="4">
        <f ca="1">'Total Duration Tables Sup #1'!J22*(1+'PT Assumptions'!J11)*(1+'Other Assumptions'!N$45)</f>
        <v>48.766261456450842</v>
      </c>
      <c r="K22" s="4">
        <f ca="1">'Total Duration Tables Sup #1'!K22*(1+'PT Assumptions'!K11)*(1+'Other Assumptions'!O$45)</f>
        <v>52.788354308555483</v>
      </c>
    </row>
    <row r="23" spans="1:11" x14ac:dyDescent="0.25">
      <c r="A23" t="str">
        <f ca="1">OFFSET(Auckland_Reference,49,2)</f>
        <v>Local Bus</v>
      </c>
      <c r="B23" s="4">
        <f ca="1">'Total Duration Tables Sup #1'!B23*(1+'PT Assumptions'!B23)*(1+'Other Assumptions'!D$45)</f>
        <v>22.597670440041398</v>
      </c>
      <c r="C23" s="4">
        <f ca="1">'Total Duration Tables Sup #1'!C23*(1+'PT Assumptions'!C23)*(1+'Other Assumptions'!G$45)</f>
        <v>24.781314290799855</v>
      </c>
      <c r="D23" s="4">
        <f ca="1">'Total Duration Tables Sup #1'!D23*(1+'PT Assumptions'!D23)*(1+'Other Assumptions'!H$45)</f>
        <v>32.53408059712978</v>
      </c>
      <c r="E23" s="4">
        <f ca="1">'Total Duration Tables Sup #1'!E23*(1+'PT Assumptions'!E23)*(1+'Other Assumptions'!I$45)</f>
        <v>38.565889802480257</v>
      </c>
      <c r="F23" s="4">
        <f ca="1">'Total Duration Tables Sup #1'!F23*(1+'PT Assumptions'!F23)*(1+'Other Assumptions'!J$45)</f>
        <v>40.74764317830293</v>
      </c>
      <c r="G23" s="4">
        <f ca="1">'Total Duration Tables Sup #1'!G23*(1+'PT Assumptions'!G23)*(1+'Other Assumptions'!K$45)</f>
        <v>42.362191298464957</v>
      </c>
      <c r="H23" s="4">
        <f ca="1">'Total Duration Tables Sup #1'!H23*(1+'PT Assumptions'!H23)*(1+'Other Assumptions'!L$45)</f>
        <v>43.48371088178726</v>
      </c>
      <c r="I23" s="4">
        <f ca="1">'Total Duration Tables Sup #1'!I23*(1+'PT Assumptions'!I23)*(1+'Other Assumptions'!M$45)</f>
        <v>46.440253211731587</v>
      </c>
      <c r="J23" s="4">
        <f ca="1">'Total Duration Tables Sup #1'!J23*(1+'PT Assumptions'!J23)*(1+'Other Assumptions'!N$45)</f>
        <v>49.420711571195497</v>
      </c>
      <c r="K23" s="4">
        <f ca="1">'Total Duration Tables Sup #1'!K23*(1+'PT Assumptions'!K23)*(1+'Other Assumptions'!O$45)</f>
        <v>52.564007073783188</v>
      </c>
    </row>
    <row r="24" spans="1:11" x14ac:dyDescent="0.25">
      <c r="A24" t="str">
        <f ca="1">OFFSET(Auckland_Reference,56,2)</f>
        <v>Local Ferry</v>
      </c>
      <c r="B24" s="4">
        <f ca="1">B167*'Total Duration Tables Sup #1'!B24*(1+'PT Assumptions'!B34)*(1+'Other Assumptions'!D$45)</f>
        <v>1.3948644118033415</v>
      </c>
      <c r="C24" s="4">
        <f ca="1">C167*'Total Duration Tables Sup #1'!C24*(1+'PT Assumptions'!C34)*(1+'Other Assumptions'!G$45)</f>
        <v>1.6435488752656755</v>
      </c>
      <c r="D24" s="4">
        <f ca="1">D167*'Total Duration Tables Sup #1'!D24*(1+'PT Assumptions'!D34)*(1+'Other Assumptions'!H$45)</f>
        <v>1.7874298590558957</v>
      </c>
      <c r="E24" s="4">
        <f ca="1">E167*'Total Duration Tables Sup #1'!E24*(1+'PT Assumptions'!E34)*(1+'Other Assumptions'!I$45)</f>
        <v>1.8724514195006947</v>
      </c>
      <c r="F24" s="4">
        <f ca="1">F167*'Total Duration Tables Sup #1'!F24*(1+'PT Assumptions'!F34)*(1+'Other Assumptions'!J$45)</f>
        <v>1.9268384717225777</v>
      </c>
      <c r="G24" s="4">
        <f ca="1">G167*'Total Duration Tables Sup #1'!G24*(1+'PT Assumptions'!G34)*(1+'Other Assumptions'!K$45)</f>
        <v>2.0063656911537984</v>
      </c>
      <c r="H24" s="4">
        <f ca="1">H167*'Total Duration Tables Sup #1'!H24*(1+'PT Assumptions'!H34)*(1+'Other Assumptions'!L$45)</f>
        <v>2.065013934439472</v>
      </c>
      <c r="I24" s="4">
        <f ca="1">I167*'Total Duration Tables Sup #1'!I24*(1+'PT Assumptions'!I34)*(1+'Other Assumptions'!M$45)</f>
        <v>2.0727661423118571</v>
      </c>
      <c r="J24" s="4">
        <f ca="1">J167*'Total Duration Tables Sup #1'!J24*(1+'PT Assumptions'!J34)*(1+'Other Assumptions'!N$45)</f>
        <v>2.0733398573049224</v>
      </c>
      <c r="K24" s="4">
        <f ca="1">K167*'Total Duration Tables Sup #1'!K24*(1+'PT Assumptions'!K34)*(1+'Other Assumptions'!O$45)</f>
        <v>2.0688231648075197</v>
      </c>
    </row>
    <row r="25" spans="1:11" x14ac:dyDescent="0.25">
      <c r="A25" t="str">
        <f ca="1">OFFSET(Auckland_Reference,63,2)</f>
        <v>Other Household Travel</v>
      </c>
      <c r="B25" s="4">
        <f ca="1">B168*'Total Duration Tables Sup #1'!B25*(1+'Other Assumptions'!D$45)</f>
        <v>2.4325058500000001</v>
      </c>
      <c r="C25" s="4">
        <f ca="1">C168*'Total Duration Tables Sup #1'!C25*(1+'Other Assumptions'!G$45)</f>
        <v>2.7995549002528421</v>
      </c>
      <c r="D25" s="4">
        <f ca="1">D168*'Total Duration Tables Sup #1'!D25*(1+'Other Assumptions'!H$45)</f>
        <v>3.0167974017064245</v>
      </c>
      <c r="E25" s="4">
        <f ca="1">E168*'Total Duration Tables Sup #1'!E25*(1+'Other Assumptions'!I$45)</f>
        <v>3.127544033384571</v>
      </c>
      <c r="F25" s="4">
        <f ca="1">F168*'Total Duration Tables Sup #1'!F25*(1+'Other Assumptions'!J$45)</f>
        <v>3.2054870114975493</v>
      </c>
      <c r="G25" s="4">
        <f ca="1">G168*'Total Duration Tables Sup #1'!G25*(1+'Other Assumptions'!K$45)</f>
        <v>3.2854482508543796</v>
      </c>
      <c r="H25" s="4">
        <f ca="1">H168*'Total Duration Tables Sup #1'!H25*(1+'Other Assumptions'!L$45)</f>
        <v>3.3363257272918476</v>
      </c>
      <c r="I25" s="4">
        <f ca="1">I168*'Total Duration Tables Sup #1'!I25*(1+'Other Assumptions'!M$45)</f>
        <v>3.3874137300605973</v>
      </c>
      <c r="J25" s="4">
        <f ca="1">J168*'Total Duration Tables Sup #1'!J25*(1+'Other Assumptions'!N$45)</f>
        <v>3.4267507010728222</v>
      </c>
      <c r="K25" s="4">
        <f ca="1">K168*'Total Duration Tables Sup #1'!K25*(1+'Other Assumptions'!O$45)</f>
        <v>3.4574142896345577</v>
      </c>
    </row>
    <row r="26" spans="1:11" x14ac:dyDescent="0.25">
      <c r="A26" t="str">
        <f ca="1">OFFSET(Waikato_Reference,0,0)</f>
        <v>03 WAIKATO</v>
      </c>
    </row>
    <row r="27" spans="1:11" x14ac:dyDescent="0.25">
      <c r="A27" t="str">
        <f ca="1">OFFSET(Waikato_Reference,0,2)</f>
        <v>Pedestrian</v>
      </c>
      <c r="B27" s="4">
        <f ca="1">B159*'Total Duration Tables Sup #1'!B27*(1+'Other Assumptions'!D$46)*(1+'Active Mode Assumptions'!B11)</f>
        <v>13.69170819</v>
      </c>
      <c r="C27" s="4">
        <f ca="1">C159*'Total Duration Tables Sup #1'!C27*(1+'Other Assumptions'!G$46)*(1+'Active Mode Assumptions'!C11)</f>
        <v>14.805464121284944</v>
      </c>
      <c r="D27" s="4">
        <f ca="1">D159*'Total Duration Tables Sup #1'!D27*(1+'Other Assumptions'!H$46)*(1+'Active Mode Assumptions'!D11)</f>
        <v>16.260622185486625</v>
      </c>
      <c r="E27" s="4">
        <f ca="1">E159*'Total Duration Tables Sup #1'!E27*(1+'Other Assumptions'!I$46)*(1+'Active Mode Assumptions'!E11)</f>
        <v>17.492196098268394</v>
      </c>
      <c r="F27" s="4">
        <f ca="1">F159*'Total Duration Tables Sup #1'!F27*(1+'Other Assumptions'!J$46)*(1+'Active Mode Assumptions'!F11)</f>
        <v>18.565727420096248</v>
      </c>
      <c r="G27" s="4">
        <f ca="1">G159*'Total Duration Tables Sup #1'!G27*(1+'Other Assumptions'!K$46)*(1+'Active Mode Assumptions'!G11)</f>
        <v>19.562005843841181</v>
      </c>
      <c r="H27" s="4">
        <f ca="1">H159*'Total Duration Tables Sup #1'!H27*(1+'Other Assumptions'!L$46)*(1+'Active Mode Assumptions'!H11)</f>
        <v>20.486447908367889</v>
      </c>
      <c r="I27" s="4">
        <f ca="1">I159*'Total Duration Tables Sup #1'!I27*(1+'Other Assumptions'!M$46)*(1+'Active Mode Assumptions'!I11)</f>
        <v>20.905848942666257</v>
      </c>
      <c r="J27" s="4">
        <f ca="1">J159*'Total Duration Tables Sup #1'!J27*(1+'Other Assumptions'!N$46)*(1+'Active Mode Assumptions'!J11)</f>
        <v>21.266142797933938</v>
      </c>
      <c r="K27" s="4">
        <f ca="1">K159*'Total Duration Tables Sup #1'!K27*(1+'Other Assumptions'!O$46)*(1+'Active Mode Assumptions'!K11)</f>
        <v>21.58637117288303</v>
      </c>
    </row>
    <row r="28" spans="1:11" x14ac:dyDescent="0.25">
      <c r="A28" t="str">
        <f ca="1">OFFSET(Waikato_Reference,7,2)</f>
        <v>Cyclist</v>
      </c>
      <c r="B28" s="4">
        <f ca="1">B160*'Total Duration Tables Sup #1'!B28*(1+'Other Assumptions'!D$46)*(1+'Active Mode Assumptions'!B20)</f>
        <v>1.7805943500000001</v>
      </c>
      <c r="C28" s="4">
        <f ca="1">C160*'Total Duration Tables Sup #1'!C28*(1+'Other Assumptions'!G$46)*(1+'Active Mode Assumptions'!C20)</f>
        <v>1.9752658082783356</v>
      </c>
      <c r="D28" s="4">
        <f ca="1">D160*'Total Duration Tables Sup #1'!D28*(1+'Other Assumptions'!H$46)*(1+'Active Mode Assumptions'!D20)</f>
        <v>2.8945278025183896</v>
      </c>
      <c r="E28" s="4">
        <f ca="1">E160*'Total Duration Tables Sup #1'!E28*(1+'Other Assumptions'!I$46)*(1+'Active Mode Assumptions'!E20)</f>
        <v>3.8071082361810542</v>
      </c>
      <c r="F28" s="4">
        <f ca="1">F160*'Total Duration Tables Sup #1'!F28*(1+'Other Assumptions'!J$46)*(1+'Active Mode Assumptions'!F20)</f>
        <v>4.7894405614471882</v>
      </c>
      <c r="G28" s="4">
        <f ca="1">G160*'Total Duration Tables Sup #1'!G28*(1+'Other Assumptions'!K$46)*(1+'Active Mode Assumptions'!G20)</f>
        <v>5.8775109217757304</v>
      </c>
      <c r="H28" s="4">
        <f ca="1">H160*'Total Duration Tables Sup #1'!H28*(1+'Other Assumptions'!L$46)*(1+'Active Mode Assumptions'!H20)</f>
        <v>7.0404500068362221</v>
      </c>
      <c r="I28" s="4">
        <f ca="1">I160*'Total Duration Tables Sup #1'!I28*(1+'Other Assumptions'!M$46)*(1+'Active Mode Assumptions'!I20)</f>
        <v>7.2188085626988538</v>
      </c>
      <c r="J28" s="4">
        <f ca="1">J160*'Total Duration Tables Sup #1'!J28*(1+'Other Assumptions'!N$46)*(1+'Active Mode Assumptions'!J20)</f>
        <v>7.3785402917333878</v>
      </c>
      <c r="K28" s="4">
        <f ca="1">K160*'Total Duration Tables Sup #1'!K28*(1+'Other Assumptions'!O$46)*(1+'Active Mode Assumptions'!K20)</f>
        <v>7.5260122124492623</v>
      </c>
    </row>
    <row r="29" spans="1:11" x14ac:dyDescent="0.25">
      <c r="A29" t="str">
        <f ca="1">OFFSET(Waikato_Reference,14,2)</f>
        <v>Light Vehicle Driver</v>
      </c>
      <c r="B29" s="4">
        <f ca="1">B161*'Total Duration Tables Sup #1'!B29*(1+'Other Assumptions'!D$46)-(B27*'Active Mode Assumptions'!B11*'Active Mode Assumptions'!B14/(1+'Active Mode Assumptions'!B11))-(B28*'Active Mode Assumptions'!B20*'Active Mode Assumptions'!B23/(1+'Active Mode Assumptions'!B20))</f>
        <v>82.274552721999996</v>
      </c>
      <c r="C29" s="4">
        <f ca="1">C161*'Total Duration Tables Sup #1'!C29*(1+'Other Assumptions'!G$46)-(C27*'Active Mode Assumptions'!C11*'Active Mode Assumptions'!C14/(1+'Active Mode Assumptions'!C11))-(C28*'Active Mode Assumptions'!C20*'Active Mode Assumptions'!C23/(1+'Active Mode Assumptions'!C20))</f>
        <v>92.012512781141893</v>
      </c>
      <c r="D29" s="4">
        <f ca="1">D161*'Total Duration Tables Sup #1'!D29*(1+'Other Assumptions'!H$46)-(D27*'Active Mode Assumptions'!D11*'Active Mode Assumptions'!D14/(1+'Active Mode Assumptions'!D11))-(D28*'Active Mode Assumptions'!D20*'Active Mode Assumptions'!D23/(1+'Active Mode Assumptions'!D20))</f>
        <v>96.787582669119587</v>
      </c>
      <c r="E29" s="4">
        <f ca="1">E161*'Total Duration Tables Sup #1'!E29*(1+'Other Assumptions'!I$46)-(E27*'Active Mode Assumptions'!E11*'Active Mode Assumptions'!E14/(1+'Active Mode Assumptions'!E11))-(E28*'Active Mode Assumptions'!E20*'Active Mode Assumptions'!E23/(1+'Active Mode Assumptions'!E20))</f>
        <v>100.85262172279238</v>
      </c>
      <c r="F29" s="4">
        <f ca="1">F161*'Total Duration Tables Sup #1'!F29*(1+'Other Assumptions'!J$46)-(F27*'Active Mode Assumptions'!F11*'Active Mode Assumptions'!F14/(1+'Active Mode Assumptions'!F11))-(F28*'Active Mode Assumptions'!F20*'Active Mode Assumptions'!F23/(1+'Active Mode Assumptions'!F20))</f>
        <v>104.43670380119516</v>
      </c>
      <c r="G29" s="4">
        <f ca="1">G161*'Total Duration Tables Sup #1'!G29*(1+'Other Assumptions'!K$46)-(G27*'Active Mode Assumptions'!G11*'Active Mode Assumptions'!G14/(1+'Active Mode Assumptions'!G11))-(G28*'Active Mode Assumptions'!G20*'Active Mode Assumptions'!G23/(1+'Active Mode Assumptions'!G20))</f>
        <v>106.95356616844165</v>
      </c>
      <c r="H29" s="4">
        <f ca="1">H161*'Total Duration Tables Sup #1'!H29*(1+'Other Assumptions'!L$46)-(H27*'Active Mode Assumptions'!H11*'Active Mode Assumptions'!H14/(1+'Active Mode Assumptions'!H11))-(H28*'Active Mode Assumptions'!H20*'Active Mode Assumptions'!H23/(1+'Active Mode Assumptions'!H20))</f>
        <v>108.9874184904279</v>
      </c>
      <c r="I29" s="4">
        <f ca="1">I161*'Total Duration Tables Sup #1'!I29*(1+'Other Assumptions'!M$46)-(I27*'Active Mode Assumptions'!I11*'Active Mode Assumptions'!I14/(1+'Active Mode Assumptions'!I11))-(I28*'Active Mode Assumptions'!I20*'Active Mode Assumptions'!I23/(1+'Active Mode Assumptions'!I20))</f>
        <v>111.1663786140757</v>
      </c>
      <c r="J29" s="4">
        <f ca="1">J161*'Total Duration Tables Sup #1'!J29*(1+'Other Assumptions'!N$46)-(J27*'Active Mode Assumptions'!J11*'Active Mode Assumptions'!J14/(1+'Active Mode Assumptions'!J11))-(J28*'Active Mode Assumptions'!J20*'Active Mode Assumptions'!J23/(1+'Active Mode Assumptions'!J20))</f>
        <v>113.029278110009</v>
      </c>
      <c r="K29" s="4">
        <f ca="1">K161*'Total Duration Tables Sup #1'!K29*(1+'Other Assumptions'!O$46)-(K27*'Active Mode Assumptions'!K11*'Active Mode Assumptions'!K14/(1+'Active Mode Assumptions'!K11))-(K28*'Active Mode Assumptions'!K20*'Active Mode Assumptions'!K23/(1+'Active Mode Assumptions'!K20))</f>
        <v>114.67779161203077</v>
      </c>
    </row>
    <row r="30" spans="1:11" x14ac:dyDescent="0.25">
      <c r="A30" t="str">
        <f ca="1">OFFSET(Waikato_Reference,21,2)</f>
        <v>Light Vehicle Passenger</v>
      </c>
      <c r="B30" s="4">
        <f ca="1">B162*'Total Duration Tables Sup #1'!B30*(1+'Other Assumptions'!D$46)-(B27*'Active Mode Assumptions'!B11*'Active Mode Assumptions'!B15/(1+'Active Mode Assumptions'!B11))-(B28*'Active Mode Assumptions'!B20*'Active Mode Assumptions'!B24/(1+'Active Mode Assumptions'!B20))</f>
        <v>42.037273755000001</v>
      </c>
      <c r="C30" s="4">
        <f ca="1">C162*'Total Duration Tables Sup #1'!C30*(1+'Other Assumptions'!G$46)-(C27*'Active Mode Assumptions'!C11*'Active Mode Assumptions'!C15/(1+'Active Mode Assumptions'!C11))-(C28*'Active Mode Assumptions'!C20*'Active Mode Assumptions'!C24/(1+'Active Mode Assumptions'!C20))</f>
        <v>45.055133758250513</v>
      </c>
      <c r="D30" s="4">
        <f ca="1">D162*'Total Duration Tables Sup #1'!D30*(1+'Other Assumptions'!H$46)-(D27*'Active Mode Assumptions'!D11*'Active Mode Assumptions'!D15/(1+'Active Mode Assumptions'!D11))-(D28*'Active Mode Assumptions'!D20*'Active Mode Assumptions'!D24/(1+'Active Mode Assumptions'!D20))</f>
        <v>46.05903132531575</v>
      </c>
      <c r="E30" s="4">
        <f ca="1">E162*'Total Duration Tables Sup #1'!E30*(1+'Other Assumptions'!I$46)-(E27*'Active Mode Assumptions'!E11*'Active Mode Assumptions'!E15/(1+'Active Mode Assumptions'!E11))-(E28*'Active Mode Assumptions'!E20*'Active Mode Assumptions'!E24/(1+'Active Mode Assumptions'!E20))</f>
        <v>46.64532277086186</v>
      </c>
      <c r="F30" s="4">
        <f ca="1">F162*'Total Duration Tables Sup #1'!F30*(1+'Other Assumptions'!J$46)-(F27*'Active Mode Assumptions'!F11*'Active Mode Assumptions'!F15/(1+'Active Mode Assumptions'!F11))-(F28*'Active Mode Assumptions'!F20*'Active Mode Assumptions'!F24/(1+'Active Mode Assumptions'!F20))</f>
        <v>46.89176932680104</v>
      </c>
      <c r="G30" s="4">
        <f ca="1">G162*'Total Duration Tables Sup #1'!G30*(1+'Other Assumptions'!K$46)-(G27*'Active Mode Assumptions'!G11*'Active Mode Assumptions'!G15/(1+'Active Mode Assumptions'!G11))-(G28*'Active Mode Assumptions'!G20*'Active Mode Assumptions'!G24/(1+'Active Mode Assumptions'!G20))</f>
        <v>46.795365254472067</v>
      </c>
      <c r="H30" s="4">
        <f ca="1">H162*'Total Duration Tables Sup #1'!H30*(1+'Other Assumptions'!L$46)-(H27*'Active Mode Assumptions'!H11*'Active Mode Assumptions'!H15/(1+'Active Mode Assumptions'!H11))-(H28*'Active Mode Assumptions'!H20*'Active Mode Assumptions'!H24/(1+'Active Mode Assumptions'!H20))</f>
        <v>46.447823493138046</v>
      </c>
      <c r="I30" s="4">
        <f ca="1">I162*'Total Duration Tables Sup #1'!I30*(1+'Other Assumptions'!M$46)-(I27*'Active Mode Assumptions'!I11*'Active Mode Assumptions'!I15/(1+'Active Mode Assumptions'!I11))-(I28*'Active Mode Assumptions'!I20*'Active Mode Assumptions'!I24/(1+'Active Mode Assumptions'!I20))</f>
        <v>47.421889318693033</v>
      </c>
      <c r="J30" s="4">
        <f ca="1">J162*'Total Duration Tables Sup #1'!J30*(1+'Other Assumptions'!N$46)-(J27*'Active Mode Assumptions'!J11*'Active Mode Assumptions'!J15/(1+'Active Mode Assumptions'!J11))-(J28*'Active Mode Assumptions'!J20*'Active Mode Assumptions'!J24/(1+'Active Mode Assumptions'!J20))</f>
        <v>48.262529705998581</v>
      </c>
      <c r="K30" s="4">
        <f ca="1">K162*'Total Duration Tables Sup #1'!K30*(1+'Other Assumptions'!O$46)-(K27*'Active Mode Assumptions'!K11*'Active Mode Assumptions'!K15/(1+'Active Mode Assumptions'!K11))-(K28*'Active Mode Assumptions'!K20*'Active Mode Assumptions'!K24/(1+'Active Mode Assumptions'!K20))</f>
        <v>49.012779527923747</v>
      </c>
    </row>
    <row r="31" spans="1:11" x14ac:dyDescent="0.25">
      <c r="A31" t="str">
        <f ca="1">OFFSET(Waikato_Reference,28,2)</f>
        <v>Taxi/Vehicle Share</v>
      </c>
      <c r="B31" s="4">
        <f ca="1">B163*'Total Duration Tables Sup #1'!B31*(1+'Other Assumptions'!D$46)</f>
        <v>0.1633822556</v>
      </c>
      <c r="C31" s="4">
        <f ca="1">C163*'Total Duration Tables Sup #1'!C31*(1+'Other Assumptions'!G$46)</f>
        <v>0.18989601211708984</v>
      </c>
      <c r="D31" s="4">
        <f ca="1">D163*'Total Duration Tables Sup #1'!D31*(1+'Other Assumptions'!H$46)</f>
        <v>0.2090599390331101</v>
      </c>
      <c r="E31" s="4">
        <f ca="1">E163*'Total Duration Tables Sup #1'!E31*(1+'Other Assumptions'!I$46)</f>
        <v>0.22510451047728899</v>
      </c>
      <c r="F31" s="4">
        <f ca="1">F163*'Total Duration Tables Sup #1'!F31*(1+'Other Assumptions'!J$46)</f>
        <v>0.23878677442727314</v>
      </c>
      <c r="G31" s="4">
        <f ca="1">G163*'Total Duration Tables Sup #1'!G31*(1+'Other Assumptions'!K$46)</f>
        <v>0.24814662361428411</v>
      </c>
      <c r="H31" s="4">
        <f ca="1">H163*'Total Duration Tables Sup #1'!H31*(1+'Other Assumptions'!L$46)</f>
        <v>0.25653141629823101</v>
      </c>
      <c r="I31" s="4">
        <f ca="1">I163*'Total Duration Tables Sup #1'!I31*(1+'Other Assumptions'!M$46)</f>
        <v>0.26121113720068434</v>
      </c>
      <c r="J31" s="4">
        <f ca="1">J163*'Total Duration Tables Sup #1'!J31*(1+'Other Assumptions'!N$46)</f>
        <v>0.26513315479052774</v>
      </c>
      <c r="K31" s="4">
        <f ca="1">K163*'Total Duration Tables Sup #1'!K31*(1+'Other Assumptions'!O$46)</f>
        <v>0.26853974195907748</v>
      </c>
    </row>
    <row r="32" spans="1:11" x14ac:dyDescent="0.25">
      <c r="A32" t="str">
        <f ca="1">OFFSET(Waikato_Reference,35,2)</f>
        <v>Motorcyclist</v>
      </c>
      <c r="B32" s="4">
        <f ca="1">B164*'Total Duration Tables Sup #1'!B32*(1+'Other Assumptions'!D$46)</f>
        <v>0.60639269429999998</v>
      </c>
      <c r="C32" s="4">
        <f ca="1">C164*'Total Duration Tables Sup #1'!C32*(1+'Other Assumptions'!G$46)</f>
        <v>0.67186423816810859</v>
      </c>
      <c r="D32" s="4">
        <f ca="1">D164*'Total Duration Tables Sup #1'!D32*(1+'Other Assumptions'!H$46)</f>
        <v>0.70521987620623372</v>
      </c>
      <c r="E32" s="4">
        <f ca="1">E164*'Total Duration Tables Sup #1'!E32*(1+'Other Assumptions'!I$46)</f>
        <v>0.72842933875461879</v>
      </c>
      <c r="F32" s="4">
        <f ca="1">F164*'Total Duration Tables Sup #1'!F32*(1+'Other Assumptions'!J$46)</f>
        <v>0.74791261891735739</v>
      </c>
      <c r="G32" s="4">
        <f ca="1">G164*'Total Duration Tables Sup #1'!G32*(1+'Other Assumptions'!K$46)</f>
        <v>0.75604703169834386</v>
      </c>
      <c r="H32" s="4">
        <f ca="1">H164*'Total Duration Tables Sup #1'!H32*(1+'Other Assumptions'!L$46)</f>
        <v>0.75995806212610262</v>
      </c>
      <c r="I32" s="4">
        <f ca="1">I164*'Total Duration Tables Sup #1'!I32*(1+'Other Assumptions'!M$46)</f>
        <v>0.77919786174169869</v>
      </c>
      <c r="J32" s="4">
        <f ca="1">J164*'Total Duration Tables Sup #1'!J32*(1+'Other Assumptions'!N$46)</f>
        <v>0.79638654450423729</v>
      </c>
      <c r="K32" s="4">
        <f ca="1">K164*'Total Duration Tables Sup #1'!K32*(1+'Other Assumptions'!O$46)</f>
        <v>0.81220818085996005</v>
      </c>
    </row>
    <row r="33" spans="1:11" x14ac:dyDescent="0.25">
      <c r="A33" t="str">
        <f ca="1">OFFSET(Waikato_Reference,42,2)</f>
        <v>Local Train</v>
      </c>
      <c r="B33" s="4">
        <f ca="1">B165*'Total Duration Tables Sup #1'!B33*(1+'Other Assumptions'!D$46)</f>
        <v>0</v>
      </c>
      <c r="C33" s="4">
        <f ca="1">C165*'Total Duration Tables Sup #1'!C33*(1+'Other Assumptions'!G$46)</f>
        <v>0</v>
      </c>
      <c r="D33" s="4">
        <f ca="1">D165*'Total Duration Tables Sup #1'!D33*(1+'Other Assumptions'!H$46)</f>
        <v>0</v>
      </c>
      <c r="E33" s="4">
        <f ca="1">E165*'Total Duration Tables Sup #1'!E33*(1+'Other Assumptions'!I$46)</f>
        <v>0</v>
      </c>
      <c r="F33" s="4">
        <f ca="1">F165*'Total Duration Tables Sup #1'!F33*(1+'Other Assumptions'!J$46)</f>
        <v>0</v>
      </c>
      <c r="G33" s="4">
        <f ca="1">G165*'Total Duration Tables Sup #1'!G33*(1+'Other Assumptions'!K$46)</f>
        <v>0</v>
      </c>
      <c r="H33" s="4">
        <f ca="1">H165*'Total Duration Tables Sup #1'!H33*(1+'Other Assumptions'!L$46)</f>
        <v>0</v>
      </c>
      <c r="I33" s="4">
        <f ca="1">I165*'Total Duration Tables Sup #1'!I33*(1+'Other Assumptions'!M$46)</f>
        <v>0</v>
      </c>
      <c r="J33" s="4">
        <f ca="1">J165*'Total Duration Tables Sup #1'!J33*(1+'Other Assumptions'!N$46)</f>
        <v>0</v>
      </c>
      <c r="K33" s="4">
        <f ca="1">K165*'Total Duration Tables Sup #1'!K33*(1+'Other Assumptions'!O$46)</f>
        <v>0</v>
      </c>
    </row>
    <row r="34" spans="1:11" x14ac:dyDescent="0.25">
      <c r="A34" t="str">
        <f ca="1">OFFSET(Waikato_Reference,49,2)</f>
        <v>Local Bus</v>
      </c>
      <c r="B34" s="4">
        <f ca="1">B166*'Total Duration Tables Sup #1'!B34*(1+'Other Assumptions'!D$46)</f>
        <v>2.2088814398999999</v>
      </c>
      <c r="C34" s="4">
        <f ca="1">C166*'Total Duration Tables Sup #1'!C34*(1+'Other Assumptions'!G$46)</f>
        <v>2.2240494994792575</v>
      </c>
      <c r="D34" s="4">
        <f ca="1">D166*'Total Duration Tables Sup #1'!D34*(1+'Other Assumptions'!H$46)</f>
        <v>2.2042425204420644</v>
      </c>
      <c r="E34" s="4">
        <f ca="1">E166*'Total Duration Tables Sup #1'!E34*(1+'Other Assumptions'!I$46)</f>
        <v>2.1962041736275242</v>
      </c>
      <c r="F34" s="4">
        <f ca="1">F166*'Total Duration Tables Sup #1'!F34*(1+'Other Assumptions'!J$46)</f>
        <v>2.1590217106604173</v>
      </c>
      <c r="G34" s="4">
        <f ca="1">G166*'Total Duration Tables Sup #1'!G34*(1+'Other Assumptions'!K$46)</f>
        <v>2.1339694193933285</v>
      </c>
      <c r="H34" s="4">
        <f ca="1">H166*'Total Duration Tables Sup #1'!H34*(1+'Other Assumptions'!L$46)</f>
        <v>2.1002945203919432</v>
      </c>
      <c r="I34" s="4">
        <f ca="1">I166*'Total Duration Tables Sup #1'!I34*(1+'Other Assumptions'!M$46)</f>
        <v>2.1474279610853304</v>
      </c>
      <c r="J34" s="4">
        <f ca="1">J166*'Total Duration Tables Sup #1'!J34*(1+'Other Assumptions'!N$46)</f>
        <v>2.1886401391450239</v>
      </c>
      <c r="K34" s="4">
        <f ca="1">K166*'Total Duration Tables Sup #1'!K34*(1+'Other Assumptions'!O$46)</f>
        <v>2.2258592541962208</v>
      </c>
    </row>
    <row r="35" spans="1:11" x14ac:dyDescent="0.25">
      <c r="A35" t="str">
        <f ca="1">OFFSET(Waikato_Reference,56,2)</f>
        <v>Local Ferry</v>
      </c>
      <c r="B35" s="4">
        <f ca="1">B167*'Total Duration Tables Sup #1'!B35*(1+'Other Assumptions'!D$46)</f>
        <v>9.334266179999999E-2</v>
      </c>
      <c r="C35" s="4">
        <f ca="1">C167*'Total Duration Tables Sup #1'!C35*(1+'Other Assumptions'!G$46)</f>
        <v>0.10630367102883542</v>
      </c>
      <c r="D35" s="4">
        <f ca="1">D167*'Total Duration Tables Sup #1'!D35*(1+'Other Assumptions'!H$46)</f>
        <v>0.11392703617781383</v>
      </c>
      <c r="E35" s="4">
        <f ca="1">E167*'Total Duration Tables Sup #1'!E35*(1+'Other Assumptions'!I$46)</f>
        <v>0.11869170996650792</v>
      </c>
      <c r="F35" s="4">
        <f ca="1">F167*'Total Duration Tables Sup #1'!F35*(1+'Other Assumptions'!J$46)</f>
        <v>0.12174101807112733</v>
      </c>
      <c r="G35" s="4">
        <f ca="1">G167*'Total Duration Tables Sup #1'!G35*(1+'Other Assumptions'!K$46)</f>
        <v>0.1266497178428127</v>
      </c>
      <c r="H35" s="4">
        <f ca="1">H167*'Total Duration Tables Sup #1'!H35*(1+'Other Assumptions'!L$46)</f>
        <v>0.13047676781249795</v>
      </c>
      <c r="I35" s="4">
        <f ca="1">I167*'Total Duration Tables Sup #1'!I35*(1+'Other Assumptions'!M$46)</f>
        <v>0.13115688635056288</v>
      </c>
      <c r="J35" s="4">
        <f ca="1">J167*'Total Duration Tables Sup #1'!J35*(1+'Other Assumptions'!N$46)</f>
        <v>0.13145171631868527</v>
      </c>
      <c r="K35" s="4">
        <f ca="1">K167*'Total Duration Tables Sup #1'!K35*(1+'Other Assumptions'!O$46)</f>
        <v>0.13149494309158996</v>
      </c>
    </row>
    <row r="36" spans="1:11" x14ac:dyDescent="0.25">
      <c r="A36" t="str">
        <f ca="1">OFFSET(Waikato_Reference,63,2)</f>
        <v>Other Household Travel</v>
      </c>
      <c r="B36" s="4">
        <f ca="1">B168*'Total Duration Tables Sup #1'!B36*(1+'Other Assumptions'!D$46)</f>
        <v>0.63404452519999999</v>
      </c>
      <c r="C36" s="4">
        <f ca="1">C168*'Total Duration Tables Sup #1'!C36*(1+'Other Assumptions'!G$46)</f>
        <v>0.70529743385600807</v>
      </c>
      <c r="D36" s="4">
        <f ca="1">D168*'Total Duration Tables Sup #1'!D36*(1+'Other Assumptions'!H$46)</f>
        <v>0.74896515383356566</v>
      </c>
      <c r="E36" s="4">
        <f ca="1">E168*'Total Duration Tables Sup #1'!E36*(1+'Other Assumptions'!I$46)</f>
        <v>0.77220202645711811</v>
      </c>
      <c r="F36" s="4">
        <f ca="1">F168*'Total Duration Tables Sup #1'!F36*(1+'Other Assumptions'!J$46)</f>
        <v>0.78886614445759218</v>
      </c>
      <c r="G36" s="4">
        <f ca="1">G168*'Total Duration Tables Sup #1'!G36*(1+'Other Assumptions'!K$46)</f>
        <v>0.80780482149402655</v>
      </c>
      <c r="H36" s="4">
        <f ca="1">H168*'Total Duration Tables Sup #1'!H36*(1+'Other Assumptions'!L$46)</f>
        <v>0.82110051368688741</v>
      </c>
      <c r="I36" s="4">
        <f ca="1">I168*'Total Duration Tables Sup #1'!I36*(1+'Other Assumptions'!M$46)</f>
        <v>0.83488510250175707</v>
      </c>
      <c r="J36" s="4">
        <f ca="1">J168*'Total Duration Tables Sup #1'!J36*(1+'Other Assumptions'!N$46)</f>
        <v>0.84624467883239729</v>
      </c>
      <c r="K36" s="4">
        <f ca="1">K168*'Total Duration Tables Sup #1'!K36*(1+'Other Assumptions'!O$46)</f>
        <v>0.85596258150886917</v>
      </c>
    </row>
    <row r="37" spans="1:11" x14ac:dyDescent="0.25">
      <c r="A37" t="str">
        <f ca="1">OFFSET(BOP_Reference,0,0)</f>
        <v>04 BAY OF PLENTY</v>
      </c>
    </row>
    <row r="38" spans="1:11" x14ac:dyDescent="0.25">
      <c r="A38" t="str">
        <f ca="1">OFFSET(BOP_Reference,0,2)</f>
        <v>Pedestrian</v>
      </c>
      <c r="B38" s="4">
        <f ca="1">B159*'Total Duration Tables Sup #1'!B38*(1+'Other Assumptions'!D$47)*(1+'Active Mode Assumptions'!B11)</f>
        <v>9.1706746114000008</v>
      </c>
      <c r="C38" s="4">
        <f ca="1">C159*'Total Duration Tables Sup #1'!C38*(1+'Other Assumptions'!G$47)*(1+'Active Mode Assumptions'!C11)</f>
        <v>9.7793290837537903</v>
      </c>
      <c r="D38" s="4">
        <f ca="1">D159*'Total Duration Tables Sup #1'!D38*(1+'Other Assumptions'!H$47)*(1+'Active Mode Assumptions'!D11)</f>
        <v>10.667293255629795</v>
      </c>
      <c r="E38" s="4">
        <f ca="1">E159*'Total Duration Tables Sup #1'!E38*(1+'Other Assumptions'!I$47)*(1+'Active Mode Assumptions'!E11)</f>
        <v>11.39872772786129</v>
      </c>
      <c r="F38" s="4">
        <f ca="1">F159*'Total Duration Tables Sup #1'!F38*(1+'Other Assumptions'!J$47)*(1+'Active Mode Assumptions'!F11)</f>
        <v>12.020645017398799</v>
      </c>
      <c r="G38" s="4">
        <f ca="1">G159*'Total Duration Tables Sup #1'!G38*(1+'Other Assumptions'!K$47)*(1+'Active Mode Assumptions'!G11)</f>
        <v>12.579756232631773</v>
      </c>
      <c r="H38" s="4">
        <f ca="1">H159*'Total Duration Tables Sup #1'!H38*(1+'Other Assumptions'!L$47)*(1+'Active Mode Assumptions'!H11)</f>
        <v>13.085248338476893</v>
      </c>
      <c r="I38" s="4">
        <f ca="1">I159*'Total Duration Tables Sup #1'!I38*(1+'Other Assumptions'!M$47)*(1+'Active Mode Assumptions'!I11)</f>
        <v>13.262933067940251</v>
      </c>
      <c r="J38" s="4">
        <f ca="1">J159*'Total Duration Tables Sup #1'!J38*(1+'Other Assumptions'!N$47)*(1+'Active Mode Assumptions'!J11)</f>
        <v>13.400375248157372</v>
      </c>
      <c r="K38" s="4">
        <f ca="1">K159*'Total Duration Tables Sup #1'!K38*(1+'Other Assumptions'!O$47)*(1+'Active Mode Assumptions'!K11)</f>
        <v>13.510279661639979</v>
      </c>
    </row>
    <row r="39" spans="1:11" x14ac:dyDescent="0.25">
      <c r="A39" t="str">
        <f ca="1">OFFSET(BOP_Reference,7,2)</f>
        <v>Cyclist</v>
      </c>
      <c r="B39" s="4">
        <f ca="1">B160*'Total Duration Tables Sup #1'!B39*(1+'Other Assumptions'!D$47)*(1+'Active Mode Assumptions'!B20)</f>
        <v>0.91801276549999999</v>
      </c>
      <c r="C39" s="4">
        <f ca="1">C160*'Total Duration Tables Sup #1'!C39*(1+'Other Assumptions'!G$47)*(1+'Active Mode Assumptions'!C20)</f>
        <v>1.0042750200024688</v>
      </c>
      <c r="D39" s="4">
        <f ca="1">D160*'Total Duration Tables Sup #1'!D39*(1+'Other Assumptions'!H$47)*(1+'Active Mode Assumptions'!D20)</f>
        <v>1.4616213572156016</v>
      </c>
      <c r="E39" s="4">
        <f ca="1">E160*'Total Duration Tables Sup #1'!E39*(1+'Other Assumptions'!I$47)*(1+'Active Mode Assumptions'!E20)</f>
        <v>1.9096217225419263</v>
      </c>
      <c r="F39" s="4">
        <f ca="1">F160*'Total Duration Tables Sup #1'!F39*(1+'Other Assumptions'!J$47)*(1+'Active Mode Assumptions'!F20)</f>
        <v>2.3869354233907285</v>
      </c>
      <c r="G39" s="4">
        <f ca="1">G160*'Total Duration Tables Sup #1'!G39*(1+'Other Assumptions'!K$47)*(1+'Active Mode Assumptions'!G20)</f>
        <v>2.9093258487184008</v>
      </c>
      <c r="H39" s="4">
        <f ca="1">H160*'Total Duration Tables Sup #1'!H39*(1+'Other Assumptions'!L$47)*(1+'Active Mode Assumptions'!H20)</f>
        <v>3.4614319983051587</v>
      </c>
      <c r="I39" s="4">
        <f ca="1">I160*'Total Duration Tables Sup #1'!I39*(1+'Other Assumptions'!M$47)*(1+'Active Mode Assumptions'!I20)</f>
        <v>3.5251481550226984</v>
      </c>
      <c r="J39" s="4">
        <f ca="1">J160*'Total Duration Tables Sup #1'!J39*(1+'Other Assumptions'!N$47)*(1+'Active Mode Assumptions'!J20)</f>
        <v>3.5788110280150094</v>
      </c>
      <c r="K39" s="4">
        <f ca="1">K160*'Total Duration Tables Sup #1'!K39*(1+'Other Assumptions'!O$47)*(1+'Active Mode Assumptions'!K20)</f>
        <v>3.6256818860260518</v>
      </c>
    </row>
    <row r="40" spans="1:11" x14ac:dyDescent="0.25">
      <c r="A40" t="str">
        <f ca="1">OFFSET(BOP_Reference,14,2)</f>
        <v>Light Vehicle Driver</v>
      </c>
      <c r="B40" s="4">
        <f ca="1">B161*'Total Duration Tables Sup #1'!B40*(1+'Other Assumptions'!D$47)-(B38*'Active Mode Assumptions'!B11*'Active Mode Assumptions'!B14/(1+'Active Mode Assumptions'!B11))-(B39*'Active Mode Assumptions'!B20*'Active Mode Assumptions'!B23/(1+'Active Mode Assumptions'!B20))</f>
        <v>45.59682093</v>
      </c>
      <c r="C40" s="4">
        <f ca="1">C161*'Total Duration Tables Sup #1'!C40*(1+'Other Assumptions'!G$47)-(C38*'Active Mode Assumptions'!C11*'Active Mode Assumptions'!C14/(1+'Active Mode Assumptions'!C11))-(C39*'Active Mode Assumptions'!C20*'Active Mode Assumptions'!C23/(1+'Active Mode Assumptions'!C20))</f>
        <v>50.287414826539731</v>
      </c>
      <c r="D40" s="4">
        <f ca="1">D161*'Total Duration Tables Sup #1'!D40*(1+'Other Assumptions'!H$47)-(D38*'Active Mode Assumptions'!D11*'Active Mode Assumptions'!D14/(1+'Active Mode Assumptions'!D11))-(D39*'Active Mode Assumptions'!D20*'Active Mode Assumptions'!D23/(1+'Active Mode Assumptions'!D20))</f>
        <v>52.51838950495587</v>
      </c>
      <c r="E40" s="4">
        <f ca="1">E161*'Total Duration Tables Sup #1'!E40*(1+'Other Assumptions'!I$47)-(E38*'Active Mode Assumptions'!E11*'Active Mode Assumptions'!E14/(1+'Active Mode Assumptions'!E11))-(E39*'Active Mode Assumptions'!E20*'Active Mode Assumptions'!E23/(1+'Active Mode Assumptions'!E20))</f>
        <v>54.341382262303952</v>
      </c>
      <c r="F40" s="4">
        <f ca="1">F161*'Total Duration Tables Sup #1'!F40*(1+'Other Assumptions'!J$47)-(F38*'Active Mode Assumptions'!F11*'Active Mode Assumptions'!F14/(1+'Active Mode Assumptions'!F11))-(F39*'Active Mode Assumptions'!F20*'Active Mode Assumptions'!F23/(1+'Active Mode Assumptions'!F20))</f>
        <v>55.894538963184552</v>
      </c>
      <c r="G40" s="4">
        <f ca="1">G161*'Total Duration Tables Sup #1'!G40*(1+'Other Assumptions'!K$47)-(G38*'Active Mode Assumptions'!G11*'Active Mode Assumptions'!G14/(1+'Active Mode Assumptions'!G11))-(G39*'Active Mode Assumptions'!G20*'Active Mode Assumptions'!G23/(1+'Active Mode Assumptions'!G20))</f>
        <v>56.837302512979555</v>
      </c>
      <c r="H40" s="4">
        <f ca="1">H161*'Total Duration Tables Sup #1'!H40*(1+'Other Assumptions'!L$47)-(H38*'Active Mode Assumptions'!H11*'Active Mode Assumptions'!H14/(1+'Active Mode Assumptions'!H11))-(H39*'Active Mode Assumptions'!H20*'Active Mode Assumptions'!H23/(1+'Active Mode Assumptions'!H20))</f>
        <v>57.512230285507066</v>
      </c>
      <c r="I40" s="4">
        <f ca="1">I161*'Total Duration Tables Sup #1'!I40*(1+'Other Assumptions'!M$47)-(I38*'Active Mode Assumptions'!I11*'Active Mode Assumptions'!I14/(1+'Active Mode Assumptions'!I11))-(I39*'Active Mode Assumptions'!I20*'Active Mode Assumptions'!I23/(1+'Active Mode Assumptions'!I20))</f>
        <v>58.265974349810143</v>
      </c>
      <c r="J40" s="4">
        <f ca="1">J161*'Total Duration Tables Sup #1'!J40*(1+'Other Assumptions'!N$47)-(J38*'Active Mode Assumptions'!J11*'Active Mode Assumptions'!J14/(1+'Active Mode Assumptions'!J11))-(J39*'Active Mode Assumptions'!J20*'Active Mode Assumptions'!J23/(1+'Active Mode Assumptions'!J20))</f>
        <v>58.842382031513168</v>
      </c>
      <c r="K40" s="4">
        <f ca="1">K161*'Total Duration Tables Sup #1'!K40*(1+'Other Assumptions'!O$47)-(K38*'Active Mode Assumptions'!K11*'Active Mode Assumptions'!K14/(1+'Active Mode Assumptions'!K11))-(K39*'Active Mode Assumptions'!K20*'Active Mode Assumptions'!K23/(1+'Active Mode Assumptions'!K20))</f>
        <v>59.297498660534913</v>
      </c>
    </row>
    <row r="41" spans="1:11" x14ac:dyDescent="0.25">
      <c r="A41" t="str">
        <f ca="1">OFFSET(BOP_Reference,21,2)</f>
        <v>Light Vehicle Passenger</v>
      </c>
      <c r="B41" s="4">
        <f ca="1">B162*'Total Duration Tables Sup #1'!B41*(1+'Other Assumptions'!D$47)-(B38*'Active Mode Assumptions'!B11*'Active Mode Assumptions'!B15/(1+'Active Mode Assumptions'!B11))-(B39*'Active Mode Assumptions'!B20*'Active Mode Assumptions'!B24/(1+'Active Mode Assumptions'!B20))</f>
        <v>28.895615969000001</v>
      </c>
      <c r="C41" s="4">
        <f ca="1">C162*'Total Duration Tables Sup #1'!C41*(1+'Other Assumptions'!G$47)-(C38*'Active Mode Assumptions'!C11*'Active Mode Assumptions'!C15/(1+'Active Mode Assumptions'!C11))-(C39*'Active Mode Assumptions'!C20*'Active Mode Assumptions'!C24/(1+'Active Mode Assumptions'!C20))</f>
        <v>30.54112861682119</v>
      </c>
      <c r="D41" s="4">
        <f ca="1">D162*'Total Duration Tables Sup #1'!D41*(1+'Other Assumptions'!H$47)-(D38*'Active Mode Assumptions'!D11*'Active Mode Assumptions'!D15/(1+'Active Mode Assumptions'!D11))-(D39*'Active Mode Assumptions'!D20*'Active Mode Assumptions'!D24/(1+'Active Mode Assumptions'!D20))</f>
        <v>31.047603698203421</v>
      </c>
      <c r="E41" s="4">
        <f ca="1">E162*'Total Duration Tables Sup #1'!E41*(1+'Other Assumptions'!I$47)-(E38*'Active Mode Assumptions'!E11*'Active Mode Assumptions'!E15/(1+'Active Mode Assumptions'!E11))-(E39*'Active Mode Assumptions'!E20*'Active Mode Assumptions'!E24/(1+'Active Mode Assumptions'!E20))</f>
        <v>31.272929667029803</v>
      </c>
      <c r="F41" s="4">
        <f ca="1">F162*'Total Duration Tables Sup #1'!F41*(1+'Other Assumptions'!J$47)-(F38*'Active Mode Assumptions'!F11*'Active Mode Assumptions'!F15/(1+'Active Mode Assumptions'!F11))-(F39*'Active Mode Assumptions'!F20*'Active Mode Assumptions'!F24/(1+'Active Mode Assumptions'!F20))</f>
        <v>31.278263068993443</v>
      </c>
      <c r="G41" s="4">
        <f ca="1">G162*'Total Duration Tables Sup #1'!G41*(1+'Other Assumptions'!K$47)-(G38*'Active Mode Assumptions'!G11*'Active Mode Assumptions'!G15/(1+'Active Mode Assumptions'!G11))-(G39*'Active Mode Assumptions'!G20*'Active Mode Assumptions'!G24/(1+'Active Mode Assumptions'!G20))</f>
        <v>31.047854032041698</v>
      </c>
      <c r="H41" s="4">
        <f ca="1">H162*'Total Duration Tables Sup #1'!H41*(1+'Other Assumptions'!L$47)-(H38*'Active Mode Assumptions'!H11*'Active Mode Assumptions'!H15/(1+'Active Mode Assumptions'!H11))-(H39*'Active Mode Assumptions'!H20*'Active Mode Assumptions'!H24/(1+'Active Mode Assumptions'!H20))</f>
        <v>30.65836913282816</v>
      </c>
      <c r="I41" s="4">
        <f ca="1">I162*'Total Duration Tables Sup #1'!I41*(1+'Other Assumptions'!M$47)-(I38*'Active Mode Assumptions'!I11*'Active Mode Assumptions'!I15/(1+'Active Mode Assumptions'!I11))-(I39*'Active Mode Assumptions'!I20*'Active Mode Assumptions'!I24/(1+'Active Mode Assumptions'!I20))</f>
        <v>31.090699738098859</v>
      </c>
      <c r="J41" s="4">
        <f ca="1">J162*'Total Duration Tables Sup #1'!J41*(1+'Other Assumptions'!N$47)-(J38*'Active Mode Assumptions'!J11*'Active Mode Assumptions'!J15/(1+'Active Mode Assumptions'!J11))-(J39*'Active Mode Assumptions'!J20*'Active Mode Assumptions'!J24/(1+'Active Mode Assumptions'!J20))</f>
        <v>31.428950541348939</v>
      </c>
      <c r="K41" s="4">
        <f ca="1">K162*'Total Duration Tables Sup #1'!K41*(1+'Other Assumptions'!O$47)-(K38*'Active Mode Assumptions'!K11*'Active Mode Assumptions'!K15/(1+'Active Mode Assumptions'!K11))-(K39*'Active Mode Assumptions'!K20*'Active Mode Assumptions'!K24/(1+'Active Mode Assumptions'!K20))</f>
        <v>31.702789142979842</v>
      </c>
    </row>
    <row r="42" spans="1:11" x14ac:dyDescent="0.25">
      <c r="A42" t="str">
        <f ca="1">OFFSET(BOP_Reference,28,2)</f>
        <v>Taxi/Vehicle Share</v>
      </c>
      <c r="B42" s="4">
        <f ca="1">B163*'Total Duration Tables Sup #1'!B42*(1+'Other Assumptions'!D$47)</f>
        <v>7.3048454499999999E-2</v>
      </c>
      <c r="C42" s="4">
        <f ca="1">C163*'Total Duration Tables Sup #1'!C42*(1+'Other Assumptions'!G$47)</f>
        <v>8.3726969789043246E-2</v>
      </c>
      <c r="D42" s="4">
        <f ca="1">D163*'Total Duration Tables Sup #1'!D42*(1+'Other Assumptions'!H$47)</f>
        <v>9.1548322185773204E-2</v>
      </c>
      <c r="E42" s="4">
        <f ca="1">E163*'Total Duration Tables Sup #1'!E42*(1+'Other Assumptions'!I$47)</f>
        <v>9.7917143275439697E-2</v>
      </c>
      <c r="F42" s="4">
        <f ca="1">F163*'Total Duration Tables Sup #1'!F42*(1+'Other Assumptions'!J$47)</f>
        <v>0.10320210744018669</v>
      </c>
      <c r="G42" s="4">
        <f ca="1">G163*'Total Duration Tables Sup #1'!G42*(1+'Other Assumptions'!K$47)</f>
        <v>0.10651964397336504</v>
      </c>
      <c r="H42" s="4">
        <f ca="1">H163*'Total Duration Tables Sup #1'!H42*(1+'Other Assumptions'!L$47)</f>
        <v>0.1093750737927605</v>
      </c>
      <c r="I42" s="4">
        <f ca="1">I163*'Total Duration Tables Sup #1'!I42*(1+'Other Assumptions'!M$47)</f>
        <v>0.11061803880609758</v>
      </c>
      <c r="J42" s="4">
        <f ca="1">J163*'Total Duration Tables Sup #1'!J42*(1+'Other Assumptions'!N$47)</f>
        <v>0.11152051550974</v>
      </c>
      <c r="K42" s="4">
        <f ca="1">K163*'Total Duration Tables Sup #1'!K42*(1+'Other Assumptions'!O$47)</f>
        <v>0.11219041653200501</v>
      </c>
    </row>
    <row r="43" spans="1:11" x14ac:dyDescent="0.25">
      <c r="A43" t="str">
        <f ca="1">OFFSET(BOP_Reference,35,2)</f>
        <v>Motorcyclist</v>
      </c>
      <c r="B43" s="4">
        <f ca="1">B164*'Total Duration Tables Sup #1'!B43*(1+'Other Assumptions'!D$47)</f>
        <v>0.60409197079999999</v>
      </c>
      <c r="C43" s="4">
        <f ca="1">C164*'Total Duration Tables Sup #1'!C43*(1+'Other Assumptions'!G$47)</f>
        <v>0.66004571046755245</v>
      </c>
      <c r="D43" s="4">
        <f ca="1">D164*'Total Duration Tables Sup #1'!D43*(1+'Other Assumptions'!H$47)</f>
        <v>0.68809289372707527</v>
      </c>
      <c r="E43" s="4">
        <f ca="1">E164*'Total Duration Tables Sup #1'!E43*(1+'Other Assumptions'!I$47)</f>
        <v>0.70600036466775906</v>
      </c>
      <c r="F43" s="4">
        <f ca="1">F164*'Total Duration Tables Sup #1'!F43*(1+'Other Assumptions'!J$47)</f>
        <v>0.72023150748326836</v>
      </c>
      <c r="G43" s="4">
        <f ca="1">G164*'Total Duration Tables Sup #1'!G43*(1+'Other Assumptions'!K$47)</f>
        <v>0.72312455176499135</v>
      </c>
      <c r="H43" s="4">
        <f ca="1">H164*'Total Duration Tables Sup #1'!H43*(1+'Other Assumptions'!L$47)</f>
        <v>0.72195542706096083</v>
      </c>
      <c r="I43" s="4">
        <f ca="1">I164*'Total Duration Tables Sup #1'!I43*(1+'Other Assumptions'!M$47)</f>
        <v>0.73523297228854601</v>
      </c>
      <c r="J43" s="4">
        <f ca="1">J164*'Total Duration Tables Sup #1'!J43*(1+'Other Assumptions'!N$47)</f>
        <v>0.74637588847236247</v>
      </c>
      <c r="K43" s="4">
        <f ca="1">K164*'Total Duration Tables Sup #1'!K43*(1+'Other Assumptions'!O$47)</f>
        <v>0.75606217505843365</v>
      </c>
    </row>
    <row r="44" spans="1:11" x14ac:dyDescent="0.25">
      <c r="A44" t="str">
        <f ca="1">OFFSET(Auckland_Reference,42,2)</f>
        <v>Local Train</v>
      </c>
      <c r="B44" s="4">
        <f ca="1">B165*'Total Duration Tables Sup #1'!B44*(1+'Other Assumptions'!D$47)</f>
        <v>0</v>
      </c>
      <c r="C44" s="4">
        <f ca="1">C165*'Total Duration Tables Sup #1'!C44*(1+'Other Assumptions'!G$47)</f>
        <v>0</v>
      </c>
      <c r="D44" s="4">
        <f ca="1">D165*'Total Duration Tables Sup #1'!D44*(1+'Other Assumptions'!H$47)</f>
        <v>0</v>
      </c>
      <c r="E44" s="4">
        <f ca="1">E165*'Total Duration Tables Sup #1'!E44*(1+'Other Assumptions'!I$47)</f>
        <v>0</v>
      </c>
      <c r="F44" s="4">
        <f ca="1">F165*'Total Duration Tables Sup #1'!F44*(1+'Other Assumptions'!J$47)</f>
        <v>0</v>
      </c>
      <c r="G44" s="4">
        <f ca="1">G165*'Total Duration Tables Sup #1'!G44*(1+'Other Assumptions'!K$47)</f>
        <v>0</v>
      </c>
      <c r="H44" s="4">
        <f ca="1">H165*'Total Duration Tables Sup #1'!H44*(1+'Other Assumptions'!L$47)</f>
        <v>0</v>
      </c>
      <c r="I44" s="4">
        <f ca="1">I165*'Total Duration Tables Sup #1'!I44*(1+'Other Assumptions'!M$47)</f>
        <v>0</v>
      </c>
      <c r="J44" s="4">
        <f ca="1">J165*'Total Duration Tables Sup #1'!J44*(1+'Other Assumptions'!N$47)</f>
        <v>0</v>
      </c>
      <c r="K44" s="4">
        <f ca="1">K165*'Total Duration Tables Sup #1'!K44*(1+'Other Assumptions'!O$47)</f>
        <v>0</v>
      </c>
    </row>
    <row r="45" spans="1:11" x14ac:dyDescent="0.25">
      <c r="A45" t="str">
        <f ca="1">OFFSET(BOP_Reference,42,2)</f>
        <v>Local Bus</v>
      </c>
      <c r="B45" s="4">
        <f ca="1">B166*'Total Duration Tables Sup #1'!B45*(1+'Other Assumptions'!D$47)</f>
        <v>2.9412276716000001</v>
      </c>
      <c r="C45" s="4">
        <f ca="1">C166*'Total Duration Tables Sup #1'!C45*(1+'Other Assumptions'!G$47)</f>
        <v>2.9204116404580907</v>
      </c>
      <c r="D45" s="4">
        <f ca="1">D166*'Total Duration Tables Sup #1'!D45*(1+'Other Assumptions'!H$47)</f>
        <v>2.8746768957586468</v>
      </c>
      <c r="E45" s="4">
        <f ca="1">E166*'Total Duration Tables Sup #1'!E45*(1+'Other Assumptions'!I$47)</f>
        <v>2.8450987353982051</v>
      </c>
      <c r="F45" s="4">
        <f ca="1">F166*'Total Duration Tables Sup #1'!F45*(1+'Other Assumptions'!J$47)</f>
        <v>2.778979858606311</v>
      </c>
      <c r="G45" s="4">
        <f ca="1">G166*'Total Duration Tables Sup #1'!G45*(1+'Other Assumptions'!K$47)</f>
        <v>2.7280958196620264</v>
      </c>
      <c r="H45" s="4">
        <f ca="1">H166*'Total Duration Tables Sup #1'!H45*(1+'Other Assumptions'!L$47)</f>
        <v>2.6669083566416876</v>
      </c>
      <c r="I45" s="4">
        <f ca="1">I166*'Total Duration Tables Sup #1'!I45*(1+'Other Assumptions'!M$47)</f>
        <v>2.7083386088945032</v>
      </c>
      <c r="J45" s="4">
        <f ca="1">J166*'Total Duration Tables Sup #1'!J45*(1+'Other Assumptions'!N$47)</f>
        <v>2.741670009384332</v>
      </c>
      <c r="K45" s="4">
        <f ca="1">K166*'Total Duration Tables Sup #1'!K45*(1+'Other Assumptions'!O$47)</f>
        <v>2.7694592891511807</v>
      </c>
    </row>
    <row r="46" spans="1:11" x14ac:dyDescent="0.25">
      <c r="A46" t="str">
        <f ca="1">OFFSET(Waikato_Reference,56,2)</f>
        <v>Local Ferry</v>
      </c>
      <c r="B46" s="4">
        <f ca="1">B167*'Total Duration Tables Sup #1'!B46*(1+'Other Assumptions'!D$47)</f>
        <v>0</v>
      </c>
      <c r="C46" s="4">
        <f ca="1">C167*'Total Duration Tables Sup #1'!C46*(1+'Other Assumptions'!G$47)</f>
        <v>0</v>
      </c>
      <c r="D46" s="4">
        <f ca="1">D167*'Total Duration Tables Sup #1'!D46*(1+'Other Assumptions'!H$47)</f>
        <v>0</v>
      </c>
      <c r="E46" s="4">
        <f ca="1">E167*'Total Duration Tables Sup #1'!E46*(1+'Other Assumptions'!I$47)</f>
        <v>0</v>
      </c>
      <c r="F46" s="4">
        <f ca="1">F167*'Total Duration Tables Sup #1'!F46*(1+'Other Assumptions'!J$47)</f>
        <v>0</v>
      </c>
      <c r="G46" s="4">
        <f ca="1">G167*'Total Duration Tables Sup #1'!G46*(1+'Other Assumptions'!K$47)</f>
        <v>0</v>
      </c>
      <c r="H46" s="4">
        <f ca="1">H167*'Total Duration Tables Sup #1'!H46*(1+'Other Assumptions'!L$47)</f>
        <v>0</v>
      </c>
      <c r="I46" s="4">
        <f ca="1">I167*'Total Duration Tables Sup #1'!I46*(1+'Other Assumptions'!M$47)</f>
        <v>0</v>
      </c>
      <c r="J46" s="4">
        <f ca="1">J167*'Total Duration Tables Sup #1'!J46*(1+'Other Assumptions'!N$47)</f>
        <v>0</v>
      </c>
      <c r="K46" s="4">
        <f ca="1">K167*'Total Duration Tables Sup #1'!K46*(1+'Other Assumptions'!O$47)</f>
        <v>0</v>
      </c>
    </row>
    <row r="47" spans="1:11" x14ac:dyDescent="0.25">
      <c r="A47" t="str">
        <f ca="1">OFFSET(BOP_Reference,49,2)</f>
        <v>Other Household Travel</v>
      </c>
      <c r="B47" s="4">
        <f ca="1">B168*'Total Duration Tables Sup #1'!B47*(1+'Other Assumptions'!D$47)</f>
        <v>0.21279540499999999</v>
      </c>
      <c r="C47" s="4">
        <f ca="1">C168*'Total Duration Tables Sup #1'!C47*(1+'Other Assumptions'!G$47)</f>
        <v>0.23343081018579354</v>
      </c>
      <c r="D47" s="4">
        <f ca="1">D168*'Total Duration Tables Sup #1'!D47*(1+'Other Assumptions'!H$47)</f>
        <v>0.24619403524987116</v>
      </c>
      <c r="E47" s="4">
        <f ca="1">E168*'Total Duration Tables Sup #1'!E47*(1+'Other Assumptions'!I$47)</f>
        <v>0.25214004080208879</v>
      </c>
      <c r="F47" s="4">
        <f ca="1">F168*'Total Duration Tables Sup #1'!F47*(1+'Other Assumptions'!J$47)</f>
        <v>0.2559280922053353</v>
      </c>
      <c r="G47" s="4">
        <f ca="1">G168*'Total Duration Tables Sup #1'!G47*(1+'Other Assumptions'!K$47)</f>
        <v>0.26029397836792956</v>
      </c>
      <c r="H47" s="4">
        <f ca="1">H168*'Total Duration Tables Sup #1'!H47*(1+'Other Assumptions'!L$47)</f>
        <v>0.26279098845230292</v>
      </c>
      <c r="I47" s="4">
        <f ca="1">I168*'Total Duration Tables Sup #1'!I47*(1+'Other Assumptions'!M$47)</f>
        <v>0.26539780131336321</v>
      </c>
      <c r="J47" s="4">
        <f ca="1">J168*'Total Duration Tables Sup #1'!J47*(1+'Other Assumptions'!N$47)</f>
        <v>0.26719173753457698</v>
      </c>
      <c r="K47" s="4">
        <f ca="1">K168*'Total Duration Tables Sup #1'!K47*(1+'Other Assumptions'!O$47)</f>
        <v>0.26843449110045681</v>
      </c>
    </row>
    <row r="48" spans="1:11" x14ac:dyDescent="0.25">
      <c r="A48" t="str">
        <f ca="1">OFFSET(Gisborne_Reference,0,0)</f>
        <v>05 GISBORNE</v>
      </c>
    </row>
    <row r="49" spans="1:11" x14ac:dyDescent="0.25">
      <c r="A49" t="str">
        <f ca="1">OFFSET(Gisborne_Reference,0,2)</f>
        <v>Pedestrian</v>
      </c>
      <c r="B49" s="4">
        <f ca="1">B159*'Total Duration Tables Sup #1'!B49*(1+'Other Assumptions'!D$48)*(1+'Active Mode Assumptions'!B11)</f>
        <v>2.2694063563000002</v>
      </c>
      <c r="C49" s="4">
        <f ca="1">C159*'Total Duration Tables Sup #1'!C49*(1+'Other Assumptions'!G$48)*(1+'Active Mode Assumptions'!C11)</f>
        <v>2.3014296027455621</v>
      </c>
      <c r="D49" s="4">
        <f ca="1">D159*'Total Duration Tables Sup #1'!D49*(1+'Other Assumptions'!H$48)*(1+'Active Mode Assumptions'!D11)</f>
        <v>2.4373265278720435</v>
      </c>
      <c r="E49" s="4">
        <f ca="1">E159*'Total Duration Tables Sup #1'!E49*(1+'Other Assumptions'!I$48)*(1+'Active Mode Assumptions'!E11)</f>
        <v>2.5449621296965916</v>
      </c>
      <c r="F49" s="4">
        <f ca="1">F159*'Total Duration Tables Sup #1'!F49*(1+'Other Assumptions'!J$48)*(1+'Active Mode Assumptions'!F11)</f>
        <v>2.6235509955665095</v>
      </c>
      <c r="G49" s="4">
        <f ca="1">G159*'Total Duration Tables Sup #1'!G49*(1+'Other Assumptions'!K$48)*(1+'Active Mode Assumptions'!G11)</f>
        <v>2.6808791302096333</v>
      </c>
      <c r="H49" s="4">
        <f ca="1">H159*'Total Duration Tables Sup #1'!H49*(1+'Other Assumptions'!L$48)*(1+'Active Mode Assumptions'!H11)</f>
        <v>2.7232680347050278</v>
      </c>
      <c r="I49" s="4">
        <f ca="1">I159*'Total Duration Tables Sup #1'!I49*(1+'Other Assumptions'!M$48)*(1+'Active Mode Assumptions'!I11)</f>
        <v>2.6955749250213228</v>
      </c>
      <c r="J49" s="4">
        <f ca="1">J159*'Total Duration Tables Sup #1'!J49*(1+'Other Assumptions'!N$48)*(1+'Active Mode Assumptions'!J11)</f>
        <v>2.659697227703623</v>
      </c>
      <c r="K49" s="4">
        <f ca="1">K159*'Total Duration Tables Sup #1'!K49*(1+'Other Assumptions'!O$48)*(1+'Active Mode Assumptions'!K11)</f>
        <v>2.6186833706797072</v>
      </c>
    </row>
    <row r="50" spans="1:11" x14ac:dyDescent="0.25">
      <c r="A50" t="str">
        <f ca="1">OFFSET(Gisborne_Reference,7,2)</f>
        <v>Cyclist</v>
      </c>
      <c r="B50" s="4">
        <f ca="1">B160*'Total Duration Tables Sup #1'!B50*(1+'Other Assumptions'!D$48)*(1+'Active Mode Assumptions'!B20)</f>
        <v>0.28046850410000002</v>
      </c>
      <c r="C50" s="4">
        <f ca="1">C160*'Total Duration Tables Sup #1'!C50*(1+'Other Assumptions'!G$48)*(1+'Active Mode Assumptions'!C20)</f>
        <v>0.29178683265057109</v>
      </c>
      <c r="D50" s="4">
        <f ca="1">D160*'Total Duration Tables Sup #1'!D50*(1+'Other Assumptions'!H$48)*(1+'Active Mode Assumptions'!D20)</f>
        <v>0.41230514705948895</v>
      </c>
      <c r="E50" s="4">
        <f ca="1">E160*'Total Duration Tables Sup #1'!E50*(1+'Other Assumptions'!I$48)*(1+'Active Mode Assumptions'!E20)</f>
        <v>0.52637673453052147</v>
      </c>
      <c r="F50" s="4">
        <f ca="1">F160*'Total Duration Tables Sup #1'!F50*(1+'Other Assumptions'!J$48)*(1+'Active Mode Assumptions'!F20)</f>
        <v>0.6431715164955869</v>
      </c>
      <c r="G50" s="4">
        <f ca="1">G160*'Total Duration Tables Sup #1'!G50*(1+'Other Assumptions'!K$48)*(1+'Active Mode Assumptions'!G20)</f>
        <v>0.7654587099320046</v>
      </c>
      <c r="H50" s="4">
        <f ca="1">H160*'Total Duration Tables Sup #1'!H50*(1+'Other Assumptions'!L$48)*(1+'Active Mode Assumptions'!H20)</f>
        <v>0.88938257907460527</v>
      </c>
      <c r="I50" s="4">
        <f ca="1">I160*'Total Duration Tables Sup #1'!I50*(1+'Other Assumptions'!M$48)*(1+'Active Mode Assumptions'!I20)</f>
        <v>0.88453210217599043</v>
      </c>
      <c r="J50" s="4">
        <f ca="1">J160*'Total Duration Tables Sup #1'!J50*(1+'Other Assumptions'!N$48)*(1+'Active Mode Assumptions'!J20)</f>
        <v>0.87695720942197675</v>
      </c>
      <c r="K50" s="4">
        <f ca="1">K160*'Total Duration Tables Sup #1'!K50*(1+'Other Assumptions'!O$48)*(1+'Active Mode Assumptions'!K20)</f>
        <v>0.86762637047223734</v>
      </c>
    </row>
    <row r="51" spans="1:11" x14ac:dyDescent="0.25">
      <c r="A51" t="str">
        <f ca="1">OFFSET(Gisborne_Reference,14,2)</f>
        <v>Light Vehicle Driver</v>
      </c>
      <c r="B51" s="4">
        <f ca="1">B161*'Total Duration Tables Sup #1'!B51*(1+'Other Assumptions'!D$48)-(B49*'Active Mode Assumptions'!B11*'Active Mode Assumptions'!B14/(1+'Active Mode Assumptions'!B11))-(B50*'Active Mode Assumptions'!B20*'Active Mode Assumptions'!B23/(1+'Active Mode Assumptions'!B20))</f>
        <v>6.0182660548999998</v>
      </c>
      <c r="C51" s="4">
        <f ca="1">C161*'Total Duration Tables Sup #1'!C51*(1+'Other Assumptions'!G$48)-(C49*'Active Mode Assumptions'!C11*'Active Mode Assumptions'!C14/(1+'Active Mode Assumptions'!C11))-(C50*'Active Mode Assumptions'!C20*'Active Mode Assumptions'!C23/(1+'Active Mode Assumptions'!C20))</f>
        <v>6.3120986913160628</v>
      </c>
      <c r="D51" s="4">
        <f ca="1">D161*'Total Duration Tables Sup #1'!D51*(1+'Other Assumptions'!H$48)-(D49*'Active Mode Assumptions'!D11*'Active Mode Assumptions'!D14/(1+'Active Mode Assumptions'!D11))-(D50*'Active Mode Assumptions'!D20*'Active Mode Assumptions'!D23/(1+'Active Mode Assumptions'!D20))</f>
        <v>6.3674250450121015</v>
      </c>
      <c r="E51" s="4">
        <f ca="1">E161*'Total Duration Tables Sup #1'!E51*(1+'Other Assumptions'!I$48)-(E49*'Active Mode Assumptions'!E11*'Active Mode Assumptions'!E14/(1+'Active Mode Assumptions'!E11))-(E50*'Active Mode Assumptions'!E20*'Active Mode Assumptions'!E23/(1+'Active Mode Assumptions'!E20))</f>
        <v>6.4061209743696734</v>
      </c>
      <c r="F51" s="4">
        <f ca="1">F161*'Total Duration Tables Sup #1'!F51*(1+'Other Assumptions'!J$48)-(F49*'Active Mode Assumptions'!F11*'Active Mode Assumptions'!F14/(1+'Active Mode Assumptions'!F11))-(F50*'Active Mode Assumptions'!F20*'Active Mode Assumptions'!F23/(1+'Active Mode Assumptions'!F20))</f>
        <v>6.4101406100948628</v>
      </c>
      <c r="G51" s="4">
        <f ca="1">G161*'Total Duration Tables Sup #1'!G51*(1+'Other Assumptions'!K$48)-(G49*'Active Mode Assumptions'!G11*'Active Mode Assumptions'!G14/(1+'Active Mode Assumptions'!G11))-(G50*'Active Mode Assumptions'!G20*'Active Mode Assumptions'!G23/(1+'Active Mode Assumptions'!G20))</f>
        <v>6.3330539040518001</v>
      </c>
      <c r="H51" s="4">
        <f ca="1">H161*'Total Duration Tables Sup #1'!H51*(1+'Other Assumptions'!L$48)-(H49*'Active Mode Assumptions'!H11*'Active Mode Assumptions'!H14/(1+'Active Mode Assumptions'!H11))-(H50*'Active Mode Assumptions'!H20*'Active Mode Assumptions'!H23/(1+'Active Mode Assumptions'!H20))</f>
        <v>6.2265175240288668</v>
      </c>
      <c r="I51" s="4">
        <f ca="1">I161*'Total Duration Tables Sup #1'!I51*(1+'Other Assumptions'!M$48)-(I49*'Active Mode Assumptions'!I11*'Active Mode Assumptions'!I14/(1+'Active Mode Assumptions'!I11))-(I50*'Active Mode Assumptions'!I20*'Active Mode Assumptions'!I23/(1+'Active Mode Assumptions'!I20))</f>
        <v>6.1598524460259254</v>
      </c>
      <c r="J51" s="4">
        <f ca="1">J161*'Total Duration Tables Sup #1'!J51*(1+'Other Assumptions'!N$48)-(J49*'Active Mode Assumptions'!J11*'Active Mode Assumptions'!J14/(1+'Active Mode Assumptions'!J11))-(J50*'Active Mode Assumptions'!J20*'Active Mode Assumptions'!J23/(1+'Active Mode Assumptions'!J20))</f>
        <v>6.0745681679613588</v>
      </c>
      <c r="K51" s="4">
        <f ca="1">K161*'Total Duration Tables Sup #1'!K51*(1+'Other Assumptions'!O$48)-(K49*'Active Mode Assumptions'!K11*'Active Mode Assumptions'!K14/(1+'Active Mode Assumptions'!K11))-(K50*'Active Mode Assumptions'!K20*'Active Mode Assumptions'!K23/(1+'Active Mode Assumptions'!K20))</f>
        <v>5.9776570327009573</v>
      </c>
    </row>
    <row r="52" spans="1:11" x14ac:dyDescent="0.25">
      <c r="A52" t="str">
        <f ca="1">OFFSET(Gisborne_Reference,21,2)</f>
        <v>Light Vehicle Passenger</v>
      </c>
      <c r="B52" s="4">
        <f ca="1">B162*'Total Duration Tables Sup #1'!B52*(1+'Other Assumptions'!D$48)-(B49*'Active Mode Assumptions'!B11*'Active Mode Assumptions'!B15/(1+'Active Mode Assumptions'!B11))-(B50*'Active Mode Assumptions'!B20*'Active Mode Assumptions'!B24/(1+'Active Mode Assumptions'!B20))</f>
        <v>4.5909579553000004</v>
      </c>
      <c r="C52" s="4">
        <f ca="1">C162*'Total Duration Tables Sup #1'!C52*(1+'Other Assumptions'!G$48)-(C49*'Active Mode Assumptions'!C11*'Active Mode Assumptions'!C15/(1+'Active Mode Assumptions'!C11))-(C50*'Active Mode Assumptions'!C20*'Active Mode Assumptions'!C24/(1+'Active Mode Assumptions'!C20))</f>
        <v>4.6146003240498166</v>
      </c>
      <c r="D52" s="4">
        <f ca="1">D162*'Total Duration Tables Sup #1'!D52*(1+'Other Assumptions'!H$48)-(D49*'Active Mode Assumptions'!D11*'Active Mode Assumptions'!D15/(1+'Active Mode Assumptions'!D11))-(D50*'Active Mode Assumptions'!D20*'Active Mode Assumptions'!D24/(1+'Active Mode Assumptions'!D20))</f>
        <v>4.5280945730446298</v>
      </c>
      <c r="E52" s="4">
        <f ca="1">E162*'Total Duration Tables Sup #1'!E52*(1+'Other Assumptions'!I$48)-(E49*'Active Mode Assumptions'!E11*'Active Mode Assumptions'!E15/(1+'Active Mode Assumptions'!E11))-(E50*'Active Mode Assumptions'!E20*'Active Mode Assumptions'!E24/(1+'Active Mode Assumptions'!E20))</f>
        <v>4.4303737525741589</v>
      </c>
      <c r="F52" s="4">
        <f ca="1">F162*'Total Duration Tables Sup #1'!F52*(1+'Other Assumptions'!J$48)-(F49*'Active Mode Assumptions'!F11*'Active Mode Assumptions'!F15/(1+'Active Mode Assumptions'!F11))-(F50*'Active Mode Assumptions'!F20*'Active Mode Assumptions'!F24/(1+'Active Mode Assumptions'!F20))</f>
        <v>4.3050226314798188</v>
      </c>
      <c r="G52" s="4">
        <f ca="1">G162*'Total Duration Tables Sup #1'!G52*(1+'Other Assumptions'!K$48)-(G49*'Active Mode Assumptions'!G11*'Active Mode Assumptions'!G15/(1+'Active Mode Assumptions'!G11))-(G50*'Active Mode Assumptions'!G20*'Active Mode Assumptions'!G24/(1+'Active Mode Assumptions'!G20))</f>
        <v>4.1451654561224753</v>
      </c>
      <c r="H52" s="4">
        <f ca="1">H162*'Total Duration Tables Sup #1'!H52*(1+'Other Assumptions'!L$48)-(H49*'Active Mode Assumptions'!H11*'Active Mode Assumptions'!H15/(1+'Active Mode Assumptions'!H11))-(H50*'Active Mode Assumptions'!H20*'Active Mode Assumptions'!H24/(1+'Active Mode Assumptions'!H20))</f>
        <v>3.9691611917997243</v>
      </c>
      <c r="I52" s="4">
        <f ca="1">I162*'Total Duration Tables Sup #1'!I52*(1+'Other Assumptions'!M$48)-(I49*'Active Mode Assumptions'!I11*'Active Mode Assumptions'!I15/(1+'Active Mode Assumptions'!I11))-(I50*'Active Mode Assumptions'!I20*'Active Mode Assumptions'!I24/(1+'Active Mode Assumptions'!I20))</f>
        <v>3.9305534960774779</v>
      </c>
      <c r="J52" s="4">
        <f ca="1">J162*'Total Duration Tables Sup #1'!J52*(1+'Other Assumptions'!N$48)-(J49*'Active Mode Assumptions'!J11*'Active Mode Assumptions'!J15/(1+'Active Mode Assumptions'!J11))-(J50*'Active Mode Assumptions'!J20*'Active Mode Assumptions'!J24/(1+'Active Mode Assumptions'!J20))</f>
        <v>3.8799493500412821</v>
      </c>
      <c r="K52" s="4">
        <f ca="1">K162*'Total Duration Tables Sup #1'!K52*(1+'Other Assumptions'!O$48)-(K49*'Active Mode Assumptions'!K11*'Active Mode Assumptions'!K15/(1+'Active Mode Assumptions'!K11))-(K50*'Active Mode Assumptions'!K20*'Active Mode Assumptions'!K24/(1+'Active Mode Assumptions'!K20))</f>
        <v>3.8217832254736637</v>
      </c>
    </row>
    <row r="53" spans="1:11" x14ac:dyDescent="0.25">
      <c r="A53" t="str">
        <f ca="1">OFFSET(Gisborne_Reference,28,2)</f>
        <v>Taxi/Vehicle Share</v>
      </c>
      <c r="B53" s="4">
        <f ca="1">B163*'Total Duration Tables Sup #1'!B53*(1+'Other Assumptions'!D$48)</f>
        <v>5.0534828E-3</v>
      </c>
      <c r="C53" s="4">
        <f ca="1">C163*'Total Duration Tables Sup #1'!C53*(1+'Other Assumptions'!G$48)</f>
        <v>5.5083659531294342E-3</v>
      </c>
      <c r="D53" s="4">
        <f ca="1">D163*'Total Duration Tables Sup #1'!D53*(1+'Other Assumptions'!H$48)</f>
        <v>5.8476133324265071E-3</v>
      </c>
      <c r="E53" s="4">
        <f ca="1">E163*'Total Duration Tables Sup #1'!E53*(1+'Other Assumptions'!I$48)</f>
        <v>6.1115652928753345E-3</v>
      </c>
      <c r="F53" s="4">
        <f ca="1">F163*'Total Duration Tables Sup #1'!F53*(1+'Other Assumptions'!J$48)</f>
        <v>6.296788139626224E-3</v>
      </c>
      <c r="G53" s="4">
        <f ca="1">G163*'Total Duration Tables Sup #1'!G53*(1+'Other Assumptions'!K$48)</f>
        <v>6.3460500343947802E-3</v>
      </c>
      <c r="H53" s="4">
        <f ca="1">H163*'Total Duration Tables Sup #1'!H53*(1+'Other Assumptions'!L$48)</f>
        <v>6.3634927770460301E-3</v>
      </c>
      <c r="I53" s="4">
        <f ca="1">I163*'Total Duration Tables Sup #1'!I53*(1+'Other Assumptions'!M$48)</f>
        <v>6.2850185181241866E-3</v>
      </c>
      <c r="J53" s="4">
        <f ca="1">J163*'Total Duration Tables Sup #1'!J53*(1+'Other Assumptions'!N$48)</f>
        <v>6.187835878500688E-3</v>
      </c>
      <c r="K53" s="4">
        <f ca="1">K163*'Total Duration Tables Sup #1'!K53*(1+'Other Assumptions'!O$48)</f>
        <v>6.079154614397354E-3</v>
      </c>
    </row>
    <row r="54" spans="1:11" x14ac:dyDescent="0.25">
      <c r="A54" t="str">
        <f ca="1">OFFSET(Gisborne_Reference,35,2)</f>
        <v>Motorcyclist</v>
      </c>
      <c r="B54" s="4">
        <f ca="1">B164*'Total Duration Tables Sup #1'!B54*(1+'Other Assumptions'!D$48)</f>
        <v>4.6418087199999999E-2</v>
      </c>
      <c r="C54" s="4">
        <f ca="1">C164*'Total Duration Tables Sup #1'!C54*(1+'Other Assumptions'!G$48)</f>
        <v>4.8232063348063577E-2</v>
      </c>
      <c r="D54" s="4">
        <f ca="1">D164*'Total Duration Tables Sup #1'!D54*(1+'Other Assumptions'!H$48)</f>
        <v>4.8817973536997621E-2</v>
      </c>
      <c r="E54" s="4">
        <f ca="1">E164*'Total Duration Tables Sup #1'!E54*(1+'Other Assumptions'!I$48)</f>
        <v>4.8944406146483044E-2</v>
      </c>
      <c r="F54" s="4">
        <f ca="1">F164*'Total Duration Tables Sup #1'!F54*(1+'Other Assumptions'!J$48)</f>
        <v>4.8809802278151709E-2</v>
      </c>
      <c r="G54" s="4">
        <f ca="1">G164*'Total Duration Tables Sup #1'!G54*(1+'Other Assumptions'!K$48)</f>
        <v>4.7851032095037993E-2</v>
      </c>
      <c r="H54" s="4">
        <f ca="1">H164*'Total Duration Tables Sup #1'!H54*(1+'Other Assumptions'!L$48)</f>
        <v>4.6654334470742916E-2</v>
      </c>
      <c r="I54" s="4">
        <f ca="1">I164*'Total Duration Tables Sup #1'!I54*(1+'Other Assumptions'!M$48)</f>
        <v>4.6399147269566128E-2</v>
      </c>
      <c r="J54" s="4">
        <f ca="1">J164*'Total Duration Tables Sup #1'!J54*(1+'Other Assumptions'!N$48)</f>
        <v>4.5998750612130969E-2</v>
      </c>
      <c r="K54" s="4">
        <f ca="1">K164*'Total Duration Tables Sup #1'!K54*(1+'Other Assumptions'!O$48)</f>
        <v>4.5503977162622153E-2</v>
      </c>
    </row>
    <row r="55" spans="1:11" x14ac:dyDescent="0.25">
      <c r="A55" t="str">
        <f ca="1">OFFSET(Gisborne_Reference,42,2)</f>
        <v>Local Train</v>
      </c>
      <c r="B55" s="4">
        <f ca="1">B165*'Total Duration Tables Sup #1'!B55*(1+'Other Assumptions'!D$48)</f>
        <v>0</v>
      </c>
      <c r="C55" s="4">
        <f ca="1">C165*'Total Duration Tables Sup #1'!C55*(1+'Other Assumptions'!G$48)</f>
        <v>0</v>
      </c>
      <c r="D55" s="4">
        <f ca="1">D165*'Total Duration Tables Sup #1'!D55*(1+'Other Assumptions'!H$48)</f>
        <v>0</v>
      </c>
      <c r="E55" s="4">
        <f ca="1">E165*'Total Duration Tables Sup #1'!E55*(1+'Other Assumptions'!I$48)</f>
        <v>0</v>
      </c>
      <c r="F55" s="4">
        <f ca="1">F165*'Total Duration Tables Sup #1'!F55*(1+'Other Assumptions'!J$48)</f>
        <v>0</v>
      </c>
      <c r="G55" s="4">
        <f ca="1">G165*'Total Duration Tables Sup #1'!G55*(1+'Other Assumptions'!K$48)</f>
        <v>0</v>
      </c>
      <c r="H55" s="4">
        <f ca="1">H165*'Total Duration Tables Sup #1'!H55*(1+'Other Assumptions'!L$48)</f>
        <v>0</v>
      </c>
      <c r="I55" s="4">
        <f ca="1">I165*'Total Duration Tables Sup #1'!I55*(1+'Other Assumptions'!M$48)</f>
        <v>0</v>
      </c>
      <c r="J55" s="4">
        <f ca="1">J165*'Total Duration Tables Sup #1'!J55*(1+'Other Assumptions'!N$48)</f>
        <v>0</v>
      </c>
      <c r="K55" s="4">
        <f ca="1">K165*'Total Duration Tables Sup #1'!K55*(1+'Other Assumptions'!O$48)</f>
        <v>0</v>
      </c>
    </row>
    <row r="56" spans="1:11" x14ac:dyDescent="0.25">
      <c r="A56" t="str">
        <f ca="1">OFFSET(Gisborne_Reference,49,2)</f>
        <v>Local Bus</v>
      </c>
      <c r="B56" s="4">
        <f ca="1">B166*'Total Duration Tables Sup #1'!B56*(1+'Other Assumptions'!D$48)</f>
        <v>0.17812381360000001</v>
      </c>
      <c r="C56" s="4">
        <f ca="1">C166*'Total Duration Tables Sup #1'!C56*(1+'Other Assumptions'!G$48)</f>
        <v>0.16819576788088281</v>
      </c>
      <c r="D56" s="4">
        <f ca="1">D166*'Total Duration Tables Sup #1'!D56*(1+'Other Assumptions'!H$48)</f>
        <v>0.16074255911880611</v>
      </c>
      <c r="E56" s="4">
        <f ca="1">E166*'Total Duration Tables Sup #1'!E56*(1+'Other Assumptions'!I$48)</f>
        <v>0.15545498226820698</v>
      </c>
      <c r="F56" s="4">
        <f ca="1">F166*'Total Duration Tables Sup #1'!F56*(1+'Other Assumptions'!J$48)</f>
        <v>0.14843266881516604</v>
      </c>
      <c r="G56" s="4">
        <f ca="1">G166*'Total Duration Tables Sup #1'!G56*(1+'Other Assumptions'!K$48)</f>
        <v>0.14228102569432455</v>
      </c>
      <c r="H56" s="4">
        <f ca="1">H166*'Total Duration Tables Sup #1'!H56*(1+'Other Assumptions'!L$48)</f>
        <v>0.13583099130142401</v>
      </c>
      <c r="I56" s="4">
        <f ca="1">I166*'Total Duration Tables Sup #1'!I56*(1+'Other Assumptions'!M$48)</f>
        <v>0.1347091667002667</v>
      </c>
      <c r="J56" s="4">
        <f ca="1">J166*'Total Duration Tables Sup #1'!J56*(1+'Other Assumptions'!N$48)</f>
        <v>0.13317195670319129</v>
      </c>
      <c r="K56" s="4">
        <f ca="1">K166*'Total Duration Tables Sup #1'!K56*(1+'Other Assumptions'!O$48)</f>
        <v>0.13136993822463769</v>
      </c>
    </row>
    <row r="57" spans="1:11" x14ac:dyDescent="0.25">
      <c r="A57" t="str">
        <f ca="1">OFFSET(Gisborne_Reference,56,2)</f>
        <v>Local Ferry</v>
      </c>
      <c r="B57" s="4">
        <f ca="1">B167*'Total Duration Tables Sup #1'!B57*(1+'Other Assumptions'!D$48)</f>
        <v>6.5213138999999981E-3</v>
      </c>
      <c r="C57" s="4">
        <f ca="1">C167*'Total Duration Tables Sup #1'!C57*(1+'Other Assumptions'!G$48)</f>
        <v>6.9650497497373747E-3</v>
      </c>
      <c r="D57" s="4">
        <f ca="1">D167*'Total Duration Tables Sup #1'!D57*(1+'Other Assumptions'!H$48)</f>
        <v>7.1978641739978656E-3</v>
      </c>
      <c r="E57" s="4">
        <f ca="1">E167*'Total Duration Tables Sup #1'!E57*(1+'Other Assumptions'!I$48)</f>
        <v>7.2787644454933662E-3</v>
      </c>
      <c r="F57" s="4">
        <f ca="1">F167*'Total Duration Tables Sup #1'!F57*(1+'Other Assumptions'!J$48)</f>
        <v>7.2512814347918918E-3</v>
      </c>
      <c r="G57" s="4">
        <f ca="1">G167*'Total Duration Tables Sup #1'!G57*(1+'Other Assumptions'!K$48)</f>
        <v>7.3159102280052138E-3</v>
      </c>
      <c r="H57" s="4">
        <f ca="1">H167*'Total Duration Tables Sup #1'!H57*(1+'Other Assumptions'!L$48)</f>
        <v>7.3106704287483927E-3</v>
      </c>
      <c r="I57" s="4">
        <f ca="1">I167*'Total Duration Tables Sup #1'!I57*(1+'Other Assumptions'!M$48)</f>
        <v>7.128119786743956E-3</v>
      </c>
      <c r="J57" s="4">
        <f ca="1">J167*'Total Duration Tables Sup #1'!J57*(1+'Other Assumptions'!N$48)</f>
        <v>6.9296296930550809E-3</v>
      </c>
      <c r="K57" s="4">
        <f ca="1">K167*'Total Duration Tables Sup #1'!K57*(1+'Other Assumptions'!O$48)</f>
        <v>6.723767582515053E-3</v>
      </c>
    </row>
    <row r="58" spans="1:11" x14ac:dyDescent="0.25">
      <c r="A58" t="str">
        <f ca="1">OFFSET(Gisborne_Reference,63,2)</f>
        <v>Other Household Travel</v>
      </c>
      <c r="B58" s="4">
        <f ca="1">B168*'Total Duration Tables Sup #1'!B58*(1+'Other Assumptions'!D$48)</f>
        <v>5.2226492000000003E-3</v>
      </c>
      <c r="C58" s="4">
        <f ca="1">C168*'Total Duration Tables Sup #1'!C58*(1+'Other Assumptions'!G$48)</f>
        <v>5.4483429771967065E-3</v>
      </c>
      <c r="D58" s="4">
        <f ca="1">D168*'Total Duration Tables Sup #1'!D58*(1+'Other Assumptions'!H$48)</f>
        <v>5.5789778213132099E-3</v>
      </c>
      <c r="E58" s="4">
        <f ca="1">E168*'Total Duration Tables Sup #1'!E58*(1+'Other Assumptions'!I$48)</f>
        <v>5.5832154892161787E-3</v>
      </c>
      <c r="F58" s="4">
        <f ca="1">F168*'Total Duration Tables Sup #1'!F58*(1+'Other Assumptions'!J$48)</f>
        <v>5.5398413133402897E-3</v>
      </c>
      <c r="G58" s="4">
        <f ca="1">G168*'Total Duration Tables Sup #1'!G58*(1+'Other Assumptions'!K$48)</f>
        <v>5.5015714415038467E-3</v>
      </c>
      <c r="H58" s="4">
        <f ca="1">H168*'Total Duration Tables Sup #1'!H58*(1+'Other Assumptions'!L$48)</f>
        <v>5.424210247717165E-3</v>
      </c>
      <c r="I58" s="4">
        <f ca="1">I168*'Total Duration Tables Sup #1'!I58*(1+'Other Assumptions'!M$48)</f>
        <v>5.3496673499985117E-3</v>
      </c>
      <c r="J58" s="4">
        <f ca="1">J168*'Total Duration Tables Sup #1'!J58*(1+'Other Assumptions'!N$48)</f>
        <v>5.2596384563420445E-3</v>
      </c>
      <c r="K58" s="4">
        <f ca="1">K168*'Total Duration Tables Sup #1'!K58*(1+'Other Assumptions'!O$48)</f>
        <v>5.1602957892349652E-3</v>
      </c>
    </row>
    <row r="59" spans="1:11" x14ac:dyDescent="0.25">
      <c r="A59" t="str">
        <f ca="1">OFFSET(Hawkes_Bay_Reference,0,0)</f>
        <v>06 HAWKE`S BAY</v>
      </c>
    </row>
    <row r="60" spans="1:11" x14ac:dyDescent="0.25">
      <c r="A60" t="str">
        <f ca="1">OFFSET(Hawkes_Bay_Reference,0,2)</f>
        <v>Pedestrian</v>
      </c>
      <c r="B60" s="4">
        <f ca="1">B159*'Total Duration Tables Sup #1'!B60*(1+'Other Assumptions'!D$49)*(1+'Active Mode Assumptions'!B11)</f>
        <v>5.9462513095</v>
      </c>
      <c r="C60" s="4">
        <f ca="1">C159*'Total Duration Tables Sup #1'!C60*(1+'Other Assumptions'!G$49)*(1+'Active Mode Assumptions'!C11)</f>
        <v>6.0692678125483877</v>
      </c>
      <c r="D60" s="4">
        <f ca="1">D159*'Total Duration Tables Sup #1'!D60*(1+'Other Assumptions'!H$49)*(1+'Active Mode Assumptions'!D11)</f>
        <v>6.4374517099404578</v>
      </c>
      <c r="E60" s="4">
        <f ca="1">E159*'Total Duration Tables Sup #1'!E60*(1+'Other Assumptions'!I$49)*(1+'Active Mode Assumptions'!E11)</f>
        <v>6.7402571046829811</v>
      </c>
      <c r="F60" s="4">
        <f ca="1">F159*'Total Duration Tables Sup #1'!F60*(1+'Other Assumptions'!J$49)*(1+'Active Mode Assumptions'!F11)</f>
        <v>6.9598046468737742</v>
      </c>
      <c r="G60" s="4">
        <f ca="1">G159*'Total Duration Tables Sup #1'!G60*(1+'Other Assumptions'!K$49)*(1+'Active Mode Assumptions'!G11)</f>
        <v>7.1343777149777567</v>
      </c>
      <c r="H60" s="4">
        <f ca="1">H159*'Total Duration Tables Sup #1'!H60*(1+'Other Assumptions'!L$49)*(1+'Active Mode Assumptions'!H11)</f>
        <v>7.2652317677568012</v>
      </c>
      <c r="I60" s="4">
        <f ca="1">I159*'Total Duration Tables Sup #1'!I60*(1+'Other Assumptions'!M$49)*(1+'Active Mode Assumptions'!I11)</f>
        <v>7.2092604052518805</v>
      </c>
      <c r="J60" s="4">
        <f ca="1">J159*'Total Duration Tables Sup #1'!J60*(1+'Other Assumptions'!N$49)*(1+'Active Mode Assumptions'!J11)</f>
        <v>7.1310211747041068</v>
      </c>
      <c r="K60" s="4">
        <f ca="1">K159*'Total Duration Tables Sup #1'!K60*(1+'Other Assumptions'!O$49)*(1+'Active Mode Assumptions'!K11)</f>
        <v>7.0385424797173615</v>
      </c>
    </row>
    <row r="61" spans="1:11" x14ac:dyDescent="0.25">
      <c r="A61" t="str">
        <f ca="1">OFFSET(Hawkes_Bay_Reference,7,2)</f>
        <v>Cyclist</v>
      </c>
      <c r="B61" s="4">
        <f ca="1">B160*'Total Duration Tables Sup #1'!B61*(1+'Other Assumptions'!D$49)*(1+'Active Mode Assumptions'!B20)</f>
        <v>0.88401106659999995</v>
      </c>
      <c r="C61" s="4">
        <f ca="1">C160*'Total Duration Tables Sup #1'!C61*(1+'Other Assumptions'!G$49)*(1+'Active Mode Assumptions'!C20)</f>
        <v>0.92565021607367326</v>
      </c>
      <c r="D61" s="4">
        <f ca="1">D160*'Total Duration Tables Sup #1'!D61*(1+'Other Assumptions'!H$49)*(1+'Active Mode Assumptions'!D20)</f>
        <v>1.3099708623670749</v>
      </c>
      <c r="E61" s="4">
        <f ca="1">E160*'Total Duration Tables Sup #1'!E61*(1+'Other Assumptions'!I$49)*(1+'Active Mode Assumptions'!E20)</f>
        <v>1.6770052982404595</v>
      </c>
      <c r="F61" s="4">
        <f ca="1">F160*'Total Duration Tables Sup #1'!F61*(1+'Other Assumptions'!J$49)*(1+'Active Mode Assumptions'!F20)</f>
        <v>2.0524706377915427</v>
      </c>
      <c r="G61" s="4">
        <f ca="1">G160*'Total Duration Tables Sup #1'!G61*(1+'Other Assumptions'!K$49)*(1+'Active Mode Assumptions'!G20)</f>
        <v>2.45043532304059</v>
      </c>
      <c r="H61" s="4">
        <f ca="1">H160*'Total Duration Tables Sup #1'!H61*(1+'Other Assumptions'!L$49)*(1+'Active Mode Assumptions'!H20)</f>
        <v>2.8542388537694809</v>
      </c>
      <c r="I61" s="4">
        <f ca="1">I160*'Total Duration Tables Sup #1'!I61*(1+'Other Assumptions'!M$49)*(1+'Active Mode Assumptions'!I20)</f>
        <v>2.8457419431953106</v>
      </c>
      <c r="J61" s="4">
        <f ca="1">J160*'Total Duration Tables Sup #1'!J61*(1+'Other Assumptions'!N$49)*(1+'Active Mode Assumptions'!J20)</f>
        <v>2.8283981121238084</v>
      </c>
      <c r="K61" s="4">
        <f ca="1">K160*'Total Duration Tables Sup #1'!K61*(1+'Other Assumptions'!O$49)*(1+'Active Mode Assumptions'!K20)</f>
        <v>2.8052727924172949</v>
      </c>
    </row>
    <row r="62" spans="1:11" x14ac:dyDescent="0.25">
      <c r="A62" t="str">
        <f ca="1">OFFSET(Hawkes_Bay_Reference,14,2)</f>
        <v>Light Vehicle Driver</v>
      </c>
      <c r="B62" s="4">
        <f ca="1">B161*'Total Duration Tables Sup #1'!B62*(1+'Other Assumptions'!D$49)-(B60*'Active Mode Assumptions'!B11*'Active Mode Assumptions'!B14/(1+'Active Mode Assumptions'!B11))-(B61*'Active Mode Assumptions'!B20*'Active Mode Assumptions'!B23/(1+'Active Mode Assumptions'!B20))</f>
        <v>25.377986313000001</v>
      </c>
      <c r="C62" s="4">
        <f ca="1">C161*'Total Duration Tables Sup #1'!C62*(1+'Other Assumptions'!G$49)-(C60*'Active Mode Assumptions'!C11*'Active Mode Assumptions'!C14/(1+'Active Mode Assumptions'!C11))-(C61*'Active Mode Assumptions'!C20*'Active Mode Assumptions'!C23/(1+'Active Mode Assumptions'!C20))</f>
        <v>26.789658021715166</v>
      </c>
      <c r="D62" s="4">
        <f ca="1">D161*'Total Duration Tables Sup #1'!D62*(1+'Other Assumptions'!H$49)-(D60*'Active Mode Assumptions'!D11*'Active Mode Assumptions'!D14/(1+'Active Mode Assumptions'!D11))-(D61*'Active Mode Assumptions'!D20*'Active Mode Assumptions'!D23/(1+'Active Mode Assumptions'!D20))</f>
        <v>27.15280145532283</v>
      </c>
      <c r="E62" s="4">
        <f ca="1">E161*'Total Duration Tables Sup #1'!E62*(1+'Other Assumptions'!I$49)-(E60*'Active Mode Assumptions'!E11*'Active Mode Assumptions'!E14/(1+'Active Mode Assumptions'!E11))-(E61*'Active Mode Assumptions'!E20*'Active Mode Assumptions'!E23/(1+'Active Mode Assumptions'!E20))</f>
        <v>27.478152964221042</v>
      </c>
      <c r="F62" s="4">
        <f ca="1">F161*'Total Duration Tables Sup #1'!F62*(1+'Other Assumptions'!J$49)-(F60*'Active Mode Assumptions'!F11*'Active Mode Assumptions'!F14/(1+'Active Mode Assumptions'!F11))-(F61*'Active Mode Assumptions'!F20*'Active Mode Assumptions'!F23/(1+'Active Mode Assumptions'!F20))</f>
        <v>27.623467222015499</v>
      </c>
      <c r="G62" s="4">
        <f ca="1">G161*'Total Duration Tables Sup #1'!G62*(1+'Other Assumptions'!K$49)-(G60*'Active Mode Assumptions'!G11*'Active Mode Assumptions'!G14/(1+'Active Mode Assumptions'!G11))-(G61*'Active Mode Assumptions'!G20*'Active Mode Assumptions'!G23/(1+'Active Mode Assumptions'!G20))</f>
        <v>27.461300715351118</v>
      </c>
      <c r="H62" s="4">
        <f ca="1">H161*'Total Duration Tables Sup #1'!H62*(1+'Other Assumptions'!L$49)-(H60*'Active Mode Assumptions'!H11*'Active Mode Assumptions'!H14/(1+'Active Mode Assumptions'!H11))-(H61*'Active Mode Assumptions'!H20*'Active Mode Assumptions'!H23/(1+'Active Mode Assumptions'!H20))</f>
        <v>27.149839601569532</v>
      </c>
      <c r="I62" s="4">
        <f ca="1">I161*'Total Duration Tables Sup #1'!I62*(1+'Other Assumptions'!M$49)-(I60*'Active Mode Assumptions'!I11*'Active Mode Assumptions'!I14/(1+'Active Mode Assumptions'!I11))-(I61*'Active Mode Assumptions'!I20*'Active Mode Assumptions'!I23/(1+'Active Mode Assumptions'!I20))</f>
        <v>26.927029980314337</v>
      </c>
      <c r="J62" s="4">
        <f ca="1">J161*'Total Duration Tables Sup #1'!J62*(1+'Other Assumptions'!N$49)-(J60*'Active Mode Assumptions'!J11*'Active Mode Assumptions'!J14/(1+'Active Mode Assumptions'!J11))-(J61*'Active Mode Assumptions'!J20*'Active Mode Assumptions'!J23/(1+'Active Mode Assumptions'!J20))</f>
        <v>26.621335303619855</v>
      </c>
      <c r="K62" s="4">
        <f ca="1">K161*'Total Duration Tables Sup #1'!K62*(1+'Other Assumptions'!O$49)-(K60*'Active Mode Assumptions'!K11*'Active Mode Assumptions'!K14/(1+'Active Mode Assumptions'!K11))-(K61*'Active Mode Assumptions'!K20*'Active Mode Assumptions'!K23/(1+'Active Mode Assumptions'!K20))</f>
        <v>26.262851914260196</v>
      </c>
    </row>
    <row r="63" spans="1:11" x14ac:dyDescent="0.25">
      <c r="A63" t="str">
        <f ca="1">OFFSET(Hawkes_Bay_Reference,21,2)</f>
        <v>Light Vehicle Passenger</v>
      </c>
      <c r="B63" s="4">
        <f ca="1">B162*'Total Duration Tables Sup #1'!B63*(1+'Other Assumptions'!D$49)-(B60*'Active Mode Assumptions'!B11*'Active Mode Assumptions'!B15/(1+'Active Mode Assumptions'!B11))-(B61*'Active Mode Assumptions'!B20*'Active Mode Assumptions'!B24/(1+'Active Mode Assumptions'!B20))</f>
        <v>15.230731736999999</v>
      </c>
      <c r="C63" s="4">
        <f ca="1">C162*'Total Duration Tables Sup #1'!C63*(1+'Other Assumptions'!G$49)-(C60*'Active Mode Assumptions'!C11*'Active Mode Assumptions'!C15/(1+'Active Mode Assumptions'!C11))-(C61*'Active Mode Assumptions'!C20*'Active Mode Assumptions'!C24/(1+'Active Mode Assumptions'!C20))</f>
        <v>15.408457295801387</v>
      </c>
      <c r="D63" s="4">
        <f ca="1">D162*'Total Duration Tables Sup #1'!D63*(1+'Other Assumptions'!H$49)-(D60*'Active Mode Assumptions'!D11*'Active Mode Assumptions'!D15/(1+'Active Mode Assumptions'!D11))-(D61*'Active Mode Assumptions'!D20*'Active Mode Assumptions'!D24/(1+'Active Mode Assumptions'!D20))</f>
        <v>15.171824503459646</v>
      </c>
      <c r="E63" s="4">
        <f ca="1">E162*'Total Duration Tables Sup #1'!E63*(1+'Other Assumptions'!I$49)-(E60*'Active Mode Assumptions'!E11*'Active Mode Assumptions'!E15/(1+'Active Mode Assumptions'!E11))-(E61*'Active Mode Assumptions'!E20*'Active Mode Assumptions'!E24/(1+'Active Mode Assumptions'!E20))</f>
        <v>14.914531127832582</v>
      </c>
      <c r="F63" s="4">
        <f ca="1">F162*'Total Duration Tables Sup #1'!F63*(1+'Other Assumptions'!J$49)-(F60*'Active Mode Assumptions'!F11*'Active Mode Assumptions'!F15/(1+'Active Mode Assumptions'!F11))-(F61*'Active Mode Assumptions'!F20*'Active Mode Assumptions'!F24/(1+'Active Mode Assumptions'!F20))</f>
        <v>14.545388265764357</v>
      </c>
      <c r="G63" s="4">
        <f ca="1">G162*'Total Duration Tables Sup #1'!G63*(1+'Other Assumptions'!K$49)-(G60*'Active Mode Assumptions'!G11*'Active Mode Assumptions'!G15/(1+'Active Mode Assumptions'!G11))-(G61*'Active Mode Assumptions'!G20*'Active Mode Assumptions'!G24/(1+'Active Mode Assumptions'!G20))</f>
        <v>14.078821915792052</v>
      </c>
      <c r="H63" s="4">
        <f ca="1">H162*'Total Duration Tables Sup #1'!H63*(1+'Other Assumptions'!L$49)-(H60*'Active Mode Assumptions'!H11*'Active Mode Assumptions'!H15/(1+'Active Mode Assumptions'!H11))-(H61*'Active Mode Assumptions'!H20*'Active Mode Assumptions'!H24/(1+'Active Mode Assumptions'!H20))</f>
        <v>13.54394869070495</v>
      </c>
      <c r="I63" s="4">
        <f ca="1">I162*'Total Duration Tables Sup #1'!I63*(1+'Other Assumptions'!M$49)-(I60*'Active Mode Assumptions'!I11*'Active Mode Assumptions'!I15/(1+'Active Mode Assumptions'!I11))-(I61*'Active Mode Assumptions'!I20*'Active Mode Assumptions'!I24/(1+'Active Mode Assumptions'!I20))</f>
        <v>13.445667185909498</v>
      </c>
      <c r="J63" s="4">
        <f ca="1">J162*'Total Duration Tables Sup #1'!J63*(1+'Other Assumptions'!N$49)-(J60*'Active Mode Assumptions'!J11*'Active Mode Assumptions'!J15/(1+'Active Mode Assumptions'!J11))-(J61*'Active Mode Assumptions'!J20*'Active Mode Assumptions'!J24/(1+'Active Mode Assumptions'!J20))</f>
        <v>13.305673467594648</v>
      </c>
      <c r="K63" s="4">
        <f ca="1">K162*'Total Duration Tables Sup #1'!K63*(1+'Other Assumptions'!O$49)-(K60*'Active Mode Assumptions'!K11*'Active Mode Assumptions'!K15/(1+'Active Mode Assumptions'!K11))-(K61*'Active Mode Assumptions'!K20*'Active Mode Assumptions'!K24/(1+'Active Mode Assumptions'!K20))</f>
        <v>13.138902524113863</v>
      </c>
    </row>
    <row r="64" spans="1:11" x14ac:dyDescent="0.25">
      <c r="A64" t="str">
        <f ca="1">OFFSET(Hawkes_Bay_Reference,28,2)</f>
        <v>Taxi/Vehicle Share</v>
      </c>
      <c r="B64" s="4">
        <f ca="1">B163*'Total Duration Tables Sup #1'!B64*(1+'Other Assumptions'!D$49)</f>
        <v>4.5837477299999999E-2</v>
      </c>
      <c r="C64" s="4">
        <f ca="1">C163*'Total Duration Tables Sup #1'!C64*(1+'Other Assumptions'!G$49)</f>
        <v>5.0287531164975988E-2</v>
      </c>
      <c r="D64" s="4">
        <f ca="1">D163*'Total Duration Tables Sup #1'!D64*(1+'Other Assumptions'!H$49)</f>
        <v>5.3466017886829996E-2</v>
      </c>
      <c r="E64" s="4">
        <f ca="1">E163*'Total Duration Tables Sup #1'!E64*(1+'Other Assumptions'!I$49)</f>
        <v>5.6033340908917866E-2</v>
      </c>
      <c r="F64" s="4">
        <f ca="1">F163*'Total Duration Tables Sup #1'!F64*(1+'Other Assumptions'!J$49)</f>
        <v>5.7826318464388383E-2</v>
      </c>
      <c r="G64" s="4">
        <f ca="1">G163*'Total Duration Tables Sup #1'!G64*(1+'Other Assumptions'!K$49)</f>
        <v>5.846302451915155E-2</v>
      </c>
      <c r="H64" s="4">
        <f ca="1">H163*'Total Duration Tables Sup #1'!H64*(1+'Other Assumptions'!L$49)</f>
        <v>5.8769712102308191E-2</v>
      </c>
      <c r="I64" s="4">
        <f ca="1">I163*'Total Duration Tables Sup #1'!I64*(1+'Other Assumptions'!M$49)</f>
        <v>5.8189521994675232E-2</v>
      </c>
      <c r="J64" s="4">
        <f ca="1">J163*'Total Duration Tables Sup #1'!J64*(1+'Other Assumptions'!N$49)</f>
        <v>5.7432435641060126E-2</v>
      </c>
      <c r="K64" s="4">
        <f ca="1">K163*'Total Duration Tables Sup #1'!K64*(1+'Other Assumptions'!O$49)</f>
        <v>5.6564227165893495E-2</v>
      </c>
    </row>
    <row r="65" spans="1:11" x14ac:dyDescent="0.25">
      <c r="A65" t="str">
        <f ca="1">OFFSET(Hawkes_Bay_Reference,35,2)</f>
        <v>Motorcyclist</v>
      </c>
      <c r="B65" s="4">
        <f ca="1">B164*'Total Duration Tables Sup #1'!B65*(1+'Other Assumptions'!D$49)</f>
        <v>0.11763194120000001</v>
      </c>
      <c r="C65" s="4">
        <f ca="1">C164*'Total Duration Tables Sup #1'!C65*(1+'Other Assumptions'!G$49)</f>
        <v>0.12302163045062517</v>
      </c>
      <c r="D65" s="4">
        <f ca="1">D164*'Total Duration Tables Sup #1'!D65*(1+'Other Assumptions'!H$49)</f>
        <v>0.1247059132771377</v>
      </c>
      <c r="E65" s="4">
        <f ca="1">E164*'Total Duration Tables Sup #1'!E65*(1+'Other Assumptions'!I$49)</f>
        <v>0.12537335070530159</v>
      </c>
      <c r="F65" s="4">
        <f ca="1">F164*'Total Duration Tables Sup #1'!F65*(1+'Other Assumptions'!J$49)</f>
        <v>0.12523381726408178</v>
      </c>
      <c r="G65" s="4">
        <f ca="1">G164*'Total Duration Tables Sup #1'!G65*(1+'Other Assumptions'!K$49)</f>
        <v>0.123162133882704</v>
      </c>
      <c r="H65" s="4">
        <f ca="1">H164*'Total Duration Tables Sup #1'!H65*(1+'Other Assumptions'!L$49)</f>
        <v>0.12038104642522429</v>
      </c>
      <c r="I65" s="4">
        <f ca="1">I164*'Total Duration Tables Sup #1'!I65*(1+'Other Assumptions'!M$49)</f>
        <v>0.12002074963649764</v>
      </c>
      <c r="J65" s="4">
        <f ca="1">J164*'Total Duration Tables Sup #1'!J65*(1+'Other Assumptions'!N$49)</f>
        <v>0.11928136271121009</v>
      </c>
      <c r="K65" s="4">
        <f ca="1">K164*'Total Duration Tables Sup #1'!K65*(1+'Other Assumptions'!O$49)</f>
        <v>0.1182922066292304</v>
      </c>
    </row>
    <row r="66" spans="1:11" x14ac:dyDescent="0.25">
      <c r="A66" t="str">
        <f ca="1">OFFSET(Auckland_Reference,42,2)</f>
        <v>Local Train</v>
      </c>
      <c r="B66" s="4">
        <f ca="1">B165*'Total Duration Tables Sup #1'!B66*(1+'Other Assumptions'!D$49)</f>
        <v>0</v>
      </c>
      <c r="C66" s="4">
        <f ca="1">C165*'Total Duration Tables Sup #1'!C66*(1+'Other Assumptions'!G$49)</f>
        <v>0</v>
      </c>
      <c r="D66" s="4">
        <f ca="1">D165*'Total Duration Tables Sup #1'!D66*(1+'Other Assumptions'!H$49)</f>
        <v>0</v>
      </c>
      <c r="E66" s="4">
        <f ca="1">E165*'Total Duration Tables Sup #1'!E66*(1+'Other Assumptions'!I$49)</f>
        <v>0</v>
      </c>
      <c r="F66" s="4">
        <f ca="1">F165*'Total Duration Tables Sup #1'!F66*(1+'Other Assumptions'!J$49)</f>
        <v>0</v>
      </c>
      <c r="G66" s="4">
        <f ca="1">G165*'Total Duration Tables Sup #1'!G66*(1+'Other Assumptions'!K$49)</f>
        <v>0</v>
      </c>
      <c r="H66" s="4">
        <f ca="1">H165*'Total Duration Tables Sup #1'!H66*(1+'Other Assumptions'!L$49)</f>
        <v>0</v>
      </c>
      <c r="I66" s="4">
        <f ca="1">I165*'Total Duration Tables Sup #1'!I66*(1+'Other Assumptions'!M$49)</f>
        <v>0</v>
      </c>
      <c r="J66" s="4">
        <f ca="1">J165*'Total Duration Tables Sup #1'!J66*(1+'Other Assumptions'!N$49)</f>
        <v>0</v>
      </c>
      <c r="K66" s="4">
        <f ca="1">K165*'Total Duration Tables Sup #1'!K66*(1+'Other Assumptions'!O$49)</f>
        <v>0</v>
      </c>
    </row>
    <row r="67" spans="1:11" x14ac:dyDescent="0.25">
      <c r="A67" t="str">
        <f ca="1">OFFSET(Hawkes_Bay_Reference,42,2)</f>
        <v>Local Bus</v>
      </c>
      <c r="B67" s="4">
        <f ca="1">B166*'Total Duration Tables Sup #1'!B67*(1+'Other Assumptions'!D$49)</f>
        <v>1.3660147812000001</v>
      </c>
      <c r="C67" s="4">
        <f ca="1">C166*'Total Duration Tables Sup #1'!C67*(1+'Other Assumptions'!G$49)</f>
        <v>1.2982433042351329</v>
      </c>
      <c r="D67" s="4">
        <f ca="1">D166*'Total Duration Tables Sup #1'!D67*(1+'Other Assumptions'!H$49)</f>
        <v>1.242606348192103</v>
      </c>
      <c r="E67" s="4">
        <f ca="1">E166*'Total Duration Tables Sup #1'!E67*(1+'Other Assumptions'!I$49)</f>
        <v>1.2050420588106907</v>
      </c>
      <c r="F67" s="4">
        <f ca="1">F166*'Total Duration Tables Sup #1'!F67*(1+'Other Assumptions'!J$49)</f>
        <v>1.1524960786685718</v>
      </c>
      <c r="G67" s="4">
        <f ca="1">G166*'Total Duration Tables Sup #1'!G67*(1+'Other Assumptions'!K$49)</f>
        <v>1.1082258414285626</v>
      </c>
      <c r="H67" s="4">
        <f ca="1">H166*'Total Duration Tables Sup #1'!H67*(1+'Other Assumptions'!L$49)</f>
        <v>1.060621376440664</v>
      </c>
      <c r="I67" s="4">
        <f ca="1">I166*'Total Duration Tables Sup #1'!I67*(1+'Other Assumptions'!M$49)</f>
        <v>1.0544812834850883</v>
      </c>
      <c r="J67" s="4">
        <f ca="1">J166*'Total Duration Tables Sup #1'!J67*(1+'Other Assumptions'!N$49)</f>
        <v>1.0450443634653628</v>
      </c>
      <c r="K67" s="4">
        <f ca="1">K166*'Total Duration Tables Sup #1'!K67*(1+'Other Assumptions'!O$49)</f>
        <v>1.0334706853395534</v>
      </c>
    </row>
    <row r="68" spans="1:11" x14ac:dyDescent="0.25">
      <c r="A68" t="str">
        <f ca="1">OFFSET(Waikato_Reference,56,2)</f>
        <v>Local Ferry</v>
      </c>
      <c r="B68" s="4">
        <f ca="1">B167*'Total Duration Tables Sup #1'!B68*(1+'Other Assumptions'!D$49)</f>
        <v>0</v>
      </c>
      <c r="C68" s="4">
        <f ca="1">C167*'Total Duration Tables Sup #1'!C68*(1+'Other Assumptions'!G$49)</f>
        <v>0</v>
      </c>
      <c r="D68" s="4">
        <f ca="1">D167*'Total Duration Tables Sup #1'!D68*(1+'Other Assumptions'!H$49)</f>
        <v>0</v>
      </c>
      <c r="E68" s="4">
        <f ca="1">E167*'Total Duration Tables Sup #1'!E68*(1+'Other Assumptions'!I$49)</f>
        <v>0</v>
      </c>
      <c r="F68" s="4">
        <f ca="1">F167*'Total Duration Tables Sup #1'!F68*(1+'Other Assumptions'!J$49)</f>
        <v>0</v>
      </c>
      <c r="G68" s="4">
        <f ca="1">G167*'Total Duration Tables Sup #1'!G68*(1+'Other Assumptions'!K$49)</f>
        <v>0</v>
      </c>
      <c r="H68" s="4">
        <f ca="1">H167*'Total Duration Tables Sup #1'!H68*(1+'Other Assumptions'!L$49)</f>
        <v>0</v>
      </c>
      <c r="I68" s="4">
        <f ca="1">I167*'Total Duration Tables Sup #1'!I68*(1+'Other Assumptions'!M$49)</f>
        <v>0</v>
      </c>
      <c r="J68" s="4">
        <f ca="1">J167*'Total Duration Tables Sup #1'!J68*(1+'Other Assumptions'!N$49)</f>
        <v>0</v>
      </c>
      <c r="K68" s="4">
        <f ca="1">K167*'Total Duration Tables Sup #1'!K68*(1+'Other Assumptions'!O$49)</f>
        <v>0</v>
      </c>
    </row>
    <row r="69" spans="1:11" x14ac:dyDescent="0.25">
      <c r="A69" t="str">
        <f ca="1">OFFSET(Hawkes_Bay_Reference,49,2)</f>
        <v>Other Household Travel</v>
      </c>
      <c r="B69" s="4">
        <f ca="1">B168*'Total Duration Tables Sup #1'!B69*(1+'Other Assumptions'!D$49)</f>
        <v>0.15778150060000001</v>
      </c>
      <c r="C69" s="4">
        <f ca="1">C168*'Total Duration Tables Sup #1'!C69*(1+'Other Assumptions'!G$49)</f>
        <v>0.16566748482517793</v>
      </c>
      <c r="D69" s="4">
        <f ca="1">D168*'Total Duration Tables Sup #1'!D69*(1+'Other Assumptions'!H$49)</f>
        <v>0.16989834058356984</v>
      </c>
      <c r="E69" s="4">
        <f ca="1">E168*'Total Duration Tables Sup #1'!E69*(1+'Other Assumptions'!I$49)</f>
        <v>0.17049583026541223</v>
      </c>
      <c r="F69" s="4">
        <f ca="1">F168*'Total Duration Tables Sup #1'!F69*(1+'Other Assumptions'!J$49)</f>
        <v>0.16944903403247599</v>
      </c>
      <c r="G69" s="4">
        <f ca="1">G168*'Total Duration Tables Sup #1'!G69*(1+'Other Assumptions'!K$49)</f>
        <v>0.16881065493363442</v>
      </c>
      <c r="H69" s="4">
        <f ca="1">H168*'Total Duration Tables Sup #1'!H69*(1+'Other Assumptions'!L$49)</f>
        <v>0.16685139154372172</v>
      </c>
      <c r="I69" s="4">
        <f ca="1">I168*'Total Duration Tables Sup #1'!I69*(1+'Other Assumptions'!M$49)</f>
        <v>0.1649682305786955</v>
      </c>
      <c r="J69" s="4">
        <f ca="1">J168*'Total Duration Tables Sup #1'!J69*(1+'Other Assumptions'!N$49)</f>
        <v>0.16259592267386538</v>
      </c>
      <c r="K69" s="4">
        <f ca="1">K168*'Total Duration Tables Sup #1'!K69*(1+'Other Assumptions'!O$49)</f>
        <v>0.15992213357504778</v>
      </c>
    </row>
    <row r="70" spans="1:11" x14ac:dyDescent="0.25">
      <c r="A70" t="str">
        <f ca="1">OFFSET(Taranaki_Reference,0,0)</f>
        <v>07 TARANAKI</v>
      </c>
    </row>
    <row r="71" spans="1:11" x14ac:dyDescent="0.25">
      <c r="A71" t="str">
        <f ca="1">OFFSET(Taranaki_Reference,0,2)</f>
        <v>Pedestrian</v>
      </c>
      <c r="B71" s="4">
        <f ca="1">B159*'Total Duration Tables Sup #1'!B71*(1+'Other Assumptions'!D$50)*(1+'Active Mode Assumptions'!B11)</f>
        <v>4.7547330373000003</v>
      </c>
      <c r="C71" s="4">
        <f ca="1">C159*'Total Duration Tables Sup #1'!C71*(1+'Other Assumptions'!G$50)*(1+'Active Mode Assumptions'!C11)</f>
        <v>4.8989286614821053</v>
      </c>
      <c r="D71" s="4">
        <f ca="1">D159*'Total Duration Tables Sup #1'!D71*(1+'Other Assumptions'!H$50)*(1+'Active Mode Assumptions'!D11)</f>
        <v>5.2390947465758622</v>
      </c>
      <c r="E71" s="4">
        <f ca="1">E159*'Total Duration Tables Sup #1'!E71*(1+'Other Assumptions'!I$50)*(1+'Active Mode Assumptions'!E11)</f>
        <v>5.5371774689209809</v>
      </c>
      <c r="F71" s="4">
        <f ca="1">F159*'Total Duration Tables Sup #1'!F71*(1+'Other Assumptions'!J$50)*(1+'Active Mode Assumptions'!F11)</f>
        <v>5.778109614120333</v>
      </c>
      <c r="G71" s="4">
        <f ca="1">G159*'Total Duration Tables Sup #1'!G71*(1+'Other Assumptions'!K$50)*(1+'Active Mode Assumptions'!G11)</f>
        <v>5.9948273847331643</v>
      </c>
      <c r="H71" s="4">
        <f ca="1">H159*'Total Duration Tables Sup #1'!H71*(1+'Other Assumptions'!L$50)*(1+'Active Mode Assumptions'!H11)</f>
        <v>6.1877247145800442</v>
      </c>
      <c r="I71" s="4">
        <f ca="1">I159*'Total Duration Tables Sup #1'!I71*(1+'Other Assumptions'!M$50)*(1+'Active Mode Assumptions'!I11)</f>
        <v>6.2234778849229402</v>
      </c>
      <c r="J71" s="4">
        <f ca="1">J159*'Total Duration Tables Sup #1'!J71*(1+'Other Assumptions'!N$50)*(1+'Active Mode Assumptions'!J11)</f>
        <v>6.2395761667690506</v>
      </c>
      <c r="K71" s="4">
        <f ca="1">K159*'Total Duration Tables Sup #1'!K71*(1+'Other Assumptions'!O$50)*(1+'Active Mode Assumptions'!K11)</f>
        <v>6.2423343623177816</v>
      </c>
    </row>
    <row r="72" spans="1:11" x14ac:dyDescent="0.25">
      <c r="A72" t="str">
        <f ca="1">OFFSET(Taranaki_Reference,7,2)</f>
        <v>Cyclist</v>
      </c>
      <c r="B72" s="4">
        <f ca="1">B160*'Total Duration Tables Sup #1'!B72*(1+'Other Assumptions'!D$50)*(1+'Active Mode Assumptions'!B20)</f>
        <v>0.51341482110000003</v>
      </c>
      <c r="C72" s="4">
        <f ca="1">C160*'Total Duration Tables Sup #1'!C72*(1+'Other Assumptions'!G$50)*(1+'Active Mode Assumptions'!C20)</f>
        <v>0.54267465976130125</v>
      </c>
      <c r="D72" s="4">
        <f ca="1">D160*'Total Duration Tables Sup #1'!D72*(1+'Other Assumptions'!H$50)*(1+'Active Mode Assumptions'!D20)</f>
        <v>0.77434005709501819</v>
      </c>
      <c r="E72" s="4">
        <f ca="1">E160*'Total Duration Tables Sup #1'!E72*(1+'Other Assumptions'!I$50)*(1+'Active Mode Assumptions'!E20)</f>
        <v>1.0006316534416402</v>
      </c>
      <c r="F72" s="4">
        <f ca="1">F160*'Total Duration Tables Sup #1'!F72*(1+'Other Assumptions'!J$50)*(1+'Active Mode Assumptions'!F20)</f>
        <v>1.2376376193603216</v>
      </c>
      <c r="G72" s="4">
        <f ca="1">G160*'Total Duration Tables Sup #1'!G72*(1+'Other Assumptions'!K$50)*(1+'Active Mode Assumptions'!G20)</f>
        <v>1.4955180201073013</v>
      </c>
      <c r="H72" s="4">
        <f ca="1">H160*'Total Duration Tables Sup #1'!H72*(1+'Other Assumptions'!L$50)*(1+'Active Mode Assumptions'!H20)</f>
        <v>1.7656297860760675</v>
      </c>
      <c r="I72" s="4">
        <f ca="1">I160*'Total Duration Tables Sup #1'!I72*(1+'Other Assumptions'!M$50)*(1+'Active Mode Assumptions'!I20)</f>
        <v>1.7842913691844435</v>
      </c>
      <c r="J72" s="4">
        <f ca="1">J160*'Total Duration Tables Sup #1'!J72*(1+'Other Assumptions'!N$50)*(1+'Active Mode Assumptions'!J20)</f>
        <v>1.7975116975633185</v>
      </c>
      <c r="K72" s="4">
        <f ca="1">K160*'Total Duration Tables Sup #1'!K72*(1+'Other Assumptions'!O$50)*(1+'Active Mode Assumptions'!K20)</f>
        <v>1.8070376989806327</v>
      </c>
    </row>
    <row r="73" spans="1:11" x14ac:dyDescent="0.25">
      <c r="A73" t="str">
        <f ca="1">OFFSET(Taranaki_Reference,14,2)</f>
        <v>Light Vehicle Driver</v>
      </c>
      <c r="B73" s="4">
        <f ca="1">B161*'Total Duration Tables Sup #1'!B73*(1+'Other Assumptions'!D$50)-(B71*'Active Mode Assumptions'!B11*'Active Mode Assumptions'!B14/(1+'Active Mode Assumptions'!B11))-(B72*'Active Mode Assumptions'!B20*'Active Mode Assumptions'!B23/(1+'Active Mode Assumptions'!B20))</f>
        <v>21.205429401</v>
      </c>
      <c r="C73" s="4">
        <f ca="1">C161*'Total Duration Tables Sup #1'!C73*(1+'Other Assumptions'!G$50)-(C71*'Active Mode Assumptions'!C11*'Active Mode Assumptions'!C14/(1+'Active Mode Assumptions'!C11))-(C72*'Active Mode Assumptions'!C20*'Active Mode Assumptions'!C23/(1+'Active Mode Assumptions'!C20))</f>
        <v>22.596387726527588</v>
      </c>
      <c r="D73" s="4">
        <f ca="1">D161*'Total Duration Tables Sup #1'!D73*(1+'Other Assumptions'!H$50)-(D71*'Active Mode Assumptions'!D11*'Active Mode Assumptions'!D14/(1+'Active Mode Assumptions'!D11))-(D72*'Active Mode Assumptions'!D20*'Active Mode Assumptions'!D23/(1+'Active Mode Assumptions'!D20))</f>
        <v>23.119728220155878</v>
      </c>
      <c r="E73" s="4">
        <f ca="1">E161*'Total Duration Tables Sup #1'!E73*(1+'Other Assumptions'!I$50)-(E71*'Active Mode Assumptions'!E11*'Active Mode Assumptions'!E14/(1+'Active Mode Assumptions'!E11))-(E72*'Active Mode Assumptions'!E20*'Active Mode Assumptions'!E23/(1+'Active Mode Assumptions'!E20))</f>
        <v>23.644287721190079</v>
      </c>
      <c r="F73" s="4">
        <f ca="1">F161*'Total Duration Tables Sup #1'!F73*(1+'Other Assumptions'!J$50)-(F71*'Active Mode Assumptions'!F11*'Active Mode Assumptions'!F14/(1+'Active Mode Assumptions'!F11))-(F72*'Active Mode Assumptions'!F20*'Active Mode Assumptions'!F23/(1+'Active Mode Assumptions'!F20))</f>
        <v>24.04876260306208</v>
      </c>
      <c r="G73" s="4">
        <f ca="1">G161*'Total Duration Tables Sup #1'!G73*(1+'Other Assumptions'!K$50)-(G71*'Active Mode Assumptions'!G11*'Active Mode Assumptions'!G14/(1+'Active Mode Assumptions'!G11))-(G72*'Active Mode Assumptions'!G20*'Active Mode Assumptions'!G23/(1+'Active Mode Assumptions'!G20))</f>
        <v>24.226849482895283</v>
      </c>
      <c r="H73" s="4">
        <f ca="1">H161*'Total Duration Tables Sup #1'!H73*(1+'Other Assumptions'!L$50)-(H71*'Active Mode Assumptions'!H11*'Active Mode Assumptions'!H14/(1+'Active Mode Assumptions'!H11))-(H72*'Active Mode Assumptions'!H20*'Active Mode Assumptions'!H23/(1+'Active Mode Assumptions'!H20))</f>
        <v>24.308437996206141</v>
      </c>
      <c r="I73" s="4">
        <f ca="1">I161*'Total Duration Tables Sup #1'!I73*(1+'Other Assumptions'!M$50)-(I71*'Active Mode Assumptions'!I11*'Active Mode Assumptions'!I14/(1+'Active Mode Assumptions'!I11))-(I72*'Active Mode Assumptions'!I20*'Active Mode Assumptions'!I23/(1+'Active Mode Assumptions'!I20))</f>
        <v>24.437201699585724</v>
      </c>
      <c r="J73" s="4">
        <f ca="1">J161*'Total Duration Tables Sup #1'!J73*(1+'Other Assumptions'!N$50)-(J71*'Active Mode Assumptions'!J11*'Active Mode Assumptions'!J14/(1+'Active Mode Assumptions'!J11))-(J72*'Active Mode Assumptions'!J20*'Active Mode Assumptions'!J23/(1+'Active Mode Assumptions'!J20))</f>
        <v>24.488729760665297</v>
      </c>
      <c r="K73" s="4">
        <f ca="1">K161*'Total Duration Tables Sup #1'!K73*(1+'Other Assumptions'!O$50)-(K71*'Active Mode Assumptions'!K11*'Active Mode Assumptions'!K14/(1+'Active Mode Assumptions'!K11))-(K72*'Active Mode Assumptions'!K20*'Active Mode Assumptions'!K23/(1+'Active Mode Assumptions'!K20))</f>
        <v>24.487918903168328</v>
      </c>
    </row>
    <row r="74" spans="1:11" x14ac:dyDescent="0.25">
      <c r="A74" t="str">
        <f ca="1">OFFSET(Taranaki_Reference,21,2)</f>
        <v>Light Vehicle Passenger</v>
      </c>
      <c r="B74" s="4">
        <f ca="1">B162*'Total Duration Tables Sup #1'!B74*(1+'Other Assumptions'!D$50)-(B71*'Active Mode Assumptions'!B11*'Active Mode Assumptions'!B15/(1+'Active Mode Assumptions'!B11))-(B72*'Active Mode Assumptions'!B20*'Active Mode Assumptions'!B24/(1+'Active Mode Assumptions'!B20))</f>
        <v>13.125178352000001</v>
      </c>
      <c r="C74" s="4">
        <f ca="1">C162*'Total Duration Tables Sup #1'!C74*(1+'Other Assumptions'!G$50)-(C71*'Active Mode Assumptions'!C11*'Active Mode Assumptions'!C15/(1+'Active Mode Assumptions'!C11))-(C72*'Active Mode Assumptions'!C20*'Active Mode Assumptions'!C24/(1+'Active Mode Assumptions'!C20))</f>
        <v>13.403725950670454</v>
      </c>
      <c r="D74" s="4">
        <f ca="1">D162*'Total Duration Tables Sup #1'!D74*(1+'Other Assumptions'!H$50)-(D71*'Active Mode Assumptions'!D11*'Active Mode Assumptions'!D15/(1+'Active Mode Assumptions'!D11))-(D72*'Active Mode Assumptions'!D20*'Active Mode Assumptions'!D24/(1+'Active Mode Assumptions'!D20))</f>
        <v>13.33956550504935</v>
      </c>
      <c r="E74" s="4">
        <f ca="1">E162*'Total Duration Tables Sup #1'!E74*(1+'Other Assumptions'!I$50)-(E71*'Active Mode Assumptions'!E11*'Active Mode Assumptions'!E15/(1+'Active Mode Assumptions'!E11))-(E72*'Active Mode Assumptions'!E20*'Active Mode Assumptions'!E24/(1+'Active Mode Assumptions'!E20))</f>
        <v>13.269850718653773</v>
      </c>
      <c r="F74" s="4">
        <f ca="1">F162*'Total Duration Tables Sup #1'!F74*(1+'Other Assumptions'!J$50)-(F71*'Active Mode Assumptions'!F11*'Active Mode Assumptions'!F15/(1+'Active Mode Assumptions'!F11))-(F72*'Active Mode Assumptions'!F20*'Active Mode Assumptions'!F24/(1+'Active Mode Assumptions'!F20))</f>
        <v>13.112916864070268</v>
      </c>
      <c r="G74" s="4">
        <f ca="1">G162*'Total Duration Tables Sup #1'!G74*(1+'Other Assumptions'!K$50)-(G71*'Active Mode Assumptions'!G11*'Active Mode Assumptions'!G15/(1+'Active Mode Assumptions'!G11))-(G72*'Active Mode Assumptions'!G20*'Active Mode Assumptions'!G24/(1+'Active Mode Assumptions'!G20))</f>
        <v>12.883214967041631</v>
      </c>
      <c r="H74" s="4">
        <f ca="1">H162*'Total Duration Tables Sup #1'!H74*(1+'Other Assumptions'!L$50)-(H71*'Active Mode Assumptions'!H11*'Active Mode Assumptions'!H15/(1+'Active Mode Assumptions'!H11))-(H72*'Active Mode Assumptions'!H20*'Active Mode Assumptions'!H24/(1+'Active Mode Assumptions'!H20))</f>
        <v>12.601746556663466</v>
      </c>
      <c r="I74" s="4">
        <f ca="1">I162*'Total Duration Tables Sup #1'!I74*(1+'Other Assumptions'!M$50)-(I71*'Active Mode Assumptions'!I11*'Active Mode Assumptions'!I15/(1+'Active Mode Assumptions'!I11))-(I72*'Active Mode Assumptions'!I20*'Active Mode Assumptions'!I24/(1+'Active Mode Assumptions'!I20))</f>
        <v>12.680881501671966</v>
      </c>
      <c r="J74" s="4">
        <f ca="1">J162*'Total Duration Tables Sup #1'!J74*(1+'Other Assumptions'!N$50)-(J71*'Active Mode Assumptions'!J11*'Active Mode Assumptions'!J15/(1+'Active Mode Assumptions'!J11))-(J72*'Active Mode Assumptions'!J20*'Active Mode Assumptions'!J24/(1+'Active Mode Assumptions'!J20))</f>
        <v>12.71996583347717</v>
      </c>
      <c r="K74" s="4">
        <f ca="1">K162*'Total Duration Tables Sup #1'!K74*(1+'Other Assumptions'!O$50)-(K71*'Active Mode Assumptions'!K11*'Active Mode Assumptions'!K15/(1+'Active Mode Assumptions'!K11))-(K72*'Active Mode Assumptions'!K20*'Active Mode Assumptions'!K24/(1+'Active Mode Assumptions'!K20))</f>
        <v>12.731820823628285</v>
      </c>
    </row>
    <row r="75" spans="1:11" x14ac:dyDescent="0.25">
      <c r="A75" t="str">
        <f ca="1">OFFSET(Taranaki_Reference,28,2)</f>
        <v>Taxi/Vehicle Share</v>
      </c>
      <c r="B75" s="4">
        <f ca="1">B163*'Total Duration Tables Sup #1'!B75*(1+'Other Assumptions'!D$50)</f>
        <v>0.10005985589999999</v>
      </c>
      <c r="C75" s="4">
        <f ca="1">C163*'Total Duration Tables Sup #1'!C75*(1+'Other Assumptions'!G$50)</f>
        <v>0.11081062794233959</v>
      </c>
      <c r="D75" s="4">
        <f ca="1">D163*'Total Duration Tables Sup #1'!D75*(1+'Other Assumptions'!H$50)</f>
        <v>0.11878904618259195</v>
      </c>
      <c r="E75" s="4">
        <f ca="1">E163*'Total Duration Tables Sup #1'!E75*(1+'Other Assumptions'!I$50)</f>
        <v>0.12566513009339453</v>
      </c>
      <c r="F75" s="4">
        <f ca="1">F163*'Total Duration Tables Sup #1'!F75*(1+'Other Assumptions'!J$50)</f>
        <v>0.13106011899152237</v>
      </c>
      <c r="G75" s="4">
        <f ca="1">G163*'Total Duration Tables Sup #1'!G75*(1+'Other Assumptions'!K$50)</f>
        <v>0.13410907003738229</v>
      </c>
      <c r="H75" s="4">
        <f ca="1">H163*'Total Duration Tables Sup #1'!H75*(1+'Other Assumptions'!L$50)</f>
        <v>0.1366442501188081</v>
      </c>
      <c r="I75" s="4">
        <f ca="1">I163*'Total Duration Tables Sup #1'!I75*(1+'Other Assumptions'!M$50)</f>
        <v>0.13713348560318486</v>
      </c>
      <c r="J75" s="4">
        <f ca="1">J163*'Total Duration Tables Sup #1'!J75*(1+'Other Assumptions'!N$50)</f>
        <v>0.13718824065812429</v>
      </c>
      <c r="K75" s="4">
        <f ca="1">K163*'Total Duration Tables Sup #1'!K75*(1+'Other Assumptions'!O$50)</f>
        <v>0.13695012613849206</v>
      </c>
    </row>
    <row r="76" spans="1:11" x14ac:dyDescent="0.25">
      <c r="A76" t="str">
        <f ca="1">OFFSET(Taranaki_Reference,35,2)</f>
        <v>Motorcyclist</v>
      </c>
      <c r="B76" s="4">
        <f ca="1">B164*'Total Duration Tables Sup #1'!B76*(1+'Other Assumptions'!D$50)</f>
        <v>0.25001806910000002</v>
      </c>
      <c r="C76" s="4">
        <f ca="1">C164*'Total Duration Tables Sup #1'!C76*(1+'Other Assumptions'!G$50)</f>
        <v>0.26394263462826084</v>
      </c>
      <c r="D76" s="4">
        <f ca="1">D164*'Total Duration Tables Sup #1'!D76*(1+'Other Assumptions'!H$50)</f>
        <v>0.26976932837146306</v>
      </c>
      <c r="E76" s="4">
        <f ca="1">E164*'Total Duration Tables Sup #1'!E76*(1+'Other Assumptions'!I$50)</f>
        <v>0.27376660372220618</v>
      </c>
      <c r="F76" s="4">
        <f ca="1">F164*'Total Duration Tables Sup #1'!F76*(1+'Other Assumptions'!J$50)</f>
        <v>0.27635899231412453</v>
      </c>
      <c r="G76" s="4">
        <f ca="1">G164*'Total Duration Tables Sup #1'!G76*(1+'Other Assumptions'!K$50)</f>
        <v>0.27508128476238597</v>
      </c>
      <c r="H76" s="4">
        <f ca="1">H164*'Total Duration Tables Sup #1'!H76*(1+'Other Assumptions'!L$50)</f>
        <v>0.27252282372779285</v>
      </c>
      <c r="I76" s="4">
        <f ca="1">I164*'Total Duration Tables Sup #1'!I76*(1+'Other Assumptions'!M$50)</f>
        <v>0.27539879003269357</v>
      </c>
      <c r="J76" s="4">
        <f ca="1">J164*'Total Duration Tables Sup #1'!J76*(1+'Other Assumptions'!N$50)</f>
        <v>0.27742092257423429</v>
      </c>
      <c r="K76" s="4">
        <f ca="1">K164*'Total Duration Tables Sup #1'!K76*(1+'Other Assumptions'!O$50)</f>
        <v>0.27885836692449201</v>
      </c>
    </row>
    <row r="77" spans="1:11" x14ac:dyDescent="0.25">
      <c r="A77" t="str">
        <f ca="1">OFFSET(Taranaki_Reference,42,2)</f>
        <v>Local Train</v>
      </c>
      <c r="B77" s="4">
        <f ca="1">B165*'Total Duration Tables Sup #1'!B77*(1+'Other Assumptions'!D$50)</f>
        <v>0</v>
      </c>
      <c r="C77" s="4">
        <f ca="1">C165*'Total Duration Tables Sup #1'!C77*(1+'Other Assumptions'!G$50)</f>
        <v>0</v>
      </c>
      <c r="D77" s="4">
        <f ca="1">D165*'Total Duration Tables Sup #1'!D77*(1+'Other Assumptions'!H$50)</f>
        <v>0</v>
      </c>
      <c r="E77" s="4">
        <f ca="1">E165*'Total Duration Tables Sup #1'!E77*(1+'Other Assumptions'!I$50)</f>
        <v>0</v>
      </c>
      <c r="F77" s="4">
        <f ca="1">F165*'Total Duration Tables Sup #1'!F77*(1+'Other Assumptions'!J$50)</f>
        <v>0</v>
      </c>
      <c r="G77" s="4">
        <f ca="1">G165*'Total Duration Tables Sup #1'!G77*(1+'Other Assumptions'!K$50)</f>
        <v>0</v>
      </c>
      <c r="H77" s="4">
        <f ca="1">H165*'Total Duration Tables Sup #1'!H77*(1+'Other Assumptions'!L$50)</f>
        <v>0</v>
      </c>
      <c r="I77" s="4">
        <f ca="1">I165*'Total Duration Tables Sup #1'!I77*(1+'Other Assumptions'!M$50)</f>
        <v>0</v>
      </c>
      <c r="J77" s="4">
        <f ca="1">J165*'Total Duration Tables Sup #1'!J77*(1+'Other Assumptions'!N$50)</f>
        <v>0</v>
      </c>
      <c r="K77" s="4">
        <f ca="1">K165*'Total Duration Tables Sup #1'!K77*(1+'Other Assumptions'!O$50)</f>
        <v>0</v>
      </c>
    </row>
    <row r="78" spans="1:11" x14ac:dyDescent="0.25">
      <c r="A78" t="str">
        <f ca="1">OFFSET(Taranaki_Reference,49,2)</f>
        <v>Local Bus</v>
      </c>
      <c r="B78" s="4">
        <f ca="1">B166*'Total Duration Tables Sup #1'!B78*(1+'Other Assumptions'!D$50)</f>
        <v>0.4632962336</v>
      </c>
      <c r="C78" s="4">
        <f ca="1">C166*'Total Duration Tables Sup #1'!C78*(1+'Other Assumptions'!G$50)</f>
        <v>0.44446892042516539</v>
      </c>
      <c r="D78" s="4">
        <f ca="1">D166*'Total Duration Tables Sup #1'!D78*(1+'Other Assumptions'!H$50)</f>
        <v>0.42893978471413874</v>
      </c>
      <c r="E78" s="4">
        <f ca="1">E166*'Total Duration Tables Sup #1'!E78*(1+'Other Assumptions'!I$50)</f>
        <v>0.41988917505778917</v>
      </c>
      <c r="F78" s="4">
        <f ca="1">F166*'Total Duration Tables Sup #1'!F78*(1+'Other Assumptions'!J$50)</f>
        <v>0.40583423149070663</v>
      </c>
      <c r="G78" s="4">
        <f ca="1">G166*'Total Duration Tables Sup #1'!G78*(1+'Other Assumptions'!K$50)</f>
        <v>0.39497476558998085</v>
      </c>
      <c r="H78" s="4">
        <f ca="1">H166*'Total Duration Tables Sup #1'!H78*(1+'Other Assumptions'!L$50)</f>
        <v>0.38314430971225566</v>
      </c>
      <c r="I78" s="4">
        <f ca="1">I166*'Total Duration Tables Sup #1'!I78*(1+'Other Assumptions'!M$50)</f>
        <v>0.38610178240736431</v>
      </c>
      <c r="J78" s="4">
        <f ca="1">J166*'Total Duration Tables Sup #1'!J78*(1+'Other Assumptions'!N$50)</f>
        <v>0.38784534639139484</v>
      </c>
      <c r="K78" s="4">
        <f ca="1">K166*'Total Duration Tables Sup #1'!K78*(1+'Other Assumptions'!O$50)</f>
        <v>0.38876122931574553</v>
      </c>
    </row>
    <row r="79" spans="1:11" x14ac:dyDescent="0.25">
      <c r="A79" t="str">
        <f ca="1">OFFSET(Waikato_Reference,56,2)</f>
        <v>Local Ferry</v>
      </c>
      <c r="B79" s="4">
        <f ca="1">B167*'Total Duration Tables Sup #1'!B79*(1+'Other Assumptions'!D$50)</f>
        <v>0</v>
      </c>
      <c r="C79" s="4">
        <f ca="1">C167*'Total Duration Tables Sup #1'!C79*(1+'Other Assumptions'!G$50)</f>
        <v>0</v>
      </c>
      <c r="D79" s="4">
        <f ca="1">D167*'Total Duration Tables Sup #1'!D79*(1+'Other Assumptions'!H$50)</f>
        <v>0</v>
      </c>
      <c r="E79" s="4">
        <f ca="1">E167*'Total Duration Tables Sup #1'!E79*(1+'Other Assumptions'!I$50)</f>
        <v>0</v>
      </c>
      <c r="F79" s="4">
        <f ca="1">F167*'Total Duration Tables Sup #1'!F79*(1+'Other Assumptions'!J$50)</f>
        <v>0</v>
      </c>
      <c r="G79" s="4">
        <f ca="1">G167*'Total Duration Tables Sup #1'!G79*(1+'Other Assumptions'!K$50)</f>
        <v>0</v>
      </c>
      <c r="H79" s="4">
        <f ca="1">H167*'Total Duration Tables Sup #1'!H79*(1+'Other Assumptions'!L$50)</f>
        <v>0</v>
      </c>
      <c r="I79" s="4">
        <f ca="1">I167*'Total Duration Tables Sup #1'!I79*(1+'Other Assumptions'!M$50)</f>
        <v>0</v>
      </c>
      <c r="J79" s="4">
        <f ca="1">J167*'Total Duration Tables Sup #1'!J79*(1+'Other Assumptions'!N$50)</f>
        <v>0</v>
      </c>
      <c r="K79" s="4">
        <f ca="1">K167*'Total Duration Tables Sup #1'!K79*(1+'Other Assumptions'!O$50)</f>
        <v>0</v>
      </c>
    </row>
    <row r="80" spans="1:11" x14ac:dyDescent="0.25">
      <c r="A80" t="str">
        <f ca="1">OFFSET(Taranaki_Reference,56,2)</f>
        <v>Other Household Travel</v>
      </c>
      <c r="B80" s="4">
        <f ca="1">B168*'Total Duration Tables Sup #1'!B80*(1+'Other Assumptions'!D$50)</f>
        <v>5.6354069499999999E-2</v>
      </c>
      <c r="C80" s="4">
        <f ca="1">C168*'Total Duration Tables Sup #1'!C80*(1+'Other Assumptions'!G$50)</f>
        <v>5.9729436275922622E-2</v>
      </c>
      <c r="D80" s="4">
        <f ca="1">D168*'Total Duration Tables Sup #1'!D80*(1+'Other Assumptions'!H$50)</f>
        <v>6.176148487576489E-2</v>
      </c>
      <c r="E80" s="4">
        <f ca="1">E168*'Total Duration Tables Sup #1'!E80*(1+'Other Assumptions'!I$50)</f>
        <v>6.2562207701523556E-2</v>
      </c>
      <c r="F80" s="4">
        <f ca="1">F168*'Total Duration Tables Sup #1'!F80*(1+'Other Assumptions'!J$50)</f>
        <v>6.2836812637715012E-2</v>
      </c>
      <c r="G80" s="4">
        <f ca="1">G168*'Total Duration Tables Sup #1'!G80*(1+'Other Assumptions'!K$50)</f>
        <v>6.3358773606086979E-2</v>
      </c>
      <c r="H80" s="4">
        <f ca="1">H168*'Total Duration Tables Sup #1'!H80*(1+'Other Assumptions'!L$50)</f>
        <v>6.3474263052710381E-2</v>
      </c>
      <c r="I80" s="4">
        <f ca="1">I168*'Total Duration Tables Sup #1'!I80*(1+'Other Assumptions'!M$50)</f>
        <v>6.3610539265551505E-2</v>
      </c>
      <c r="J80" s="4">
        <f ca="1">J168*'Total Duration Tables Sup #1'!J80*(1+'Other Assumptions'!N$50)</f>
        <v>6.3547627149279765E-2</v>
      </c>
      <c r="K80" s="4">
        <f ca="1">K168*'Total Duration Tables Sup #1'!K80*(1+'Other Assumptions'!O$50)</f>
        <v>6.335183370251618E-2</v>
      </c>
    </row>
    <row r="81" spans="1:11" x14ac:dyDescent="0.25">
      <c r="A81" t="str">
        <f ca="1">OFFSET(Manawatu_Reference,0,0)</f>
        <v>08 MANAWATU-WANGANUI</v>
      </c>
    </row>
    <row r="82" spans="1:11" x14ac:dyDescent="0.25">
      <c r="A82" t="str">
        <f ca="1">OFFSET(Manawatu_Reference,0,2)</f>
        <v>Pedestrian</v>
      </c>
      <c r="B82" s="4">
        <f ca="1">B159*'Total Duration Tables Sup #1'!B82*(1+'Other Assumptions'!D$51)*(1+'Active Mode Assumptions'!B11)</f>
        <v>8.3408449691000008</v>
      </c>
      <c r="C82" s="4">
        <f ca="1">C159*'Total Duration Tables Sup #1'!C82*(1+'Other Assumptions'!G$51)*(1+'Active Mode Assumptions'!C11)</f>
        <v>8.526658067703039</v>
      </c>
      <c r="D82" s="4">
        <f ca="1">D159*'Total Duration Tables Sup #1'!D82*(1+'Other Assumptions'!H$51)*(1+'Active Mode Assumptions'!D11)</f>
        <v>9.0167707816949978</v>
      </c>
      <c r="E82" s="4">
        <f ca="1">E159*'Total Duration Tables Sup #1'!E82*(1+'Other Assumptions'!I$51)*(1+'Active Mode Assumptions'!E11)</f>
        <v>9.4122690597749461</v>
      </c>
      <c r="F82" s="4">
        <f ca="1">F159*'Total Duration Tables Sup #1'!F82*(1+'Other Assumptions'!J$51)*(1+'Active Mode Assumptions'!F11)</f>
        <v>9.6996090964322939</v>
      </c>
      <c r="G82" s="4">
        <f ca="1">G159*'Total Duration Tables Sup #1'!G82*(1+'Other Assumptions'!K$51)*(1+'Active Mode Assumptions'!G11)</f>
        <v>9.9273127262576022</v>
      </c>
      <c r="H82" s="4">
        <f ca="1">H159*'Total Duration Tables Sup #1'!H82*(1+'Other Assumptions'!L$51)*(1+'Active Mode Assumptions'!H11)</f>
        <v>10.095975626800351</v>
      </c>
      <c r="I82" s="4">
        <f ca="1">I159*'Total Duration Tables Sup #1'!I82*(1+'Other Assumptions'!M$51)*(1+'Active Mode Assumptions'!I11)</f>
        <v>10.004899919567571</v>
      </c>
      <c r="J82" s="4">
        <f ca="1">J159*'Total Duration Tables Sup #1'!J82*(1+'Other Assumptions'!N$51)*(1+'Active Mode Assumptions'!J11)</f>
        <v>9.883186194713609</v>
      </c>
      <c r="K82" s="4">
        <f ca="1">K159*'Total Duration Tables Sup #1'!K82*(1+'Other Assumptions'!O$51)*(1+'Active Mode Assumptions'!K11)</f>
        <v>9.7420690384851483</v>
      </c>
    </row>
    <row r="83" spans="1:11" x14ac:dyDescent="0.25">
      <c r="A83" t="str">
        <f ca="1">OFFSET(Manawatu_Reference,7,2)</f>
        <v>Cyclist</v>
      </c>
      <c r="B83" s="4">
        <f ca="1">B160*'Total Duration Tables Sup #1'!B83*(1+'Other Assumptions'!D$51)*(1+'Active Mode Assumptions'!B20)</f>
        <v>1.7566260256999999</v>
      </c>
      <c r="C83" s="4">
        <f ca="1">C160*'Total Duration Tables Sup #1'!C83*(1+'Other Assumptions'!G$51)*(1+'Active Mode Assumptions'!C20)</f>
        <v>1.8422318002859797</v>
      </c>
      <c r="D83" s="4">
        <f ca="1">D160*'Total Duration Tables Sup #1'!D83*(1+'Other Assumptions'!H$51)*(1+'Active Mode Assumptions'!D20)</f>
        <v>2.5992826208838888</v>
      </c>
      <c r="E83" s="4">
        <f ca="1">E160*'Total Duration Tables Sup #1'!E83*(1+'Other Assumptions'!I$51)*(1+'Active Mode Assumptions'!E20)</f>
        <v>3.3174709405347649</v>
      </c>
      <c r="F83" s="4">
        <f ca="1">F160*'Total Duration Tables Sup #1'!F83*(1+'Other Assumptions'!J$51)*(1+'Active Mode Assumptions'!F20)</f>
        <v>4.0521821340157667</v>
      </c>
      <c r="G83" s="4">
        <f ca="1">G160*'Total Duration Tables Sup #1'!G83*(1+'Other Assumptions'!K$51)*(1+'Active Mode Assumptions'!G20)</f>
        <v>4.8302951746621829</v>
      </c>
      <c r="H83" s="4">
        <f ca="1">H160*'Total Duration Tables Sup #1'!H83*(1+'Other Assumptions'!L$51)*(1+'Active Mode Assumptions'!H20)</f>
        <v>5.6188049452716138</v>
      </c>
      <c r="I83" s="4">
        <f ca="1">I160*'Total Duration Tables Sup #1'!I83*(1+'Other Assumptions'!M$51)*(1+'Active Mode Assumptions'!I20)</f>
        <v>5.5946429200913057</v>
      </c>
      <c r="J83" s="4">
        <f ca="1">J160*'Total Duration Tables Sup #1'!J83*(1+'Other Assumptions'!N$51)*(1+'Active Mode Assumptions'!J20)</f>
        <v>5.5531654385385503</v>
      </c>
      <c r="K83" s="4">
        <f ca="1">K160*'Total Duration Tables Sup #1'!K83*(1+'Other Assumptions'!O$51)*(1+'Active Mode Assumptions'!K20)</f>
        <v>5.5004521193617153</v>
      </c>
    </row>
    <row r="84" spans="1:11" x14ac:dyDescent="0.25">
      <c r="A84" t="str">
        <f ca="1">OFFSET(Manawatu_Reference,14,2)</f>
        <v>Light Vehicle Driver</v>
      </c>
      <c r="B84" s="4">
        <f ca="1">B161*'Total Duration Tables Sup #1'!B84*(1+'Other Assumptions'!D$51)-(B82*'Active Mode Assumptions'!B11*'Active Mode Assumptions'!B14/(1+'Active Mode Assumptions'!B11))-(B83*'Active Mode Assumptions'!B20*'Active Mode Assumptions'!B23/(1+'Active Mode Assumptions'!B20))</f>
        <v>42.09204356</v>
      </c>
      <c r="C84" s="4">
        <f ca="1">C161*'Total Duration Tables Sup #1'!C84*(1+'Other Assumptions'!G$51)-(C82*'Active Mode Assumptions'!C11*'Active Mode Assumptions'!C14/(1+'Active Mode Assumptions'!C11))-(C83*'Active Mode Assumptions'!C20*'Active Mode Assumptions'!C23/(1+'Active Mode Assumptions'!C20))</f>
        <v>44.502640394130331</v>
      </c>
      <c r="D84" s="4">
        <f ca="1">D161*'Total Duration Tables Sup #1'!D84*(1+'Other Assumptions'!H$51)-(D82*'Active Mode Assumptions'!D11*'Active Mode Assumptions'!D14/(1+'Active Mode Assumptions'!D11))-(D83*'Active Mode Assumptions'!D20*'Active Mode Assumptions'!D23/(1+'Active Mode Assumptions'!D20))</f>
        <v>44.963087910680521</v>
      </c>
      <c r="E84" s="4">
        <f ca="1">E161*'Total Duration Tables Sup #1'!E84*(1+'Other Assumptions'!I$51)-(E82*'Active Mode Assumptions'!E11*'Active Mode Assumptions'!E14/(1+'Active Mode Assumptions'!E11))-(E83*'Active Mode Assumptions'!E20*'Active Mode Assumptions'!E23/(1+'Active Mode Assumptions'!E20))</f>
        <v>45.356382146705677</v>
      </c>
      <c r="F84" s="4">
        <f ca="1">F161*'Total Duration Tables Sup #1'!F84*(1+'Other Assumptions'!J$51)-(F82*'Active Mode Assumptions'!F11*'Active Mode Assumptions'!F14/(1+'Active Mode Assumptions'!F11))-(F83*'Active Mode Assumptions'!F20*'Active Mode Assumptions'!F23/(1+'Active Mode Assumptions'!F20))</f>
        <v>45.497094300448708</v>
      </c>
      <c r="G84" s="4">
        <f ca="1">G161*'Total Duration Tables Sup #1'!G84*(1+'Other Assumptions'!K$51)-(G82*'Active Mode Assumptions'!G11*'Active Mode Assumptions'!G14/(1+'Active Mode Assumptions'!G11))-(G83*'Active Mode Assumptions'!G20*'Active Mode Assumptions'!G23/(1+'Active Mode Assumptions'!G20))</f>
        <v>45.147542159533451</v>
      </c>
      <c r="H84" s="4">
        <f ca="1">H161*'Total Duration Tables Sup #1'!H84*(1+'Other Assumptions'!L$51)-(H82*'Active Mode Assumptions'!H11*'Active Mode Assumptions'!H14/(1+'Active Mode Assumptions'!H11))-(H83*'Active Mode Assumptions'!H20*'Active Mode Assumptions'!H23/(1+'Active Mode Assumptions'!H20))</f>
        <v>44.562464453517521</v>
      </c>
      <c r="I84" s="4">
        <f ca="1">I161*'Total Duration Tables Sup #1'!I84*(1+'Other Assumptions'!M$51)-(I82*'Active Mode Assumptions'!I11*'Active Mode Assumptions'!I14/(1+'Active Mode Assumptions'!I11))-(I83*'Active Mode Assumptions'!I20*'Active Mode Assumptions'!I23/(1+'Active Mode Assumptions'!I20))</f>
        <v>44.13734150371296</v>
      </c>
      <c r="J84" s="4">
        <f ca="1">J161*'Total Duration Tables Sup #1'!J84*(1+'Other Assumptions'!N$51)-(J82*'Active Mode Assumptions'!J11*'Active Mode Assumptions'!J14/(1+'Active Mode Assumptions'!J11))-(J83*'Active Mode Assumptions'!J20*'Active Mode Assumptions'!J23/(1+'Active Mode Assumptions'!J20))</f>
        <v>43.577591704503334</v>
      </c>
      <c r="K84" s="4">
        <f ca="1">K161*'Total Duration Tables Sup #1'!K84*(1+'Other Assumptions'!O$51)-(K82*'Active Mode Assumptions'!K11*'Active Mode Assumptions'!K14/(1+'Active Mode Assumptions'!K11))-(K83*'Active Mode Assumptions'!K20*'Active Mode Assumptions'!K23/(1+'Active Mode Assumptions'!K20))</f>
        <v>42.932960479219481</v>
      </c>
    </row>
    <row r="85" spans="1:11" x14ac:dyDescent="0.25">
      <c r="A85" t="str">
        <f ca="1">OFFSET(Manawatu_Reference,21,2)</f>
        <v>Light Vehicle Passenger</v>
      </c>
      <c r="B85" s="4">
        <f ca="1">B162*'Total Duration Tables Sup #1'!B85*(1+'Other Assumptions'!D$51)-(B82*'Active Mode Assumptions'!B11*'Active Mode Assumptions'!B15/(1+'Active Mode Assumptions'!B11))-(B83*'Active Mode Assumptions'!B20*'Active Mode Assumptions'!B24/(1+'Active Mode Assumptions'!B20))</f>
        <v>20.286542670999999</v>
      </c>
      <c r="C85" s="4">
        <f ca="1">C162*'Total Duration Tables Sup #1'!C85*(1+'Other Assumptions'!G$51)-(C82*'Active Mode Assumptions'!C11*'Active Mode Assumptions'!C15/(1+'Active Mode Assumptions'!C11))-(C83*'Active Mode Assumptions'!C20*'Active Mode Assumptions'!C24/(1+'Active Mode Assumptions'!C20))</f>
        <v>20.555222676554369</v>
      </c>
      <c r="D85" s="4">
        <f ca="1">D162*'Total Duration Tables Sup #1'!D85*(1+'Other Assumptions'!H$51)-(D82*'Active Mode Assumptions'!D11*'Active Mode Assumptions'!D15/(1+'Active Mode Assumptions'!D11))-(D83*'Active Mode Assumptions'!D20*'Active Mode Assumptions'!D24/(1+'Active Mode Assumptions'!D20))</f>
        <v>20.11114943889465</v>
      </c>
      <c r="E85" s="4">
        <f ca="1">E162*'Total Duration Tables Sup #1'!E85*(1+'Other Assumptions'!I$51)-(E82*'Active Mode Assumptions'!E11*'Active Mode Assumptions'!E15/(1+'Active Mode Assumptions'!E11))-(E83*'Active Mode Assumptions'!E20*'Active Mode Assumptions'!E24/(1+'Active Mode Assumptions'!E20))</f>
        <v>19.642182977990828</v>
      </c>
      <c r="F85" s="4">
        <f ca="1">F162*'Total Duration Tables Sup #1'!F85*(1+'Other Assumptions'!J$51)-(F82*'Active Mode Assumptions'!F11*'Active Mode Assumptions'!F15/(1+'Active Mode Assumptions'!F11))-(F83*'Active Mode Assumptions'!F20*'Active Mode Assumptions'!F24/(1+'Active Mode Assumptions'!F20))</f>
        <v>19.047925147477507</v>
      </c>
      <c r="G85" s="4">
        <f ca="1">G162*'Total Duration Tables Sup #1'!G85*(1+'Other Assumptions'!K$51)-(G82*'Active Mode Assumptions'!G11*'Active Mode Assumptions'!G15/(1+'Active Mode Assumptions'!G11))-(G83*'Active Mode Assumptions'!G20*'Active Mode Assumptions'!G24/(1+'Active Mode Assumptions'!G20))</f>
        <v>18.332875672842651</v>
      </c>
      <c r="H85" s="4">
        <f ca="1">H162*'Total Duration Tables Sup #1'!H85*(1+'Other Assumptions'!L$51)-(H82*'Active Mode Assumptions'!H11*'Active Mode Assumptions'!H15/(1+'Active Mode Assumptions'!H11))-(H83*'Active Mode Assumptions'!H20*'Active Mode Assumptions'!H24/(1+'Active Mode Assumptions'!H20))</f>
        <v>17.533507733670827</v>
      </c>
      <c r="I85" s="4">
        <f ca="1">I162*'Total Duration Tables Sup #1'!I85*(1+'Other Assumptions'!M$51)-(I82*'Active Mode Assumptions'!I11*'Active Mode Assumptions'!I15/(1+'Active Mode Assumptions'!I11))-(I83*'Active Mode Assumptions'!I20*'Active Mode Assumptions'!I24/(1+'Active Mode Assumptions'!I20))</f>
        <v>17.381867731726842</v>
      </c>
      <c r="J85" s="4">
        <f ca="1">J162*'Total Duration Tables Sup #1'!J85*(1+'Other Assumptions'!N$51)-(J82*'Active Mode Assumptions'!J11*'Active Mode Assumptions'!J15/(1+'Active Mode Assumptions'!J11))-(J83*'Active Mode Assumptions'!J20*'Active Mode Assumptions'!J24/(1+'Active Mode Assumptions'!J20))</f>
        <v>17.176749141388861</v>
      </c>
      <c r="K85" s="4">
        <f ca="1">K162*'Total Duration Tables Sup #1'!K85*(1+'Other Assumptions'!O$51)-(K82*'Active Mode Assumptions'!K11*'Active Mode Assumptions'!K15/(1+'Active Mode Assumptions'!K11))-(K83*'Active Mode Assumptions'!K20*'Active Mode Assumptions'!K24/(1+'Active Mode Assumptions'!K20))</f>
        <v>16.937631834625538</v>
      </c>
    </row>
    <row r="86" spans="1:11" x14ac:dyDescent="0.25">
      <c r="A86" t="str">
        <f ca="1">OFFSET(Manawatu_Reference,28,2)</f>
        <v>Taxi/Vehicle Share</v>
      </c>
      <c r="B86" s="4">
        <f ca="1">B163*'Total Duration Tables Sup #1'!B86*(1+'Other Assumptions'!D$51)</f>
        <v>0.26821620219999998</v>
      </c>
      <c r="C86" s="4">
        <f ca="1">C163*'Total Duration Tables Sup #1'!C86*(1+'Other Assumptions'!G$51)</f>
        <v>0.29471373236369031</v>
      </c>
      <c r="D86" s="4">
        <f ca="1">D163*'Total Duration Tables Sup #1'!D86*(1+'Other Assumptions'!H$51)</f>
        <v>0.31240098643769304</v>
      </c>
      <c r="E86" s="4">
        <f ca="1">E163*'Total Duration Tables Sup #1'!E86*(1+'Other Assumptions'!I$51)</f>
        <v>0.32640883092192802</v>
      </c>
      <c r="F86" s="4">
        <f ca="1">F163*'Total Duration Tables Sup #1'!F86*(1+'Other Assumptions'!J$51)</f>
        <v>0.33618647543654218</v>
      </c>
      <c r="G86" s="4">
        <f ca="1">G163*'Total Duration Tables Sup #1'!G86*(1+'Other Assumptions'!K$51)</f>
        <v>0.33935511215056291</v>
      </c>
      <c r="H86" s="4">
        <f ca="1">H163*'Total Duration Tables Sup #1'!H86*(1+'Other Assumptions'!L$51)</f>
        <v>0.34068255478474008</v>
      </c>
      <c r="I86" s="4">
        <f ca="1">I163*'Total Duration Tables Sup #1'!I86*(1+'Other Assumptions'!M$51)</f>
        <v>0.33687155196399293</v>
      </c>
      <c r="J86" s="4">
        <f ca="1">J163*'Total Duration Tables Sup #1'!J86*(1+'Other Assumptions'!N$51)</f>
        <v>0.33204733415727256</v>
      </c>
      <c r="K86" s="4">
        <f ca="1">K163*'Total Duration Tables Sup #1'!K86*(1+'Other Assumptions'!O$51)</f>
        <v>0.32659372531541464</v>
      </c>
    </row>
    <row r="87" spans="1:11" x14ac:dyDescent="0.25">
      <c r="A87" t="str">
        <f ca="1">OFFSET(Manawatu_Reference,35,2)</f>
        <v>Motorcyclist</v>
      </c>
      <c r="B87" s="4">
        <f ca="1">B164*'Total Duration Tables Sup #1'!B87*(1+'Other Assumptions'!D$51)</f>
        <v>0.1643149203</v>
      </c>
      <c r="C87" s="4">
        <f ca="1">C164*'Total Duration Tables Sup #1'!C87*(1+'Other Assumptions'!G$51)</f>
        <v>0.17211113635003222</v>
      </c>
      <c r="D87" s="4">
        <f ca="1">D164*'Total Duration Tables Sup #1'!D87*(1+'Other Assumptions'!H$51)</f>
        <v>0.17394383466497795</v>
      </c>
      <c r="E87" s="4">
        <f ca="1">E164*'Total Duration Tables Sup #1'!E87*(1+'Other Assumptions'!I$51)</f>
        <v>0.17434441959082339</v>
      </c>
      <c r="F87" s="4">
        <f ca="1">F164*'Total Duration Tables Sup #1'!F87*(1+'Other Assumptions'!J$51)</f>
        <v>0.17380559332373544</v>
      </c>
      <c r="G87" s="4">
        <f ca="1">G164*'Total Duration Tables Sup #1'!G87*(1+'Other Assumptions'!K$51)</f>
        <v>0.17066236393751488</v>
      </c>
      <c r="H87" s="4">
        <f ca="1">H164*'Total Duration Tables Sup #1'!H87*(1+'Other Assumptions'!L$51)</f>
        <v>0.16658729715583784</v>
      </c>
      <c r="I87" s="4">
        <f ca="1">I164*'Total Duration Tables Sup #1'!I87*(1+'Other Assumptions'!M$51)</f>
        <v>0.16586827126291989</v>
      </c>
      <c r="J87" s="4">
        <f ca="1">J164*'Total Duration Tables Sup #1'!J87*(1+'Other Assumptions'!N$51)</f>
        <v>0.16462765456778081</v>
      </c>
      <c r="K87" s="4">
        <f ca="1">K164*'Total Duration Tables Sup #1'!K87*(1+'Other Assumptions'!O$51)</f>
        <v>0.16304577433859871</v>
      </c>
    </row>
    <row r="88" spans="1:11" x14ac:dyDescent="0.25">
      <c r="A88" t="str">
        <f ca="1">OFFSET(Taranaki_Reference,42,2)</f>
        <v>Local Train</v>
      </c>
      <c r="B88" s="4">
        <f ca="1">B165*'Total Duration Tables Sup #1'!B88*(1+'Other Assumptions'!D$51)</f>
        <v>0</v>
      </c>
      <c r="C88" s="4">
        <f ca="1">C165*'Total Duration Tables Sup #1'!C88*(1+'Other Assumptions'!G$51)</f>
        <v>0</v>
      </c>
      <c r="D88" s="4">
        <f ca="1">D165*'Total Duration Tables Sup #1'!D88*(1+'Other Assumptions'!H$51)</f>
        <v>0</v>
      </c>
      <c r="E88" s="4">
        <f ca="1">E165*'Total Duration Tables Sup #1'!E88*(1+'Other Assumptions'!I$51)</f>
        <v>0</v>
      </c>
      <c r="F88" s="4">
        <f ca="1">F165*'Total Duration Tables Sup #1'!F88*(1+'Other Assumptions'!J$51)</f>
        <v>0</v>
      </c>
      <c r="G88" s="4">
        <f ca="1">G165*'Total Duration Tables Sup #1'!G88*(1+'Other Assumptions'!K$51)</f>
        <v>0</v>
      </c>
      <c r="H88" s="4">
        <f ca="1">H165*'Total Duration Tables Sup #1'!H88*(1+'Other Assumptions'!L$51)</f>
        <v>0</v>
      </c>
      <c r="I88" s="4">
        <f ca="1">I165*'Total Duration Tables Sup #1'!I88*(1+'Other Assumptions'!M$51)</f>
        <v>0</v>
      </c>
      <c r="J88" s="4">
        <f ca="1">J165*'Total Duration Tables Sup #1'!J88*(1+'Other Assumptions'!N$51)</f>
        <v>0</v>
      </c>
      <c r="K88" s="4">
        <f ca="1">K165*'Total Duration Tables Sup #1'!K88*(1+'Other Assumptions'!O$51)</f>
        <v>0</v>
      </c>
    </row>
    <row r="89" spans="1:11" x14ac:dyDescent="0.25">
      <c r="A89" t="str">
        <f ca="1">OFFSET(Manawatu_Reference,42,2)</f>
        <v>Local Bus</v>
      </c>
      <c r="B89" s="4">
        <f ca="1">B166*'Total Duration Tables Sup #1'!B89*(1+'Other Assumptions'!D$51)</f>
        <v>1.7349616699999999</v>
      </c>
      <c r="C89" s="4">
        <f ca="1">C166*'Total Duration Tables Sup #1'!C89*(1+'Other Assumptions'!G$51)</f>
        <v>1.6514534400533978</v>
      </c>
      <c r="D89" s="4">
        <f ca="1">D166*'Total Duration Tables Sup #1'!D89*(1+'Other Assumptions'!H$51)</f>
        <v>1.5759350330684325</v>
      </c>
      <c r="E89" s="4">
        <f ca="1">E166*'Total Duration Tables Sup #1'!E89*(1+'Other Assumptions'!I$51)</f>
        <v>1.5236589688844608</v>
      </c>
      <c r="F89" s="4">
        <f ca="1">F166*'Total Duration Tables Sup #1'!F89*(1+'Other Assumptions'!J$51)</f>
        <v>1.4543345970077162</v>
      </c>
      <c r="G89" s="4">
        <f ca="1">G166*'Total Duration Tables Sup #1'!G89*(1+'Other Assumptions'!K$51)</f>
        <v>1.3962769676325948</v>
      </c>
      <c r="H89" s="4">
        <f ca="1">H166*'Total Duration Tables Sup #1'!H89*(1+'Other Assumptions'!L$51)</f>
        <v>1.3345255498343664</v>
      </c>
      <c r="I89" s="4">
        <f ca="1">I166*'Total Duration Tables Sup #1'!I89*(1+'Other Assumptions'!M$51)</f>
        <v>1.325038838506847</v>
      </c>
      <c r="J89" s="4">
        <f ca="1">J166*'Total Duration Tables Sup #1'!J89*(1+'Other Assumptions'!N$51)</f>
        <v>1.3114377334474949</v>
      </c>
      <c r="K89" s="4">
        <f ca="1">K166*'Total Duration Tables Sup #1'!K89*(1+'Other Assumptions'!O$51)</f>
        <v>1.2951925149422785</v>
      </c>
    </row>
    <row r="90" spans="1:11" x14ac:dyDescent="0.25">
      <c r="A90" t="str">
        <f ca="1">OFFSET(Manawatu_Reference,49,2)</f>
        <v>Local Ferry</v>
      </c>
      <c r="B90" s="4">
        <f ca="1">B167*'Total Duration Tables Sup #1'!B90*(1+'Other Assumptions'!D$51)</f>
        <v>1.3357738999999997E-2</v>
      </c>
      <c r="C90" s="4">
        <f ca="1">C167*'Total Duration Tables Sup #1'!C90*(1+'Other Assumptions'!G$51)</f>
        <v>1.4381541582173264E-2</v>
      </c>
      <c r="D90" s="4">
        <f ca="1">D167*'Total Duration Tables Sup #1'!D90*(1+'Other Assumptions'!H$51)</f>
        <v>1.4840243511030967E-2</v>
      </c>
      <c r="E90" s="4">
        <f ca="1">E167*'Total Duration Tables Sup #1'!E90*(1+'Other Assumptions'!I$51)</f>
        <v>1.5002745437027122E-2</v>
      </c>
      <c r="F90" s="4">
        <f ca="1">F167*'Total Duration Tables Sup #1'!F90*(1+'Other Assumptions'!J$51)</f>
        <v>1.4940995986900095E-2</v>
      </c>
      <c r="G90" s="4">
        <f ca="1">G167*'Total Duration Tables Sup #1'!G90*(1+'Other Assumptions'!K$51)</f>
        <v>1.5098121047102427E-2</v>
      </c>
      <c r="H90" s="4">
        <f ca="1">H167*'Total Duration Tables Sup #1'!H90*(1+'Other Assumptions'!L$51)</f>
        <v>1.5104806881083597E-2</v>
      </c>
      <c r="I90" s="4">
        <f ca="1">I167*'Total Duration Tables Sup #1'!I90*(1+'Other Assumptions'!M$51)</f>
        <v>1.4744715467408791E-2</v>
      </c>
      <c r="J90" s="4">
        <f ca="1">J167*'Total Duration Tables Sup #1'!J90*(1+'Other Assumptions'!N$51)</f>
        <v>1.4350758965410031E-2</v>
      </c>
      <c r="K90" s="4">
        <f ca="1">K167*'Total Duration Tables Sup #1'!K90*(1+'Other Assumptions'!O$51)</f>
        <v>1.3940584127452254E-2</v>
      </c>
    </row>
    <row r="91" spans="1:11" x14ac:dyDescent="0.25">
      <c r="A91" t="str">
        <f ca="1">OFFSET(Manawatu_Reference,56,2)</f>
        <v>Other Household Travel</v>
      </c>
      <c r="B91" s="4">
        <f ca="1">B168*'Total Duration Tables Sup #1'!B91*(1+'Other Assumptions'!D$51)</f>
        <v>3.9735238899999997E-2</v>
      </c>
      <c r="C91" s="4">
        <f ca="1">C168*'Total Duration Tables Sup #1'!C91*(1+'Other Assumptions'!G$51)</f>
        <v>4.1786190705482784E-2</v>
      </c>
      <c r="D91" s="4">
        <f ca="1">D168*'Total Duration Tables Sup #1'!D91*(1+'Other Assumptions'!H$51)</f>
        <v>4.2724711581993709E-2</v>
      </c>
      <c r="E91" s="4">
        <f ca="1">E168*'Total Duration Tables Sup #1'!E91*(1+'Other Assumptions'!I$51)</f>
        <v>4.2744928015664922E-2</v>
      </c>
      <c r="F91" s="4">
        <f ca="1">F168*'Total Duration Tables Sup #1'!F91*(1+'Other Assumptions'!J$51)</f>
        <v>4.2398377487410085E-2</v>
      </c>
      <c r="G91" s="4">
        <f ca="1">G168*'Total Duration Tables Sup #1'!G91*(1+'Other Assumptions'!K$51)</f>
        <v>4.2172409677786529E-2</v>
      </c>
      <c r="H91" s="4">
        <f ca="1">H168*'Total Duration Tables Sup #1'!H91*(1+'Other Assumptions'!L$51)</f>
        <v>4.1627622790955485E-2</v>
      </c>
      <c r="I91" s="4">
        <f ca="1">I168*'Total Duration Tables Sup #1'!I91*(1+'Other Assumptions'!M$51)</f>
        <v>4.110316924967395E-2</v>
      </c>
      <c r="J91" s="4">
        <f ca="1">J168*'Total Duration Tables Sup #1'!J91*(1+'Other Assumptions'!N$51)</f>
        <v>4.0458321342146344E-2</v>
      </c>
      <c r="K91" s="4">
        <f ca="1">K168*'Total Duration Tables Sup #1'!K91*(1+'Other Assumptions'!O$51)</f>
        <v>3.9740195513961275E-2</v>
      </c>
    </row>
    <row r="92" spans="1:11" x14ac:dyDescent="0.25">
      <c r="A92" t="str">
        <f ca="1">OFFSET(Wellington_Reference,0,0)</f>
        <v>09 WELLINGTON</v>
      </c>
    </row>
    <row r="93" spans="1:11" x14ac:dyDescent="0.25">
      <c r="A93" t="str">
        <f ca="1">OFFSET(Wellington_Reference,0,2)</f>
        <v>Pedestrian</v>
      </c>
      <c r="B93" s="4">
        <f ca="1">B159*'Total Duration Tables Sup #1'!B93*(1+'Other Assumptions'!D$52)*(1+'Active Mode Assumptions'!B11)-('PT Assumptions'!B44*'Total Duration Tables Sup #2'!B171+'PT Assumptions'!B56*'Total Duration Tables Sup #2'!B174)*(1+'Other Assumptions'!D$52)</f>
        <v>32.985647405999998</v>
      </c>
      <c r="C93" s="4">
        <f ca="1">C159*'Total Duration Tables Sup #1'!C93*(1+'Other Assumptions'!G$52)*(1+'Active Mode Assumptions'!C11)-('PT Assumptions'!C44*'Total Duration Tables Sup #2'!C171+'PT Assumptions'!C56*'Total Duration Tables Sup #2'!C174)*(1+'Other Assumptions'!G$52)</f>
        <v>34.314102971110543</v>
      </c>
      <c r="D93" s="4">
        <f ca="1">D159*'Total Duration Tables Sup #1'!D93*(1+'Other Assumptions'!H$52)*(1+'Active Mode Assumptions'!D11)-('PT Assumptions'!D44*'Total Duration Tables Sup #2'!D171+'PT Assumptions'!D56*'Total Duration Tables Sup #2'!D174)*(1+'Other Assumptions'!H$52)</f>
        <v>36.463626644696618</v>
      </c>
      <c r="E93" s="4">
        <f ca="1">E159*'Total Duration Tables Sup #1'!E93*(1+'Other Assumptions'!I$52)*(1+'Active Mode Assumptions'!E11)-('PT Assumptions'!E44*'Total Duration Tables Sup #2'!E171+'PT Assumptions'!E56*'Total Duration Tables Sup #2'!E174)*(1+'Other Assumptions'!I$52)</f>
        <v>38.16838372657984</v>
      </c>
      <c r="F93" s="4">
        <f ca="1">F159*'Total Duration Tables Sup #1'!F93*(1+'Other Assumptions'!J$52)*(1+'Active Mode Assumptions'!F11)-('PT Assumptions'!F44*'Total Duration Tables Sup #2'!F171+'PT Assumptions'!F56*'Total Duration Tables Sup #2'!F174)*(1+'Other Assumptions'!J$52)</f>
        <v>39.498564827955207</v>
      </c>
      <c r="G93" s="4">
        <f ca="1">G159*'Total Duration Tables Sup #1'!G93*(1+'Other Assumptions'!K$52)*(1+'Active Mode Assumptions'!G11)-('PT Assumptions'!G44*'Total Duration Tables Sup #2'!G171+'PT Assumptions'!G56*'Total Duration Tables Sup #2'!G174)*(1+'Other Assumptions'!K$52)</f>
        <v>40.603319473255333</v>
      </c>
      <c r="H93" s="4">
        <f ca="1">H159*'Total Duration Tables Sup #1'!H93*(1+'Other Assumptions'!L$52)*(1+'Active Mode Assumptions'!H11)-('PT Assumptions'!H44*'Total Duration Tables Sup #2'!H171+'PT Assumptions'!H56*'Total Duration Tables Sup #2'!H174)*(1+'Other Assumptions'!L$52)</f>
        <v>41.462046880885957</v>
      </c>
      <c r="I93" s="4">
        <f ca="1">I159*'Total Duration Tables Sup #1'!I93*(1+'Other Assumptions'!M$52)*(1+'Active Mode Assumptions'!I11)-('PT Assumptions'!I44*'Total Duration Tables Sup #2'!I171+'PT Assumptions'!I56*'Total Duration Tables Sup #2'!I174)*(1+'Other Assumptions'!M$52)</f>
        <v>41.254195504810639</v>
      </c>
      <c r="J93" s="4">
        <f ca="1">J159*'Total Duration Tables Sup #1'!J93*(1+'Other Assumptions'!N$52)*(1+'Active Mode Assumptions'!J11)-('PT Assumptions'!J44*'Total Duration Tables Sup #2'!J171+'PT Assumptions'!J56*'Total Duration Tables Sup #2'!J174)*(1+'Other Assumptions'!N$52)</f>
        <v>40.910596812306778</v>
      </c>
      <c r="K93" s="4">
        <f ca="1">K159*'Total Duration Tables Sup #1'!K93*(1+'Other Assumptions'!O$52)*(1+'Active Mode Assumptions'!K11)-('PT Assumptions'!K44*'Total Duration Tables Sup #2'!K171+'PT Assumptions'!K56*'Total Duration Tables Sup #2'!K174)*(1+'Other Assumptions'!O$52)</f>
        <v>40.476918932821732</v>
      </c>
    </row>
    <row r="94" spans="1:11" x14ac:dyDescent="0.25">
      <c r="A94" t="str">
        <f ca="1">OFFSET(Wellington_Reference,7,2)</f>
        <v>Cyclist</v>
      </c>
      <c r="B94" s="4">
        <f ca="1">B160*'Total Duration Tables Sup #1'!B94*(1+'Other Assumptions'!D$52)*(1+'Active Mode Assumptions'!B20)-('PT Assumptions'!B45*'Total Duration Tables Sup #2'!B171+'PT Assumptions'!B57*'Total Duration Tables Sup #2'!B174)*(1+'Other Assumptions'!D$52)</f>
        <v>3.6978261002999999</v>
      </c>
      <c r="C94" s="4">
        <f ca="1">C160*'Total Duration Tables Sup #1'!C94*(1+'Other Assumptions'!G$52)*(1+'Active Mode Assumptions'!C20)-('PT Assumptions'!C45*'Total Duration Tables Sup #2'!C171+'PT Assumptions'!C57*'Total Duration Tables Sup #2'!C174)*(1+'Other Assumptions'!G$52)</f>
        <v>3.9463781922229728</v>
      </c>
      <c r="D94" s="4">
        <f ca="1">D160*'Total Duration Tables Sup #1'!D94*(1+'Other Assumptions'!H$52)*(1+'Active Mode Assumptions'!D20)-('PT Assumptions'!D45*'Total Duration Tables Sup #2'!D171+'PT Assumptions'!D57*'Total Duration Tables Sup #2'!D174)*(1+'Other Assumptions'!H$52)</f>
        <v>5.6020310446217199</v>
      </c>
      <c r="E94" s="4">
        <f ca="1">E160*'Total Duration Tables Sup #1'!E94*(1+'Other Assumptions'!I$52)*(1+'Active Mode Assumptions'!E20)-('PT Assumptions'!E45*'Total Duration Tables Sup #2'!E171+'PT Assumptions'!E57*'Total Duration Tables Sup #2'!E174)*(1+'Other Assumptions'!I$52)</f>
        <v>7.1746934470984316</v>
      </c>
      <c r="F94" s="4">
        <f ca="1">F160*'Total Duration Tables Sup #1'!F94*(1+'Other Assumptions'!J$52)*(1+'Active Mode Assumptions'!F20)-('PT Assumptions'!F45*'Total Duration Tables Sup #2'!F171+'PT Assumptions'!F57*'Total Duration Tables Sup #2'!F174)*(1+'Other Assumptions'!J$52)</f>
        <v>8.802305016408015</v>
      </c>
      <c r="G94" s="4">
        <f ca="1">G160*'Total Duration Tables Sup #1'!G94*(1+'Other Assumptions'!K$52)*(1+'Active Mode Assumptions'!G20)-('PT Assumptions'!G45*'Total Duration Tables Sup #2'!G171+'PT Assumptions'!G57*'Total Duration Tables Sup #2'!G174)*(1+'Other Assumptions'!K$52)</f>
        <v>10.541382757250398</v>
      </c>
      <c r="H94" s="4">
        <f ca="1">H160*'Total Duration Tables Sup #1'!H94*(1+'Other Assumptions'!L$52)*(1+'Active Mode Assumptions'!H20)-('PT Assumptions'!H45*'Total Duration Tables Sup #2'!H171+'PT Assumptions'!H57*'Total Duration Tables Sup #2'!H174)*(1+'Other Assumptions'!L$52)</f>
        <v>12.316145165994399</v>
      </c>
      <c r="I94" s="4">
        <f ca="1">I160*'Total Duration Tables Sup #1'!I94*(1+'Other Assumptions'!M$52)*(1+'Active Mode Assumptions'!I20)-('PT Assumptions'!I45*'Total Duration Tables Sup #2'!I171+'PT Assumptions'!I57*'Total Duration Tables Sup #2'!I174)*(1+'Other Assumptions'!M$52)</f>
        <v>12.315782857957016</v>
      </c>
      <c r="J94" s="4">
        <f ca="1">J160*'Total Duration Tables Sup #1'!J94*(1+'Other Assumptions'!N$52)*(1+'Active Mode Assumptions'!J20)-('PT Assumptions'!J45*'Total Duration Tables Sup #2'!J171+'PT Assumptions'!J57*'Total Duration Tables Sup #2'!J174)*(1+'Other Assumptions'!N$52)</f>
        <v>12.275520512827988</v>
      </c>
      <c r="K94" s="4">
        <f ca="1">K160*'Total Duration Tables Sup #1'!K94*(1+'Other Assumptions'!O$52)*(1+'Active Mode Assumptions'!K20)-('PT Assumptions'!K45*'Total Duration Tables Sup #2'!K171+'PT Assumptions'!K57*'Total Duration Tables Sup #2'!K174)*(1+'Other Assumptions'!O$52)</f>
        <v>12.20835447131819</v>
      </c>
    </row>
    <row r="95" spans="1:11" x14ac:dyDescent="0.25">
      <c r="A95" t="str">
        <f ca="1">OFFSET(Wellington_Reference,14,2)</f>
        <v>Light Vehicle Driver</v>
      </c>
      <c r="B95" s="4">
        <f ca="1">(B161*'Total Duration Tables Sup #1'!B95-'PT Assumptions'!B46*'Total Duration Tables Sup #2'!B171-'PT Assumptions'!B58*'Total Duration Tables Sup #2'!B174)*(1+'Other Assumptions'!D$52)-(B159*'Total Duration Tables Sup #1'!B93)*(1+'Other Assumptions'!D$52)*'Active Mode Assumptions'!B11*'Active Mode Assumptions'!B14-(B160*'Total Duration Tables Sup #1'!B94)*(1+'Other Assumptions'!D$52)*'Active Mode Assumptions'!B20*'Active Mode Assumptions'!B23</f>
        <v>92.129697210000003</v>
      </c>
      <c r="C95" s="4">
        <f ca="1">(C161*'Total Duration Tables Sup #1'!C95-'PT Assumptions'!C46*'Total Duration Tables Sup #2'!C171-'PT Assumptions'!C58*'Total Duration Tables Sup #2'!C174)*(1+'Other Assumptions'!G$52)-(C159*'Total Duration Tables Sup #1'!C93)*(1+'Other Assumptions'!G$52)*'Active Mode Assumptions'!C11*'Active Mode Assumptions'!C14-(C160*'Total Duration Tables Sup #1'!C94)*(1+'Other Assumptions'!G$52)*'Active Mode Assumptions'!C20*'Active Mode Assumptions'!C23</f>
        <v>99.101386094895076</v>
      </c>
      <c r="D95" s="4">
        <f ca="1">(D161*'Total Duration Tables Sup #1'!D95-'PT Assumptions'!D46*'Total Duration Tables Sup #2'!D171-'PT Assumptions'!D58*'Total Duration Tables Sup #2'!D174)*(1+'Other Assumptions'!H$52)-(D159*'Total Duration Tables Sup #1'!D93)*(1+'Other Assumptions'!H$52)*'Active Mode Assumptions'!D11*'Active Mode Assumptions'!D14-(D160*'Total Duration Tables Sup #1'!D94)*(1+'Other Assumptions'!H$52)*'Active Mode Assumptions'!D20*'Active Mode Assumptions'!D23</f>
        <v>100.04179184255763</v>
      </c>
      <c r="E95" s="4">
        <f ca="1">(E161*'Total Duration Tables Sup #1'!E95-'PT Assumptions'!E46*'Total Duration Tables Sup #2'!E171-'PT Assumptions'!E58*'Total Duration Tables Sup #2'!E174)*(1+'Other Assumptions'!I$52)-(E159*'Total Duration Tables Sup #1'!E93)*(1+'Other Assumptions'!I$52)*'Active Mode Assumptions'!E11*'Active Mode Assumptions'!E14-(E160*'Total Duration Tables Sup #1'!E94)*(1+'Other Assumptions'!I$52)*'Active Mode Assumptions'!E20*'Active Mode Assumptions'!E23</f>
        <v>100.7237897391839</v>
      </c>
      <c r="F95" s="4">
        <f ca="1">(F161*'Total Duration Tables Sup #1'!F95-'PT Assumptions'!F46*'Total Duration Tables Sup #2'!F171-'PT Assumptions'!F58*'Total Duration Tables Sup #2'!F174)*(1+'Other Assumptions'!J$52)-(F159*'Total Duration Tables Sup #1'!F93)*(1+'Other Assumptions'!J$52)*'Active Mode Assumptions'!F11*'Active Mode Assumptions'!F14-(F160*'Total Duration Tables Sup #1'!F94)*(1+'Other Assumptions'!J$52)*'Active Mode Assumptions'!F20*'Active Mode Assumptions'!F23</f>
        <v>101.09991588682527</v>
      </c>
      <c r="G95" s="4">
        <f ca="1">(G161*'Total Duration Tables Sup #1'!G95-'PT Assumptions'!G46*'Total Duration Tables Sup #2'!G171-'PT Assumptions'!G58*'Total Duration Tables Sup #2'!G174)*(1+'Other Assumptions'!K$52)-(G159*'Total Duration Tables Sup #1'!G93)*(1+'Other Assumptions'!K$52)*'Active Mode Assumptions'!G11*'Active Mode Assumptions'!G14-(G160*'Total Duration Tables Sup #1'!G94)*(1+'Other Assumptions'!K$52)*'Active Mode Assumptions'!G20*'Active Mode Assumptions'!G23</f>
        <v>100.39361539448045</v>
      </c>
      <c r="H95" s="4">
        <f ca="1">(H161*'Total Duration Tables Sup #1'!H95-'PT Assumptions'!H46*'Total Duration Tables Sup #2'!H171-'PT Assumptions'!H58*'Total Duration Tables Sup #2'!H174)*(1+'Other Assumptions'!L$52)-(H159*'Total Duration Tables Sup #1'!H93)*(1+'Other Assumptions'!L$52)*'Active Mode Assumptions'!H11*'Active Mode Assumptions'!H14-(H160*'Total Duration Tables Sup #1'!H94)*(1+'Other Assumptions'!L$52)*'Active Mode Assumptions'!H20*'Active Mode Assumptions'!H23</f>
        <v>99.111827941467652</v>
      </c>
      <c r="I95" s="4">
        <f ca="1">(I161*'Total Duration Tables Sup #1'!I95-'PT Assumptions'!I46*'Total Duration Tables Sup #2'!I171-'PT Assumptions'!I58*'Total Duration Tables Sup #2'!I174)*(1+'Other Assumptions'!M$52)-(I159*'Total Duration Tables Sup #1'!I93)*(1+'Other Assumptions'!M$52)*'Active Mode Assumptions'!I11*'Active Mode Assumptions'!I14-(I160*'Total Duration Tables Sup #1'!I94)*(1+'Other Assumptions'!M$52)*'Active Mode Assumptions'!I20*'Active Mode Assumptions'!I23</f>
        <v>98.380926461446805</v>
      </c>
      <c r="J95" s="4">
        <f ca="1">(J161*'Total Duration Tables Sup #1'!J95-'PT Assumptions'!J46*'Total Duration Tables Sup #2'!J171-'PT Assumptions'!J58*'Total Duration Tables Sup #2'!J174)*(1+'Other Assumptions'!N$52)-(J159*'Total Duration Tables Sup #1'!J93)*(1+'Other Assumptions'!N$52)*'Active Mode Assumptions'!J11*'Active Mode Assumptions'!J14-(J160*'Total Duration Tables Sup #1'!J94)*(1+'Other Assumptions'!N$52)*'Active Mode Assumptions'!J20*'Active Mode Assumptions'!J23</f>
        <v>97.304631956403909</v>
      </c>
      <c r="K95" s="4">
        <f ca="1">(K161*'Total Duration Tables Sup #1'!K95-'PT Assumptions'!K46*'Total Duration Tables Sup #2'!K171-'PT Assumptions'!K58*'Total Duration Tables Sup #2'!K174)*(1+'Other Assumptions'!O$52)-(K159*'Total Duration Tables Sup #1'!K93)*(1+'Other Assumptions'!O$52)*'Active Mode Assumptions'!K11*'Active Mode Assumptions'!K14-(K160*'Total Duration Tables Sup #1'!K94)*(1+'Other Assumptions'!O$52)*'Active Mode Assumptions'!K20*'Active Mode Assumptions'!K23</f>
        <v>95.997106551223993</v>
      </c>
    </row>
    <row r="96" spans="1:11" x14ac:dyDescent="0.25">
      <c r="A96" t="str">
        <f ca="1">OFFSET(Wellington_Reference,21,2)</f>
        <v>Light Vehicle Passenger</v>
      </c>
      <c r="B96" s="4">
        <f ca="1">(B162*'Total Duration Tables Sup #1'!B96-'PT Assumptions'!B47*'Total Duration Tables Sup #2'!B171-'PT Assumptions'!B59*'Total Duration Tables Sup #2'!B174)*(1+'Other Assumptions'!D$52)-(B159*'Total Duration Tables Sup #1'!B93)*(1+'Other Assumptions'!D$52)*'Active Mode Assumptions'!B11*'Active Mode Assumptions'!B15-(B160*'Total Duration Tables Sup #1'!B94)*(1+'Other Assumptions'!D$52)*'Active Mode Assumptions'!B20*'Active Mode Assumptions'!B24</f>
        <v>48.966354531</v>
      </c>
      <c r="C96" s="4">
        <f ca="1">(C162*'Total Duration Tables Sup #1'!C96-'PT Assumptions'!C47*'Total Duration Tables Sup #2'!C171-'PT Assumptions'!C59*'Total Duration Tables Sup #2'!C174)*(1+'Other Assumptions'!G$52)-(C159*'Total Duration Tables Sup #1'!C93)*(1+'Other Assumptions'!G$52)*'Active Mode Assumptions'!C11*'Active Mode Assumptions'!C15-(C160*'Total Duration Tables Sup #1'!C94)*(1+'Other Assumptions'!G$52)*'Active Mode Assumptions'!C20*'Active Mode Assumptions'!C24</f>
        <v>50.46806976021405</v>
      </c>
      <c r="D96" s="4">
        <f ca="1">(D162*'Total Duration Tables Sup #1'!D96-'PT Assumptions'!D47*'Total Duration Tables Sup #2'!D171-'PT Assumptions'!D59*'Total Duration Tables Sup #2'!D174)*(1+'Other Assumptions'!H$52)-(D159*'Total Duration Tables Sup #1'!D93)*(1+'Other Assumptions'!H$52)*'Active Mode Assumptions'!D11*'Active Mode Assumptions'!D15-(D160*'Total Duration Tables Sup #1'!D94)*(1+'Other Assumptions'!H$52)*'Active Mode Assumptions'!D20*'Active Mode Assumptions'!D24</f>
        <v>49.055134300212345</v>
      </c>
      <c r="E96" s="4">
        <f ca="1">(E162*'Total Duration Tables Sup #1'!E96-'PT Assumptions'!E47*'Total Duration Tables Sup #2'!E171-'PT Assumptions'!E59*'Total Duration Tables Sup #2'!E174)*(1+'Other Assumptions'!I$52)-(E159*'Total Duration Tables Sup #1'!E93)*(1+'Other Assumptions'!I$52)*'Active Mode Assumptions'!E11*'Active Mode Assumptions'!E15-(E160*'Total Duration Tables Sup #1'!E94)*(1+'Other Assumptions'!I$52)*'Active Mode Assumptions'!E20*'Active Mode Assumptions'!E24</f>
        <v>47.583948916773451</v>
      </c>
      <c r="F96" s="4">
        <f ca="1">(F162*'Total Duration Tables Sup #1'!F96-'PT Assumptions'!F47*'Total Duration Tables Sup #2'!F171-'PT Assumptions'!F59*'Total Duration Tables Sup #2'!F174)*(1+'Other Assumptions'!J$52)-(F159*'Total Duration Tables Sup #1'!F93)*(1+'Other Assumptions'!J$52)*'Active Mode Assumptions'!F11*'Active Mode Assumptions'!F15-(F160*'Total Duration Tables Sup #1'!F94)*(1+'Other Assumptions'!J$52)*'Active Mode Assumptions'!F20*'Active Mode Assumptions'!F24</f>
        <v>45.997792628802685</v>
      </c>
      <c r="G96" s="4">
        <f ca="1">(G162*'Total Duration Tables Sup #1'!G96-'PT Assumptions'!G47*'Total Duration Tables Sup #2'!G171-'PT Assumptions'!G59*'Total Duration Tables Sup #2'!G174)*(1+'Other Assumptions'!K$52)-(G159*'Total Duration Tables Sup #1'!G93)*(1+'Other Assumptions'!K$52)*'Active Mode Assumptions'!G11*'Active Mode Assumptions'!G15-(G160*'Total Duration Tables Sup #1'!G94)*(1+'Other Assumptions'!K$52)*'Active Mode Assumptions'!G20*'Active Mode Assumptions'!G24</f>
        <v>44.109133462335315</v>
      </c>
      <c r="H96" s="4">
        <f ca="1">(H162*'Total Duration Tables Sup #1'!H96-'PT Assumptions'!H47*'Total Duration Tables Sup #2'!H171-'PT Assumptions'!H59*'Total Duration Tables Sup #2'!H174)*(1+'Other Assumptions'!L$52)-(H159*'Total Duration Tables Sup #1'!H93)*(1+'Other Assumptions'!L$52)*'Active Mode Assumptions'!H11*'Active Mode Assumptions'!H15-(H160*'Total Duration Tables Sup #1'!H94)*(1+'Other Assumptions'!L$52)*'Active Mode Assumptions'!H20*'Active Mode Assumptions'!H24</f>
        <v>41.973232027043863</v>
      </c>
      <c r="I96" s="4">
        <f ca="1">(I162*'Total Duration Tables Sup #1'!I96-'PT Assumptions'!I47*'Total Duration Tables Sup #2'!I171-'PT Assumptions'!I59*'Total Duration Tables Sup #2'!I174)*(1+'Other Assumptions'!M$52)-(I159*'Total Duration Tables Sup #1'!I93)*(1+'Other Assumptions'!M$52)*'Active Mode Assumptions'!I11*'Active Mode Assumptions'!I15-(I160*'Total Duration Tables Sup #1'!I94)*(1+'Other Assumptions'!M$52)*'Active Mode Assumptions'!I20*'Active Mode Assumptions'!I24</f>
        <v>41.585360060471409</v>
      </c>
      <c r="J96" s="4">
        <f ca="1">(J162*'Total Duration Tables Sup #1'!J96-'PT Assumptions'!J47*'Total Duration Tables Sup #2'!J171-'PT Assumptions'!J59*'Total Duration Tables Sup #2'!J174)*(1+'Other Assumptions'!N$52)-(J159*'Total Duration Tables Sup #1'!J93)*(1+'Other Assumptions'!N$52)*'Active Mode Assumptions'!J11*'Active Mode Assumptions'!J15-(J160*'Total Duration Tables Sup #1'!J94)*(1+'Other Assumptions'!N$52)*'Active Mode Assumptions'!J20*'Active Mode Assumptions'!J24</f>
        <v>41.035258101521379</v>
      </c>
      <c r="K96" s="4">
        <f ca="1">(K162*'Total Duration Tables Sup #1'!K96-'PT Assumptions'!K47*'Total Duration Tables Sup #2'!K171-'PT Assumptions'!K59*'Total Duration Tables Sup #2'!K174)*(1+'Other Assumptions'!O$52)-(K159*'Total Duration Tables Sup #1'!K93)*(1+'Other Assumptions'!O$52)*'Active Mode Assumptions'!K11*'Active Mode Assumptions'!K15-(K160*'Total Duration Tables Sup #1'!K94)*(1+'Other Assumptions'!O$52)*'Active Mode Assumptions'!K20*'Active Mode Assumptions'!K24</f>
        <v>40.374405287986299</v>
      </c>
    </row>
    <row r="97" spans="1:11" x14ac:dyDescent="0.25">
      <c r="A97" t="str">
        <f ca="1">OFFSET(Wellington_Reference,28,2)</f>
        <v>Taxi/Vehicle Share</v>
      </c>
      <c r="B97" s="4">
        <f ca="1">B163*'Total Duration Tables Sup #1'!B97*(1+'Other Assumptions'!D$52)</f>
        <v>0.76229285280000003</v>
      </c>
      <c r="C97" s="4">
        <f ca="1">C163*'Total Duration Tables Sup #1'!C97*(1+'Other Assumptions'!G$52)</f>
        <v>0.85236276338974892</v>
      </c>
      <c r="D97" s="4">
        <f ca="1">D163*'Total Duration Tables Sup #1'!D97*(1+'Other Assumptions'!H$52)</f>
        <v>0.90902132814777015</v>
      </c>
      <c r="E97" s="4">
        <f ca="1">E163*'Total Duration Tables Sup #1'!E97*(1+'Other Assumptions'!I$52)</f>
        <v>0.95307656468075452</v>
      </c>
      <c r="F97" s="4">
        <f ca="1">F163*'Total Duration Tables Sup #1'!F97*(1+'Other Assumptions'!J$52)</f>
        <v>0.98595561047360158</v>
      </c>
      <c r="G97" s="4">
        <f ca="1">G163*'Total Duration Tables Sup #1'!G97*(1+'Other Assumptions'!K$52)</f>
        <v>0.99988021812495798</v>
      </c>
      <c r="H97" s="4">
        <f ca="1">H163*'Total Duration Tables Sup #1'!H97*(1+'Other Assumptions'!L$52)</f>
        <v>1.0082086215238268</v>
      </c>
      <c r="I97" s="4">
        <f ca="1">I163*'Total Duration Tables Sup #1'!I97*(1+'Other Assumptions'!M$52)</f>
        <v>1.0012064900626803</v>
      </c>
      <c r="J97" s="4">
        <f ca="1">J163*'Total Duration Tables Sup #1'!J97*(1+'Other Assumptions'!N$52)</f>
        <v>0.99098931196382489</v>
      </c>
      <c r="K97" s="4">
        <f ca="1">K163*'Total Duration Tables Sup #1'!K97*(1+'Other Assumptions'!O$52)</f>
        <v>0.97866993531884849</v>
      </c>
    </row>
    <row r="98" spans="1:11" x14ac:dyDescent="0.25">
      <c r="A98" t="str">
        <f ca="1">OFFSET(Wellington_Reference,35,2)</f>
        <v>Motorcyclist</v>
      </c>
      <c r="B98" s="4">
        <f ca="1">B164*'Total Duration Tables Sup #1'!B98*(1+'Other Assumptions'!D$52)</f>
        <v>0.71073078609999996</v>
      </c>
      <c r="C98" s="4">
        <f ca="1">C164*'Total Duration Tables Sup #1'!C98*(1+'Other Assumptions'!G$52)</f>
        <v>0.75757277060681294</v>
      </c>
      <c r="D98" s="4">
        <f ca="1">D164*'Total Duration Tables Sup #1'!D98*(1+'Other Assumptions'!H$52)</f>
        <v>0.77030373715967493</v>
      </c>
      <c r="E98" s="4">
        <f ca="1">E164*'Total Duration Tables Sup #1'!E98*(1+'Other Assumptions'!I$52)</f>
        <v>0.77475650275854391</v>
      </c>
      <c r="F98" s="4">
        <f ca="1">F164*'Total Duration Tables Sup #1'!F98*(1+'Other Assumptions'!J$52)</f>
        <v>0.77576853623523012</v>
      </c>
      <c r="G98" s="4">
        <f ca="1">G164*'Total Duration Tables Sup #1'!G98*(1+'Other Assumptions'!K$52)</f>
        <v>0.76528398606614767</v>
      </c>
      <c r="H98" s="4">
        <f ca="1">H164*'Total Duration Tables Sup #1'!H98*(1+'Other Assumptions'!L$52)</f>
        <v>0.75029781501810289</v>
      </c>
      <c r="I98" s="4">
        <f ca="1">I164*'Total Duration Tables Sup #1'!I98*(1+'Other Assumptions'!M$52)</f>
        <v>0.75026368424651912</v>
      </c>
      <c r="J98" s="4">
        <f ca="1">J164*'Total Duration Tables Sup #1'!J98*(1+'Other Assumptions'!N$52)</f>
        <v>0.74776141558252107</v>
      </c>
      <c r="K98" s="4">
        <f ca="1">K164*'Total Duration Tables Sup #1'!K98*(1+'Other Assumptions'!O$52)</f>
        <v>0.74358264747605429</v>
      </c>
    </row>
    <row r="99" spans="1:11" x14ac:dyDescent="0.25">
      <c r="A99" t="str">
        <f ca="1">OFFSET(Wellington_Reference,42,2)</f>
        <v>Local Train</v>
      </c>
      <c r="B99" s="4">
        <f ca="1">'Total Duration Tables Sup #1'!B99*(1+'PT Assumptions'!B41)*(1+'Other Assumptions'!D$52)</f>
        <v>6.554720885672368</v>
      </c>
      <c r="C99" s="4">
        <f ca="1">'Total Duration Tables Sup #1'!C99*(1+'PT Assumptions'!C41)*(1+'Other Assumptions'!G$52)</f>
        <v>6.9555968768289231</v>
      </c>
      <c r="D99" s="4">
        <f ca="1">'Total Duration Tables Sup #1'!D99*(1+'PT Assumptions'!D41)*(1+'Other Assumptions'!H$52)</f>
        <v>7.6158299729201673</v>
      </c>
      <c r="E99" s="4">
        <f ca="1">'Total Duration Tables Sup #1'!E99*(1+'PT Assumptions'!E41)*(1+'Other Assumptions'!I$52)</f>
        <v>8.093743166691473</v>
      </c>
      <c r="F99" s="4">
        <f ca="1">'Total Duration Tables Sup #1'!F99*(1+'PT Assumptions'!F41)*(1+'Other Assumptions'!J$52)</f>
        <v>8.3978258546465483</v>
      </c>
      <c r="G99" s="4">
        <f ca="1">'Total Duration Tables Sup #1'!G99*(1+'PT Assumptions'!G41)*(1+'Other Assumptions'!K$52)</f>
        <v>8.6967021270395701</v>
      </c>
      <c r="H99" s="4">
        <f ca="1">'Total Duration Tables Sup #1'!H99*(1+'PT Assumptions'!H41)*(1+'Other Assumptions'!L$52)</f>
        <v>8.9741408999688606</v>
      </c>
      <c r="I99" s="4">
        <f ca="1">'Total Duration Tables Sup #1'!I99*(1+'PT Assumptions'!I41)*(1+'Other Assumptions'!M$52)</f>
        <v>9.3900719469456053</v>
      </c>
      <c r="J99" s="4">
        <f ca="1">'Total Duration Tables Sup #1'!J99*(1+'PT Assumptions'!J41)*(1+'Other Assumptions'!N$52)</f>
        <v>9.8204678000372869</v>
      </c>
      <c r="K99" s="4">
        <f ca="1">'Total Duration Tables Sup #1'!K99*(1+'PT Assumptions'!K41)*(1+'Other Assumptions'!O$52)</f>
        <v>10.269403445554921</v>
      </c>
    </row>
    <row r="100" spans="1:11" x14ac:dyDescent="0.25">
      <c r="A100" t="str">
        <f ca="1">OFFSET(Wellington_Reference,49,2)</f>
        <v>Local Bus</v>
      </c>
      <c r="B100" s="4">
        <f ca="1">'Total Duration Tables Sup #1'!B100*(1+'PT Assumptions'!B53)*(1+'Other Assumptions'!D$52)</f>
        <v>8.2404499312721509</v>
      </c>
      <c r="C100" s="4">
        <f ca="1">'Total Duration Tables Sup #1'!C100*(1+'PT Assumptions'!C53)*(1+'Other Assumptions'!G$52)</f>
        <v>8.5073098520881647</v>
      </c>
      <c r="D100" s="4">
        <f ca="1">'Total Duration Tables Sup #1'!D100*(1+'PT Assumptions'!D53)*(1+'Other Assumptions'!H$52)</f>
        <v>9.3385375592924635</v>
      </c>
      <c r="E100" s="4">
        <f ca="1">'Total Duration Tables Sup #1'!E100*(1+'PT Assumptions'!E53)*(1+'Other Assumptions'!I$52)</f>
        <v>9.6601412897506194</v>
      </c>
      <c r="F100" s="4">
        <f ca="1">'Total Duration Tables Sup #1'!F100*(1+'PT Assumptions'!F53)*(1+'Other Assumptions'!J$52)</f>
        <v>9.5224669207460799</v>
      </c>
      <c r="G100" s="4">
        <f ca="1">'Total Duration Tables Sup #1'!G100*(1+'PT Assumptions'!G53)*(1+'Other Assumptions'!K$52)</f>
        <v>9.3835798843952194</v>
      </c>
      <c r="H100" s="4">
        <f ca="1">'Total Duration Tables Sup #1'!H100*(1+'PT Assumptions'!H53)*(1+'Other Assumptions'!L$52)</f>
        <v>9.240442910824278</v>
      </c>
      <c r="I100" s="4">
        <f ca="1">'Total Duration Tables Sup #1'!I100*(1+'PT Assumptions'!I53)*(1+'Other Assumptions'!M$52)</f>
        <v>9.3758323175253153</v>
      </c>
      <c r="J100" s="4">
        <f ca="1">'Total Duration Tables Sup #1'!J100*(1+'PT Assumptions'!J53)*(1+'Other Assumptions'!N$52)</f>
        <v>9.5114064116536063</v>
      </c>
      <c r="K100" s="4">
        <f ca="1">'Total Duration Tables Sup #1'!K100*(1+'PT Assumptions'!K53)*(1+'Other Assumptions'!O$52)</f>
        <v>9.6478252873336494</v>
      </c>
    </row>
    <row r="101" spans="1:11" x14ac:dyDescent="0.25">
      <c r="A101" t="str">
        <f ca="1">OFFSET(Wellington_Reference,56,2)</f>
        <v>Local Ferry</v>
      </c>
      <c r="B101" s="4">
        <f ca="1">B167*'Total Duration Tables Sup #1'!B101*(1+'Other Assumptions'!D$52)</f>
        <v>5.6537513499999983E-2</v>
      </c>
      <c r="C101" s="4">
        <f ca="1">C167*'Total Duration Tables Sup #1'!C101*(1+'Other Assumptions'!G$52)</f>
        <v>6.1943601094360951E-2</v>
      </c>
      <c r="D101" s="4">
        <f ca="1">D167*'Total Duration Tables Sup #1'!D101*(1+'Other Assumptions'!H$52)</f>
        <v>6.4308683029371219E-2</v>
      </c>
      <c r="E101" s="4">
        <f ca="1">E167*'Total Duration Tables Sup #1'!E101*(1+'Other Assumptions'!I$52)</f>
        <v>6.5238436328998353E-2</v>
      </c>
      <c r="F101" s="4">
        <f ca="1">F167*'Total Duration Tables Sup #1'!F101*(1+'Other Assumptions'!J$52)</f>
        <v>6.5256471263999985E-2</v>
      </c>
      <c r="G101" s="4">
        <f ca="1">G167*'Total Duration Tables Sup #1'!G101*(1+'Other Assumptions'!K$52)</f>
        <v>6.6249620569133472E-2</v>
      </c>
      <c r="H101" s="4">
        <f ca="1">H167*'Total Duration Tables Sup #1'!H101*(1+'Other Assumptions'!L$52)</f>
        <v>6.6570619826893246E-2</v>
      </c>
      <c r="I101" s="4">
        <f ca="1">I167*'Total Duration Tables Sup #1'!I101*(1+'Other Assumptions'!M$52)</f>
        <v>6.5262337832371883E-2</v>
      </c>
      <c r="J101" s="4">
        <f ca="1">J167*'Total Duration Tables Sup #1'!J101*(1+'Other Assumptions'!N$52)</f>
        <v>6.3783853676848717E-2</v>
      </c>
      <c r="K101" s="4">
        <f ca="1">K167*'Total Duration Tables Sup #1'!K101*(1+'Other Assumptions'!O$52)</f>
        <v>6.2212305220130382E-2</v>
      </c>
    </row>
    <row r="102" spans="1:11" x14ac:dyDescent="0.25">
      <c r="A102" t="str">
        <f ca="1">OFFSET(Wellington_Reference,63,2)</f>
        <v>Other Household Travel</v>
      </c>
      <c r="B102" s="4">
        <f ca="1">B168*'Total Duration Tables Sup #1'!B102*(1+'Other Assumptions'!D$52)</f>
        <v>0.36538599710000003</v>
      </c>
      <c r="C102" s="4">
        <f ca="1">C168*'Total Duration Tables Sup #1'!C102*(1+'Other Assumptions'!G$52)</f>
        <v>0.39101742399696027</v>
      </c>
      <c r="D102" s="4">
        <f ca="1">D168*'Total Duration Tables Sup #1'!D102*(1+'Other Assumptions'!H$52)</f>
        <v>0.4022351767031726</v>
      </c>
      <c r="E102" s="4">
        <f ca="1">E168*'Total Duration Tables Sup #1'!E102*(1+'Other Assumptions'!I$52)</f>
        <v>0.40382175596530567</v>
      </c>
      <c r="F102" s="4">
        <f ca="1">F168*'Total Duration Tables Sup #1'!F102*(1+'Other Assumptions'!J$52)</f>
        <v>0.40231441518344435</v>
      </c>
      <c r="G102" s="4">
        <f ca="1">G168*'Total Duration Tables Sup #1'!G102*(1+'Other Assumptions'!K$52)</f>
        <v>0.40203256172895779</v>
      </c>
      <c r="H102" s="4">
        <f ca="1">H168*'Total Duration Tables Sup #1'!H102*(1+'Other Assumptions'!L$52)</f>
        <v>0.39858537021835022</v>
      </c>
      <c r="I102" s="4">
        <f ca="1">I168*'Total Duration Tables Sup #1'!I102*(1+'Other Assumptions'!M$52)</f>
        <v>0.39525180348710209</v>
      </c>
      <c r="J102" s="4">
        <f ca="1">J168*'Total Duration Tables Sup #1'!J102*(1+'Other Assumptions'!N$52)</f>
        <v>0.39067539891870501</v>
      </c>
      <c r="K102" s="4">
        <f ca="1">K168*'Total Duration Tables Sup #1'!K102*(1+'Other Assumptions'!O$52)</f>
        <v>0.38529878717232974</v>
      </c>
    </row>
    <row r="103" spans="1:11" x14ac:dyDescent="0.25">
      <c r="A103" t="str">
        <f ca="1">OFFSET(Nelson_Reference,0,0)</f>
        <v>10 NELS-MARLB-TAS</v>
      </c>
    </row>
    <row r="104" spans="1:11" x14ac:dyDescent="0.25">
      <c r="A104" t="str">
        <f ca="1">OFFSET(Nelson_Reference,0,2)</f>
        <v>Pedestrian</v>
      </c>
      <c r="B104" s="4">
        <f ca="1">B159*'Total Duration Tables Sup #1'!B104*(1+'Other Assumptions'!D$53)*(1+'Active Mode Assumptions'!B11)</f>
        <v>7.2640217022</v>
      </c>
      <c r="C104" s="4">
        <f ca="1">C159*'Total Duration Tables Sup #1'!C104*(1+'Other Assumptions'!G$53)*(1+'Active Mode Assumptions'!C11)</f>
        <v>7.4850848447469858</v>
      </c>
      <c r="D104" s="4">
        <f ca="1">D159*'Total Duration Tables Sup #1'!D104*(1+'Other Assumptions'!H$53)*(1+'Active Mode Assumptions'!D11)</f>
        <v>8.0175395285302056</v>
      </c>
      <c r="E104" s="4">
        <f ca="1">E159*'Total Duration Tables Sup #1'!E104*(1+'Other Assumptions'!I$53)*(1+'Active Mode Assumptions'!E11)</f>
        <v>8.454230800907526</v>
      </c>
      <c r="F104" s="4">
        <f ca="1">F159*'Total Duration Tables Sup #1'!F104*(1+'Other Assumptions'!J$53)*(1+'Active Mode Assumptions'!F11)</f>
        <v>8.7957518818266927</v>
      </c>
      <c r="G104" s="4">
        <f ca="1">G159*'Total Duration Tables Sup #1'!G104*(1+'Other Assumptions'!K$53)*(1+'Active Mode Assumptions'!G11)</f>
        <v>9.0793032352909098</v>
      </c>
      <c r="H104" s="4">
        <f ca="1">H159*'Total Duration Tables Sup #1'!H104*(1+'Other Assumptions'!L$53)*(1+'Active Mode Assumptions'!H11)</f>
        <v>9.2956303760697008</v>
      </c>
      <c r="I104" s="4">
        <f ca="1">I159*'Total Duration Tables Sup #1'!I104*(1+'Other Assumptions'!M$53)*(1+'Active Mode Assumptions'!I11)</f>
        <v>9.2741371940724324</v>
      </c>
      <c r="J104" s="4">
        <f ca="1">J159*'Total Duration Tables Sup #1'!J104*(1+'Other Assumptions'!N$53)*(1+'Active Mode Assumptions'!J11)</f>
        <v>9.2237699524533312</v>
      </c>
      <c r="K104" s="4">
        <f ca="1">K159*'Total Duration Tables Sup #1'!K104*(1+'Other Assumptions'!O$53)*(1+'Active Mode Assumptions'!K11)</f>
        <v>9.154485308608896</v>
      </c>
    </row>
    <row r="105" spans="1:11" x14ac:dyDescent="0.25">
      <c r="A105" t="str">
        <f ca="1">OFFSET(Nelson_Reference,7,2)</f>
        <v>Cyclist</v>
      </c>
      <c r="B105" s="4">
        <f ca="1">B160*'Total Duration Tables Sup #1'!B105*(1+'Other Assumptions'!D$53)*(1+'Active Mode Assumptions'!B20)</f>
        <v>1.0417220854</v>
      </c>
      <c r="C105" s="4">
        <f ca="1">C160*'Total Duration Tables Sup #1'!C105*(1+'Other Assumptions'!G$53)*(1+'Active Mode Assumptions'!C20)</f>
        <v>1.1012036181768954</v>
      </c>
      <c r="D105" s="4">
        <f ca="1">D160*'Total Duration Tables Sup #1'!D105*(1+'Other Assumptions'!H$53)*(1+'Active Mode Assumptions'!D20)</f>
        <v>1.5737982506101238</v>
      </c>
      <c r="E105" s="4">
        <f ca="1">E160*'Total Duration Tables Sup #1'!E105*(1+'Other Assumptions'!I$53)*(1+'Active Mode Assumptions'!E20)</f>
        <v>2.029048222620085</v>
      </c>
      <c r="F105" s="4">
        <f ca="1">F160*'Total Duration Tables Sup #1'!F105*(1+'Other Assumptions'!J$53)*(1+'Active Mode Assumptions'!F20)</f>
        <v>2.5021490126852131</v>
      </c>
      <c r="G105" s="4">
        <f ca="1">G160*'Total Duration Tables Sup #1'!G105*(1+'Other Assumptions'!K$53)*(1+'Active Mode Assumptions'!G20)</f>
        <v>3.0081532931810191</v>
      </c>
      <c r="H105" s="4">
        <f ca="1">H160*'Total Duration Tables Sup #1'!H105*(1+'Other Assumptions'!L$53)*(1+'Active Mode Assumptions'!H20)</f>
        <v>3.5227350771709682</v>
      </c>
      <c r="I105" s="4">
        <f ca="1">I160*'Total Duration Tables Sup #1'!I105*(1+'Other Assumptions'!M$53)*(1+'Active Mode Assumptions'!I20)</f>
        <v>3.5313325304419285</v>
      </c>
      <c r="J105" s="4">
        <f ca="1">J160*'Total Duration Tables Sup #1'!J105*(1+'Other Assumptions'!N$53)*(1+'Active Mode Assumptions'!J20)</f>
        <v>3.5290480564530999</v>
      </c>
      <c r="K105" s="4">
        <f ca="1">K160*'Total Duration Tables Sup #1'!K105*(1+'Other Assumptions'!O$53)*(1+'Active Mode Assumptions'!K20)</f>
        <v>3.5195455686862891</v>
      </c>
    </row>
    <row r="106" spans="1:11" x14ac:dyDescent="0.25">
      <c r="A106" t="str">
        <f ca="1">OFFSET(Nelson_Reference,14,2)</f>
        <v>Light Vehicle Driver</v>
      </c>
      <c r="B106" s="4">
        <f ca="1">B161*'Total Duration Tables Sup #1'!B106*(1+'Other Assumptions'!D$53)-(B104*'Active Mode Assumptions'!B11*'Active Mode Assumptions'!B14/(1+'Active Mode Assumptions'!B11))-(B105*'Active Mode Assumptions'!B20*'Active Mode Assumptions'!B23/(1+'Active Mode Assumptions'!B20))</f>
        <v>23.635435057999999</v>
      </c>
      <c r="C106" s="4">
        <f ca="1">C161*'Total Duration Tables Sup #1'!C106*(1+'Other Assumptions'!G$53)-(C104*'Active Mode Assumptions'!C11*'Active Mode Assumptions'!C14/(1+'Active Mode Assumptions'!C11))-(C105*'Active Mode Assumptions'!C20*'Active Mode Assumptions'!C23/(1+'Active Mode Assumptions'!C20))</f>
        <v>25.188375828486368</v>
      </c>
      <c r="D106" s="4">
        <f ca="1">D161*'Total Duration Tables Sup #1'!D106*(1+'Other Assumptions'!H$53)-(D104*'Active Mode Assumptions'!D11*'Active Mode Assumptions'!D14/(1+'Active Mode Assumptions'!D11))-(D105*'Active Mode Assumptions'!D20*'Active Mode Assumptions'!D23/(1+'Active Mode Assumptions'!D20))</f>
        <v>25.731337268852364</v>
      </c>
      <c r="E106" s="4">
        <f ca="1">E161*'Total Duration Tables Sup #1'!E106*(1+'Other Assumptions'!I$53)-(E104*'Active Mode Assumptions'!E11*'Active Mode Assumptions'!E14/(1+'Active Mode Assumptions'!E11))-(E105*'Active Mode Assumptions'!E20*'Active Mode Assumptions'!E23/(1+'Active Mode Assumptions'!E20))</f>
        <v>26.174830880267422</v>
      </c>
      <c r="F106" s="4">
        <f ca="1">F161*'Total Duration Tables Sup #1'!F106*(1+'Other Assumptions'!J$53)-(F104*'Active Mode Assumptions'!F11*'Active Mode Assumptions'!F14/(1+'Active Mode Assumptions'!F11))-(F105*'Active Mode Assumptions'!F20*'Active Mode Assumptions'!F23/(1+'Active Mode Assumptions'!F20))</f>
        <v>26.463770714887623</v>
      </c>
      <c r="G106" s="4">
        <f ca="1">G161*'Total Duration Tables Sup #1'!G106*(1+'Other Assumptions'!K$53)-(G104*'Active Mode Assumptions'!G11*'Active Mode Assumptions'!G14/(1+'Active Mode Assumptions'!G11))-(G105*'Active Mode Assumptions'!G20*'Active Mode Assumptions'!G23/(1+'Active Mode Assumptions'!G20))</f>
        <v>26.442006426349792</v>
      </c>
      <c r="H106" s="4">
        <f ca="1">H161*'Total Duration Tables Sup #1'!H106*(1+'Other Assumptions'!L$53)-(H104*'Active Mode Assumptions'!H11*'Active Mode Assumptions'!H14/(1+'Active Mode Assumptions'!H11))-(H105*'Active Mode Assumptions'!H20*'Active Mode Assumptions'!H23/(1+'Active Mode Assumptions'!H20))</f>
        <v>26.232594510895769</v>
      </c>
      <c r="I106" s="4">
        <f ca="1">I161*'Total Duration Tables Sup #1'!I106*(1+'Other Assumptions'!M$53)-(I104*'Active Mode Assumptions'!I11*'Active Mode Assumptions'!I14/(1+'Active Mode Assumptions'!I11))-(I105*'Active Mode Assumptions'!I20*'Active Mode Assumptions'!I23/(1+'Active Mode Assumptions'!I20))</f>
        <v>26.1579705513719</v>
      </c>
      <c r="J106" s="4">
        <f ca="1">J161*'Total Duration Tables Sup #1'!J106*(1+'Other Assumptions'!N$53)-(J104*'Active Mode Assumptions'!J11*'Active Mode Assumptions'!J14/(1+'Active Mode Assumptions'!J11))-(J105*'Active Mode Assumptions'!J20*'Active Mode Assumptions'!J23/(1+'Active Mode Assumptions'!J20))</f>
        <v>26.002038535662884</v>
      </c>
      <c r="K106" s="4">
        <f ca="1">K161*'Total Duration Tables Sup #1'!K106*(1+'Other Assumptions'!O$53)-(K104*'Active Mode Assumptions'!K11*'Active Mode Assumptions'!K14/(1+'Active Mode Assumptions'!K11))-(K105*'Active Mode Assumptions'!K20*'Active Mode Assumptions'!K23/(1+'Active Mode Assumptions'!K20))</f>
        <v>25.792996343102399</v>
      </c>
    </row>
    <row r="107" spans="1:11" x14ac:dyDescent="0.25">
      <c r="A107" t="str">
        <f ca="1">OFFSET(Nelson_Reference,21,2)</f>
        <v>Light Vehicle Passenger</v>
      </c>
      <c r="B107" s="4">
        <f ca="1">B162*'Total Duration Tables Sup #1'!B107*(1+'Other Assumptions'!D$53)-(B104*'Active Mode Assumptions'!B11*'Active Mode Assumptions'!B15/(1+'Active Mode Assumptions'!B11))-(B105*'Active Mode Assumptions'!B20*'Active Mode Assumptions'!B24/(1+'Active Mode Assumptions'!B20))</f>
        <v>11.910351560000001</v>
      </c>
      <c r="C107" s="4">
        <f ca="1">C162*'Total Duration Tables Sup #1'!C107*(1+'Other Assumptions'!G$53)-(C104*'Active Mode Assumptions'!C11*'Active Mode Assumptions'!C15/(1+'Active Mode Assumptions'!C11))-(C105*'Active Mode Assumptions'!C20*'Active Mode Assumptions'!C24/(1+'Active Mode Assumptions'!C20))</f>
        <v>12.164367269709162</v>
      </c>
      <c r="D107" s="4">
        <f ca="1">D162*'Total Duration Tables Sup #1'!D107*(1+'Other Assumptions'!H$53)-(D104*'Active Mode Assumptions'!D11*'Active Mode Assumptions'!D15/(1+'Active Mode Assumptions'!D11))-(D105*'Active Mode Assumptions'!D20*'Active Mode Assumptions'!D24/(1+'Active Mode Assumptions'!D20))</f>
        <v>12.017163146296291</v>
      </c>
      <c r="E107" s="4">
        <f ca="1">E162*'Total Duration Tables Sup #1'!E107*(1+'Other Assumptions'!I$53)-(E104*'Active Mode Assumptions'!E11*'Active Mode Assumptions'!E15/(1+'Active Mode Assumptions'!E11))-(E105*'Active Mode Assumptions'!E20*'Active Mode Assumptions'!E24/(1+'Active Mode Assumptions'!E20))</f>
        <v>11.817712637671457</v>
      </c>
      <c r="F107" s="4">
        <f ca="1">F162*'Total Duration Tables Sup #1'!F107*(1+'Other Assumptions'!J$53)-(F104*'Active Mode Assumptions'!F11*'Active Mode Assumptions'!F15/(1+'Active Mode Assumptions'!F11))-(F105*'Active Mode Assumptions'!F20*'Active Mode Assumptions'!F24/(1+'Active Mode Assumptions'!F20))</f>
        <v>11.531657510941827</v>
      </c>
      <c r="G107" s="4">
        <f ca="1">G162*'Total Duration Tables Sup #1'!G107*(1+'Other Assumptions'!K$53)-(G104*'Active Mode Assumptions'!G11*'Active Mode Assumptions'!G15/(1+'Active Mode Assumptions'!G11))-(G105*'Active Mode Assumptions'!G20*'Active Mode Assumptions'!G24/(1+'Active Mode Assumptions'!G20))</f>
        <v>11.155409599418949</v>
      </c>
      <c r="H107" s="4">
        <f ca="1">H162*'Total Duration Tables Sup #1'!H107*(1+'Other Assumptions'!L$53)-(H104*'Active Mode Assumptions'!H11*'Active Mode Assumptions'!H15/(1+'Active Mode Assumptions'!H11))-(H105*'Active Mode Assumptions'!H20*'Active Mode Assumptions'!H24/(1+'Active Mode Assumptions'!H20))</f>
        <v>10.702390519374752</v>
      </c>
      <c r="I107" s="4">
        <f ca="1">I162*'Total Duration Tables Sup #1'!I107*(1+'Other Assumptions'!M$53)-(I104*'Active Mode Assumptions'!I11*'Active Mode Assumptions'!I15/(1+'Active Mode Assumptions'!I11))-(I105*'Active Mode Assumptions'!I20*'Active Mode Assumptions'!I24/(1+'Active Mode Assumptions'!I20))</f>
        <v>10.681697159283697</v>
      </c>
      <c r="J107" s="4">
        <f ca="1">J162*'Total Duration Tables Sup #1'!J107*(1+'Other Assumptions'!N$53)-(J104*'Active Mode Assumptions'!J11*'Active Mode Assumptions'!J15/(1+'Active Mode Assumptions'!J11))-(J105*'Active Mode Assumptions'!J20*'Active Mode Assumptions'!J24/(1+'Active Mode Assumptions'!J20))</f>
        <v>10.627645683555377</v>
      </c>
      <c r="K107" s="4">
        <f ca="1">K162*'Total Duration Tables Sup #1'!K107*(1+'Other Assumptions'!O$53)-(K104*'Active Mode Assumptions'!K11*'Active Mode Assumptions'!K15/(1+'Active Mode Assumptions'!K11))-(K105*'Active Mode Assumptions'!K20*'Active Mode Assumptions'!K24/(1+'Active Mode Assumptions'!K20))</f>
        <v>10.551677720486287</v>
      </c>
    </row>
    <row r="108" spans="1:11" x14ac:dyDescent="0.25">
      <c r="A108" t="str">
        <f ca="1">OFFSET(Nelson_Reference,28,2)</f>
        <v>Taxi/Vehicle Share</v>
      </c>
      <c r="B108" s="4">
        <f ca="1">B163*'Total Duration Tables Sup #1'!B108*(1+'Other Assumptions'!D$53)</f>
        <v>8.1526233300000001E-2</v>
      </c>
      <c r="C108" s="4">
        <f ca="1">C163*'Total Duration Tables Sup #1'!C108*(1+'Other Assumptions'!G$53)</f>
        <v>9.0294965661373072E-2</v>
      </c>
      <c r="D108" s="4">
        <f ca="1">D163*'Total Duration Tables Sup #1'!D108*(1+'Other Assumptions'!H$53)</f>
        <v>9.6949988394896741E-2</v>
      </c>
      <c r="E108" s="4">
        <f ca="1">E163*'Total Duration Tables Sup #1'!E108*(1+'Other Assumptions'!I$53)</f>
        <v>0.10232622464932907</v>
      </c>
      <c r="F108" s="4">
        <f ca="1">F163*'Total Duration Tables Sup #1'!F108*(1+'Other Assumptions'!J$53)</f>
        <v>0.10640064494163026</v>
      </c>
      <c r="G108" s="4">
        <f ca="1">G163*'Total Duration Tables Sup #1'!G108*(1+'Other Assumptions'!K$53)</f>
        <v>0.10832295492781778</v>
      </c>
      <c r="H108" s="4">
        <f ca="1">H163*'Total Duration Tables Sup #1'!H108*(1+'Other Assumptions'!L$53)</f>
        <v>0.10947771717700602</v>
      </c>
      <c r="I108" s="4">
        <f ca="1">I163*'Total Duration Tables Sup #1'!I108*(1+'Other Assumptions'!M$53)</f>
        <v>0.10898591870049679</v>
      </c>
      <c r="J108" s="4">
        <f ca="1">J163*'Total Duration Tables Sup #1'!J108*(1+'Other Assumptions'!N$53)</f>
        <v>0.1081575317875394</v>
      </c>
      <c r="K108" s="4">
        <f ca="1">K163*'Total Duration Tables Sup #1'!K108*(1+'Other Assumptions'!O$53)</f>
        <v>0.1071114381012703</v>
      </c>
    </row>
    <row r="109" spans="1:11" x14ac:dyDescent="0.25">
      <c r="A109" t="str">
        <f ca="1">OFFSET(Nelson_Reference,35,2)</f>
        <v>Motorcyclist</v>
      </c>
      <c r="B109" s="4">
        <f ca="1">B164*'Total Duration Tables Sup #1'!B109*(1+'Other Assumptions'!D$53)</f>
        <v>0.60769230029999999</v>
      </c>
      <c r="C109" s="4">
        <f ca="1">C164*'Total Duration Tables Sup #1'!C109*(1+'Other Assumptions'!G$53)</f>
        <v>0.64160317041880888</v>
      </c>
      <c r="D109" s="4">
        <f ca="1">D164*'Total Duration Tables Sup #1'!D109*(1+'Other Assumptions'!H$53)</f>
        <v>0.65680850769362498</v>
      </c>
      <c r="E109" s="4">
        <f ca="1">E164*'Total Duration Tables Sup #1'!E109*(1+'Other Assumptions'!I$53)</f>
        <v>0.66500891396912998</v>
      </c>
      <c r="F109" s="4">
        <f ca="1">F164*'Total Duration Tables Sup #1'!F109*(1+'Other Assumptions'!J$53)</f>
        <v>0.66930201977426285</v>
      </c>
      <c r="G109" s="4">
        <f ca="1">G164*'Total Duration Tables Sup #1'!G109*(1+'Other Assumptions'!K$53)</f>
        <v>0.66282399849584206</v>
      </c>
      <c r="H109" s="4">
        <f ca="1">H164*'Total Duration Tables Sup #1'!H109*(1+'Other Assumptions'!L$53)</f>
        <v>0.65134650050739251</v>
      </c>
      <c r="I109" s="4">
        <f ca="1">I164*'Total Duration Tables Sup #1'!I109*(1+'Other Assumptions'!M$53)</f>
        <v>0.6529256575084077</v>
      </c>
      <c r="J109" s="4">
        <f ca="1">J164*'Total Duration Tables Sup #1'!J109*(1+'Other Assumptions'!N$53)</f>
        <v>0.65246005076350089</v>
      </c>
      <c r="K109" s="4">
        <f ca="1">K164*'Total Duration Tables Sup #1'!K109*(1+'Other Assumptions'!O$53)</f>
        <v>0.65062676652026008</v>
      </c>
    </row>
    <row r="110" spans="1:11" x14ac:dyDescent="0.25">
      <c r="A110" t="str">
        <f ca="1">OFFSET(Nelson_Reference,42,2)</f>
        <v>Local Train</v>
      </c>
      <c r="B110" s="4">
        <f ca="1">B165*'Total Duration Tables Sup #1'!B110*(1+'Other Assumptions'!D$53)</f>
        <v>0</v>
      </c>
      <c r="C110" s="4">
        <f ca="1">C165*'Total Duration Tables Sup #1'!C110*(1+'Other Assumptions'!G$53)</f>
        <v>0</v>
      </c>
      <c r="D110" s="4">
        <f ca="1">D165*'Total Duration Tables Sup #1'!D110*(1+'Other Assumptions'!H$53)</f>
        <v>0</v>
      </c>
      <c r="E110" s="4">
        <f ca="1">E165*'Total Duration Tables Sup #1'!E110*(1+'Other Assumptions'!I$53)</f>
        <v>0</v>
      </c>
      <c r="F110" s="4">
        <f ca="1">F165*'Total Duration Tables Sup #1'!F110*(1+'Other Assumptions'!J$53)</f>
        <v>0</v>
      </c>
      <c r="G110" s="4">
        <f ca="1">G165*'Total Duration Tables Sup #1'!G110*(1+'Other Assumptions'!K$53)</f>
        <v>0</v>
      </c>
      <c r="H110" s="4">
        <f ca="1">H165*'Total Duration Tables Sup #1'!H110*(1+'Other Assumptions'!L$53)</f>
        <v>0</v>
      </c>
      <c r="I110" s="4">
        <f ca="1">I165*'Total Duration Tables Sup #1'!I110*(1+'Other Assumptions'!M$53)</f>
        <v>0</v>
      </c>
      <c r="J110" s="4">
        <f ca="1">J165*'Total Duration Tables Sup #1'!J110*(1+'Other Assumptions'!N$53)</f>
        <v>0</v>
      </c>
      <c r="K110" s="4">
        <f ca="1">K165*'Total Duration Tables Sup #1'!K110*(1+'Other Assumptions'!O$53)</f>
        <v>0</v>
      </c>
    </row>
    <row r="111" spans="1:11" x14ac:dyDescent="0.25">
      <c r="A111" t="str">
        <f ca="1">OFFSET(Nelson_Reference,49,2)</f>
        <v>Local Bus</v>
      </c>
      <c r="B111" s="4">
        <f ca="1">B166*'Total Duration Tables Sup #1'!B111*(1+'Other Assumptions'!D$53)</f>
        <v>0.94491203199999996</v>
      </c>
      <c r="C111" s="4">
        <f ca="1">C166*'Total Duration Tables Sup #1'!C111*(1+'Other Assumptions'!G$53)</f>
        <v>0.9066060746691339</v>
      </c>
      <c r="D111" s="4">
        <f ca="1">D166*'Total Duration Tables Sup #1'!D111*(1+'Other Assumptions'!H$53)</f>
        <v>0.8763201561271251</v>
      </c>
      <c r="E111" s="4">
        <f ca="1">E166*'Total Duration Tables Sup #1'!E111*(1+'Other Assumptions'!I$53)</f>
        <v>0.85585846315466085</v>
      </c>
      <c r="F111" s="4">
        <f ca="1">F166*'Total Duration Tables Sup #1'!F111*(1+'Other Assumptions'!J$53)</f>
        <v>0.82474080827279805</v>
      </c>
      <c r="G111" s="4">
        <f ca="1">G166*'Total Duration Tables Sup #1'!G111*(1+'Other Assumptions'!K$53)</f>
        <v>0.79859539737562169</v>
      </c>
      <c r="H111" s="4">
        <f ca="1">H166*'Total Duration Tables Sup #1'!H111*(1+'Other Assumptions'!L$53)</f>
        <v>0.76840796251369636</v>
      </c>
      <c r="I111" s="4">
        <f ca="1">I166*'Total Duration Tables Sup #1'!I111*(1+'Other Assumptions'!M$53)</f>
        <v>0.76811064928089856</v>
      </c>
      <c r="J111" s="4">
        <f ca="1">J166*'Total Duration Tables Sup #1'!J111*(1+'Other Assumptions'!N$53)</f>
        <v>0.76540901204458478</v>
      </c>
      <c r="K111" s="4">
        <f ca="1">K166*'Total Duration Tables Sup #1'!K111*(1+'Other Assumptions'!O$53)</f>
        <v>0.76111707604448808</v>
      </c>
    </row>
    <row r="112" spans="1:11" x14ac:dyDescent="0.25">
      <c r="A112" t="str">
        <f ca="1">OFFSET(Wellington_Reference,56,2)</f>
        <v>Local Ferry</v>
      </c>
      <c r="B112" s="4">
        <f ca="1">B167*'Total Duration Tables Sup #1'!B112*(1+'Other Assumptions'!D$53)</f>
        <v>0</v>
      </c>
      <c r="C112" s="4">
        <f ca="1">C167*'Total Duration Tables Sup #1'!C112*(1+'Other Assumptions'!G$53)</f>
        <v>0</v>
      </c>
      <c r="D112" s="4">
        <f ca="1">D167*'Total Duration Tables Sup #1'!D112*(1+'Other Assumptions'!H$53)</f>
        <v>0</v>
      </c>
      <c r="E112" s="4">
        <f ca="1">E167*'Total Duration Tables Sup #1'!E112*(1+'Other Assumptions'!I$53)</f>
        <v>0</v>
      </c>
      <c r="F112" s="4">
        <f ca="1">F167*'Total Duration Tables Sup #1'!F112*(1+'Other Assumptions'!J$53)</f>
        <v>0</v>
      </c>
      <c r="G112" s="4">
        <f ca="1">G167*'Total Duration Tables Sup #1'!G112*(1+'Other Assumptions'!K$53)</f>
        <v>0</v>
      </c>
      <c r="H112" s="4">
        <f ca="1">H167*'Total Duration Tables Sup #1'!H112*(1+'Other Assumptions'!L$53)</f>
        <v>0</v>
      </c>
      <c r="I112" s="4">
        <f ca="1">I167*'Total Duration Tables Sup #1'!I112*(1+'Other Assumptions'!M$53)</f>
        <v>0</v>
      </c>
      <c r="J112" s="4">
        <f ca="1">J167*'Total Duration Tables Sup #1'!J112*(1+'Other Assumptions'!N$53)</f>
        <v>0</v>
      </c>
      <c r="K112" s="4">
        <f ca="1">K167*'Total Duration Tables Sup #1'!K112*(1+'Other Assumptions'!O$53)</f>
        <v>0</v>
      </c>
    </row>
    <row r="113" spans="1:11" x14ac:dyDescent="0.25">
      <c r="A113" t="str">
        <f ca="1">OFFSET(Nelson_Reference,56,2)</f>
        <v>Other Household Travel</v>
      </c>
      <c r="B113" s="4">
        <f ca="1">B168*'Total Duration Tables Sup #1'!B113*(1+'Other Assumptions'!D$53)</f>
        <v>0.51346004550000002</v>
      </c>
      <c r="C113" s="4">
        <f ca="1">C168*'Total Duration Tables Sup #1'!C113*(1+'Other Assumptions'!G$53)</f>
        <v>0.54427000974417128</v>
      </c>
      <c r="D113" s="4">
        <f ca="1">D168*'Total Duration Tables Sup #1'!D113*(1+'Other Assumptions'!H$53)</f>
        <v>0.56368043694476144</v>
      </c>
      <c r="E113" s="4">
        <f ca="1">E168*'Total Duration Tables Sup #1'!E113*(1+'Other Assumptions'!I$53)</f>
        <v>0.56967623043248672</v>
      </c>
      <c r="F113" s="4">
        <f ca="1">F168*'Total Duration Tables Sup #1'!F113*(1+'Other Assumptions'!J$53)</f>
        <v>0.57046856418550207</v>
      </c>
      <c r="G113" s="4">
        <f ca="1">G168*'Total Duration Tables Sup #1'!G113*(1+'Other Assumptions'!K$53)</f>
        <v>0.57228580969209741</v>
      </c>
      <c r="H113" s="4">
        <f ca="1">H168*'Total Duration Tables Sup #1'!H113*(1+'Other Assumptions'!L$53)</f>
        <v>0.56869041183028113</v>
      </c>
      <c r="I113" s="4">
        <f ca="1">I168*'Total Duration Tables Sup #1'!I113*(1+'Other Assumptions'!M$53)</f>
        <v>0.56532711915030676</v>
      </c>
      <c r="J113" s="4">
        <f ca="1">J168*'Total Duration Tables Sup #1'!J113*(1+'Other Assumptions'!N$53)</f>
        <v>0.56025157672243109</v>
      </c>
      <c r="K113" s="4">
        <f ca="1">K168*'Total Duration Tables Sup #1'!K113*(1+'Other Assumptions'!O$53)</f>
        <v>0.55408509926925531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t="str">
        <f ca="1">OFFSET(West_Coast_Reference,0,2)</f>
        <v>Pedestrian</v>
      </c>
      <c r="B115" s="4">
        <f ca="1">B159*'Total Duration Tables Sup #1'!B115*(1+'Other Assumptions'!D$54)*(1+'Active Mode Assumptions'!B11)</f>
        <v>1.1518220776999999</v>
      </c>
      <c r="C115" s="4">
        <f ca="1">C159*'Total Duration Tables Sup #1'!C115*(1+'Other Assumptions'!G$54)*(1+'Active Mode Assumptions'!C11)</f>
        <v>1.1147984782158102</v>
      </c>
      <c r="D115" s="4">
        <f ca="1">D159*'Total Duration Tables Sup #1'!D115*(1+'Other Assumptions'!H$54)*(1+'Active Mode Assumptions'!D11)</f>
        <v>1.1591167380336684</v>
      </c>
      <c r="E115" s="4">
        <f ca="1">E159*'Total Duration Tables Sup #1'!E115*(1+'Other Assumptions'!I$54)*(1+'Active Mode Assumptions'!E11)</f>
        <v>1.188422572344622</v>
      </c>
      <c r="F115" s="4">
        <f ca="1">F159*'Total Duration Tables Sup #1'!F115*(1+'Other Assumptions'!J$54)*(1+'Active Mode Assumptions'!F11)</f>
        <v>1.2027330857713712</v>
      </c>
      <c r="G115" s="4">
        <f ca="1">G159*'Total Duration Tables Sup #1'!G115*(1+'Other Assumptions'!K$54)*(1+'Active Mode Assumptions'!G11)</f>
        <v>1.2083003577704521</v>
      </c>
      <c r="H115" s="4">
        <f ca="1">H159*'Total Duration Tables Sup #1'!H115*(1+'Other Assumptions'!L$54)*(1+'Active Mode Assumptions'!H11)</f>
        <v>1.2071696804495207</v>
      </c>
      <c r="I115" s="4">
        <f ca="1">I159*'Total Duration Tables Sup #1'!I115*(1+'Other Assumptions'!M$54)*(1+'Active Mode Assumptions'!I11)</f>
        <v>1.1751940904500726</v>
      </c>
      <c r="J115" s="4">
        <f ca="1">J159*'Total Duration Tables Sup #1'!J115*(1+'Other Assumptions'!N$54)*(1+'Active Mode Assumptions'!J11)</f>
        <v>1.1404353015118849</v>
      </c>
      <c r="K115" s="4">
        <f ca="1">K159*'Total Duration Tables Sup #1'!K115*(1+'Other Assumptions'!O$54)*(1+'Active Mode Assumptions'!K11)</f>
        <v>1.1043372014894395</v>
      </c>
    </row>
    <row r="116" spans="1:11" x14ac:dyDescent="0.25">
      <c r="A116" t="str">
        <f ca="1">OFFSET(West_Coast_Reference,7,2)</f>
        <v>Cyclist</v>
      </c>
      <c r="B116" s="4">
        <f ca="1">B160*'Total Duration Tables Sup #1'!B116*(1+'Other Assumptions'!D$54)*(1+'Active Mode Assumptions'!B20)</f>
        <v>0.17528853950000001</v>
      </c>
      <c r="C116" s="4">
        <f ca="1">C160*'Total Duration Tables Sup #1'!C116*(1+'Other Assumptions'!G$54)*(1+'Active Mode Assumptions'!C20)</f>
        <v>0.17404464062387595</v>
      </c>
      <c r="D116" s="4">
        <f ca="1">D160*'Total Duration Tables Sup #1'!D116*(1+'Other Assumptions'!H$54)*(1+'Active Mode Assumptions'!D20)</f>
        <v>0.24145072337472145</v>
      </c>
      <c r="E116" s="4">
        <f ca="1">E160*'Total Duration Tables Sup #1'!E116*(1+'Other Assumptions'!I$54)*(1+'Active Mode Assumptions'!E20)</f>
        <v>0.3026791780476758</v>
      </c>
      <c r="F116" s="4">
        <f ca="1">F160*'Total Duration Tables Sup #1'!F116*(1+'Other Assumptions'!J$54)*(1+'Active Mode Assumptions'!F20)</f>
        <v>0.36308043191363371</v>
      </c>
      <c r="G116" s="4">
        <f ca="1">G160*'Total Duration Tables Sup #1'!G116*(1+'Other Assumptions'!K$54)*(1+'Active Mode Assumptions'!G20)</f>
        <v>0.42483054234836853</v>
      </c>
      <c r="H116" s="4">
        <f ca="1">H160*'Total Duration Tables Sup #1'!H116*(1+'Other Assumptions'!L$54)*(1+'Active Mode Assumptions'!H20)</f>
        <v>0.48547049647996332</v>
      </c>
      <c r="I116" s="4">
        <f ca="1">I160*'Total Duration Tables Sup #1'!I116*(1+'Other Assumptions'!M$54)*(1+'Active Mode Assumptions'!I20)</f>
        <v>0.47486272789910033</v>
      </c>
      <c r="J116" s="4">
        <f ca="1">J160*'Total Duration Tables Sup #1'!J116*(1+'Other Assumptions'!N$54)*(1+'Active Mode Assumptions'!J20)</f>
        <v>0.46303428259222057</v>
      </c>
      <c r="K116" s="4">
        <f ca="1">K160*'Total Duration Tables Sup #1'!K116*(1+'Other Assumptions'!O$54)*(1+'Active Mode Assumptions'!K20)</f>
        <v>0.4505549319858424</v>
      </c>
    </row>
    <row r="117" spans="1:11" x14ac:dyDescent="0.25">
      <c r="A117" t="str">
        <f ca="1">OFFSET(West_Coast_Reference,14,2)</f>
        <v>Light Vehicle Driver</v>
      </c>
      <c r="B117" s="4">
        <f ca="1">B161*'Total Duration Tables Sup #1'!B117*(1+'Other Assumptions'!D$54)-(B115*'Active Mode Assumptions'!B11*'Active Mode Assumptions'!B14/(1+'Active Mode Assumptions'!B11))-(B116*'Active Mode Assumptions'!B20*'Active Mode Assumptions'!B23/(1+'Active Mode Assumptions'!B20))</f>
        <v>5.0852916584000001</v>
      </c>
      <c r="C117" s="4">
        <f ca="1">C161*'Total Duration Tables Sup #1'!C117*(1+'Other Assumptions'!G$54)-(C115*'Active Mode Assumptions'!C11*'Active Mode Assumptions'!C14/(1+'Active Mode Assumptions'!C11))-(C116*'Active Mode Assumptions'!C20*'Active Mode Assumptions'!C23/(1+'Active Mode Assumptions'!C20))</f>
        <v>5.0903049886514982</v>
      </c>
      <c r="D117" s="4">
        <f ca="1">D161*'Total Duration Tables Sup #1'!D117*(1+'Other Assumptions'!H$54)-(D115*'Active Mode Assumptions'!D11*'Active Mode Assumptions'!D14/(1+'Active Mode Assumptions'!D11))-(D116*'Active Mode Assumptions'!D20*'Active Mode Assumptions'!D23/(1+'Active Mode Assumptions'!D20))</f>
        <v>5.0583466530339249</v>
      </c>
      <c r="E117" s="4">
        <f ca="1">E161*'Total Duration Tables Sup #1'!E117*(1+'Other Assumptions'!I$54)-(E115*'Active Mode Assumptions'!E11*'Active Mode Assumptions'!E14/(1+'Active Mode Assumptions'!E11))-(E116*'Active Mode Assumptions'!E20*'Active Mode Assumptions'!E23/(1+'Active Mode Assumptions'!E20))</f>
        <v>5.0133078054672708</v>
      </c>
      <c r="F117" s="4">
        <f ca="1">F161*'Total Duration Tables Sup #1'!F117*(1+'Other Assumptions'!J$54)-(F115*'Active Mode Assumptions'!F11*'Active Mode Assumptions'!F14/(1+'Active Mode Assumptions'!F11))-(F116*'Active Mode Assumptions'!F20*'Active Mode Assumptions'!F23/(1+'Active Mode Assumptions'!F20))</f>
        <v>4.9402843834183212</v>
      </c>
      <c r="G117" s="4">
        <f ca="1">G161*'Total Duration Tables Sup #1'!G117*(1+'Other Assumptions'!K$54)-(G115*'Active Mode Assumptions'!G11*'Active Mode Assumptions'!G14/(1+'Active Mode Assumptions'!G11))-(G116*'Active Mode Assumptions'!G20*'Active Mode Assumptions'!G23/(1+'Active Mode Assumptions'!G20))</f>
        <v>4.8139394312882082</v>
      </c>
      <c r="H117" s="4">
        <f ca="1">H161*'Total Duration Tables Sup #1'!H117*(1+'Other Assumptions'!L$54)-(H115*'Active Mode Assumptions'!H11*'Active Mode Assumptions'!H14/(1+'Active Mode Assumptions'!H11))-(H116*'Active Mode Assumptions'!H20*'Active Mode Assumptions'!H23/(1+'Active Mode Assumptions'!H20))</f>
        <v>4.6698776272202283</v>
      </c>
      <c r="I117" s="4">
        <f ca="1">I161*'Total Duration Tables Sup #1'!I117*(1+'Other Assumptions'!M$54)-(I115*'Active Mode Assumptions'!I11*'Active Mode Assumptions'!I14/(1+'Active Mode Assumptions'!I11))-(I116*'Active Mode Assumptions'!I20*'Active Mode Assumptions'!I23/(1+'Active Mode Assumptions'!I20))</f>
        <v>4.5438842347238841</v>
      </c>
      <c r="J117" s="4">
        <f ca="1">J161*'Total Duration Tables Sup #1'!J117*(1+'Other Assumptions'!N$54)-(J115*'Active Mode Assumptions'!J11*'Active Mode Assumptions'!J14/(1+'Active Mode Assumptions'!J11))-(J116*'Active Mode Assumptions'!J20*'Active Mode Assumptions'!J23/(1+'Active Mode Assumptions'!J20))</f>
        <v>4.4072655419695081</v>
      </c>
      <c r="K117" s="4">
        <f ca="1">K161*'Total Duration Tables Sup #1'!K117*(1+'Other Assumptions'!O$54)-(K115*'Active Mode Assumptions'!K11*'Active Mode Assumptions'!K14/(1+'Active Mode Assumptions'!K11))-(K116*'Active Mode Assumptions'!K20*'Active Mode Assumptions'!K23/(1+'Active Mode Assumptions'!K20))</f>
        <v>4.2656169241664426</v>
      </c>
    </row>
    <row r="118" spans="1:11" x14ac:dyDescent="0.25">
      <c r="A118" t="str">
        <f ca="1">OFFSET(West_Coast_Reference,21,2)</f>
        <v>Light Vehicle Passenger</v>
      </c>
      <c r="B118" s="4">
        <f ca="1">B162*'Total Duration Tables Sup #1'!B118*(1+'Other Assumptions'!D$54)-(B115*'Active Mode Assumptions'!B11*'Active Mode Assumptions'!B15/(1+'Active Mode Assumptions'!B11))-(B116*'Active Mode Assumptions'!B20*'Active Mode Assumptions'!B24/(1+'Active Mode Assumptions'!B20))</f>
        <v>3.4140139011000001</v>
      </c>
      <c r="C118" s="4">
        <f ca="1">C162*'Total Duration Tables Sup #1'!C118*(1+'Other Assumptions'!G$54)-(C115*'Active Mode Assumptions'!C11*'Active Mode Assumptions'!C15/(1+'Active Mode Assumptions'!C11))-(C116*'Active Mode Assumptions'!C20*'Active Mode Assumptions'!C24/(1+'Active Mode Assumptions'!C20))</f>
        <v>3.2750776579887306</v>
      </c>
      <c r="D118" s="4">
        <f ca="1">D162*'Total Duration Tables Sup #1'!D118*(1+'Other Assumptions'!H$54)-(D115*'Active Mode Assumptions'!D11*'Active Mode Assumptions'!D15/(1+'Active Mode Assumptions'!D11))-(D116*'Active Mode Assumptions'!D20*'Active Mode Assumptions'!D24/(1+'Active Mode Assumptions'!D20))</f>
        <v>3.166038155370575</v>
      </c>
      <c r="E118" s="4">
        <f ca="1">E162*'Total Duration Tables Sup #1'!E118*(1+'Other Assumptions'!I$54)-(E115*'Active Mode Assumptions'!E11*'Active Mode Assumptions'!E15/(1+'Active Mode Assumptions'!E11))-(E116*'Active Mode Assumptions'!E20*'Active Mode Assumptions'!E24/(1+'Active Mode Assumptions'!E20))</f>
        <v>3.0524217741809458</v>
      </c>
      <c r="F118" s="4">
        <f ca="1">F162*'Total Duration Tables Sup #1'!F118*(1+'Other Assumptions'!J$54)-(F115*'Active Mode Assumptions'!F11*'Active Mode Assumptions'!F15/(1+'Active Mode Assumptions'!F11))-(F116*'Active Mode Assumptions'!F20*'Active Mode Assumptions'!F24/(1+'Active Mode Assumptions'!F20))</f>
        <v>2.9223744278241641</v>
      </c>
      <c r="G118" s="4">
        <f ca="1">G162*'Total Duration Tables Sup #1'!G118*(1+'Other Assumptions'!K$54)-(G115*'Active Mode Assumptions'!G11*'Active Mode Assumptions'!G15/(1+'Active Mode Assumptions'!G11))-(G116*'Active Mode Assumptions'!G20*'Active Mode Assumptions'!G24/(1+'Active Mode Assumptions'!G20))</f>
        <v>2.7769429358406033</v>
      </c>
      <c r="H118" s="4">
        <f ca="1">H162*'Total Duration Tables Sup #1'!H118*(1+'Other Assumptions'!L$54)-(H115*'Active Mode Assumptions'!H11*'Active Mode Assumptions'!H15/(1+'Active Mode Assumptions'!H11))-(H116*'Active Mode Assumptions'!H20*'Active Mode Assumptions'!H24/(1+'Active Mode Assumptions'!H20))</f>
        <v>2.625654516368304</v>
      </c>
      <c r="I118" s="4">
        <f ca="1">I162*'Total Duration Tables Sup #1'!I118*(1+'Other Assumptions'!M$54)-(I115*'Active Mode Assumptions'!I11*'Active Mode Assumptions'!I15/(1+'Active Mode Assumptions'!I11))-(I116*'Active Mode Assumptions'!I20*'Active Mode Assumptions'!I24/(1+'Active Mode Assumptions'!I20))</f>
        <v>2.5572982876860944</v>
      </c>
      <c r="J118" s="4">
        <f ca="1">J162*'Total Duration Tables Sup #1'!J118*(1+'Other Assumptions'!N$54)-(J115*'Active Mode Assumptions'!J11*'Active Mode Assumptions'!J15/(1+'Active Mode Assumptions'!J11))-(J116*'Active Mode Assumptions'!J20*'Active Mode Assumptions'!J24/(1+'Active Mode Assumptions'!J20))</f>
        <v>2.4828059331229961</v>
      </c>
      <c r="K118" s="4">
        <f ca="1">K162*'Total Duration Tables Sup #1'!K118*(1+'Other Assumptions'!O$54)-(K115*'Active Mode Assumptions'!K11*'Active Mode Assumptions'!K15/(1+'Active Mode Assumptions'!K11))-(K116*'Active Mode Assumptions'!K20*'Active Mode Assumptions'!K24/(1+'Active Mode Assumptions'!K20))</f>
        <v>2.405315325527233</v>
      </c>
    </row>
    <row r="119" spans="1:11" x14ac:dyDescent="0.25">
      <c r="A119" t="str">
        <f ca="1">OFFSET(West_Coast_Reference,28,2)</f>
        <v>Taxi/Vehicle Share</v>
      </c>
      <c r="B119" s="4">
        <f ca="1">B163*'Total Duration Tables Sup #1'!B119*(1+'Other Assumptions'!D$54)</f>
        <v>6.5507808299999998E-2</v>
      </c>
      <c r="C119" s="4">
        <f ca="1">C163*'Total Duration Tables Sup #1'!C119*(1+'Other Assumptions'!G$54)</f>
        <v>6.8147605913670264E-2</v>
      </c>
      <c r="D119" s="4">
        <f ca="1">D163*'Total Duration Tables Sup #1'!D119*(1+'Other Assumptions'!H$54)</f>
        <v>7.1026637539926524E-2</v>
      </c>
      <c r="E119" s="4">
        <f ca="1">E163*'Total Duration Tables Sup #1'!E119*(1+'Other Assumptions'!I$54)</f>
        <v>7.2890540314794985E-2</v>
      </c>
      <c r="F119" s="4">
        <f ca="1">F163*'Total Duration Tables Sup #1'!F119*(1+'Other Assumptions'!J$54)</f>
        <v>7.3727239784336221E-2</v>
      </c>
      <c r="G119" s="4">
        <f ca="1">G163*'Total Duration Tables Sup #1'!G119*(1+'Other Assumptions'!K$54)</f>
        <v>7.3051696803344973E-2</v>
      </c>
      <c r="H119" s="4">
        <f ca="1">H163*'Total Duration Tables Sup #1'!H119*(1+'Other Assumptions'!L$54)</f>
        <v>7.2044798658065415E-2</v>
      </c>
      <c r="I119" s="4">
        <f ca="1">I163*'Total Duration Tables Sup #1'!I119*(1+'Other Assumptions'!M$54)</f>
        <v>6.9983216394834333E-2</v>
      </c>
      <c r="J119" s="4">
        <f ca="1">J163*'Total Duration Tables Sup #1'!J119*(1+'Other Assumptions'!N$54)</f>
        <v>6.7765146831666553E-2</v>
      </c>
      <c r="K119" s="4">
        <f ca="1">K163*'Total Duration Tables Sup #1'!K119*(1+'Other Assumptions'!O$54)</f>
        <v>6.5477342869153549E-2</v>
      </c>
    </row>
    <row r="120" spans="1:11" x14ac:dyDescent="0.25">
      <c r="A120" t="str">
        <f ca="1">OFFSET(West_Coast_Reference,35,2)</f>
        <v>Motorcyclist</v>
      </c>
      <c r="B120" s="4">
        <f ca="1">B164*'Total Duration Tables Sup #1'!B120*(1+'Other Assumptions'!D$54)</f>
        <v>9.7989774000000005E-3</v>
      </c>
      <c r="C120" s="4">
        <f ca="1">C164*'Total Duration Tables Sup #1'!C120*(1+'Other Assumptions'!G$54)</f>
        <v>9.7175077949302451E-3</v>
      </c>
      <c r="D120" s="4">
        <f ca="1">D164*'Total Duration Tables Sup #1'!D120*(1+'Other Assumptions'!H$54)</f>
        <v>9.6563632317229042E-3</v>
      </c>
      <c r="E120" s="4">
        <f ca="1">E164*'Total Duration Tables Sup #1'!E120*(1+'Other Assumptions'!I$54)</f>
        <v>9.506332830718207E-3</v>
      </c>
      <c r="F120" s="4">
        <f ca="1">F164*'Total Duration Tables Sup #1'!F120*(1+'Other Assumptions'!J$54)</f>
        <v>9.3069457072279243E-3</v>
      </c>
      <c r="G120" s="4">
        <f ca="1">G164*'Total Duration Tables Sup #1'!G120*(1+'Other Assumptions'!K$54)</f>
        <v>8.9703494936559901E-3</v>
      </c>
      <c r="H120" s="4">
        <f ca="1">H164*'Total Duration Tables Sup #1'!H120*(1+'Other Assumptions'!L$54)</f>
        <v>8.6018192689943651E-3</v>
      </c>
      <c r="I120" s="4">
        <f ca="1">I164*'Total Duration Tables Sup #1'!I120*(1+'Other Assumptions'!M$54)</f>
        <v>8.4137300626237598E-3</v>
      </c>
      <c r="J120" s="4">
        <f ca="1">J164*'Total Duration Tables Sup #1'!J120*(1+'Other Assumptions'!N$54)</f>
        <v>8.2036074654334087E-3</v>
      </c>
      <c r="K120" s="4">
        <f ca="1">K164*'Total Duration Tables Sup #1'!K120*(1+'Other Assumptions'!O$54)</f>
        <v>7.9815723187535905E-3</v>
      </c>
    </row>
    <row r="121" spans="1:11" x14ac:dyDescent="0.25">
      <c r="A121" t="str">
        <f ca="1">OFFSET(Nelson_Reference,42,2)</f>
        <v>Local Train</v>
      </c>
      <c r="B121" s="4">
        <f ca="1">B165*'Total Duration Tables Sup #1'!B121*(1+'Other Assumptions'!D$54)</f>
        <v>0</v>
      </c>
      <c r="C121" s="4">
        <f ca="1">C165*'Total Duration Tables Sup #1'!C121*(1+'Other Assumptions'!G$54)</f>
        <v>0</v>
      </c>
      <c r="D121" s="4">
        <f ca="1">D165*'Total Duration Tables Sup #1'!D121*(1+'Other Assumptions'!H$54)</f>
        <v>0</v>
      </c>
      <c r="E121" s="4">
        <f ca="1">E165*'Total Duration Tables Sup #1'!E121*(1+'Other Assumptions'!I$54)</f>
        <v>0</v>
      </c>
      <c r="F121" s="4">
        <f ca="1">F165*'Total Duration Tables Sup #1'!F121*(1+'Other Assumptions'!J$54)</f>
        <v>0</v>
      </c>
      <c r="G121" s="4">
        <f ca="1">G165*'Total Duration Tables Sup #1'!G121*(1+'Other Assumptions'!K$54)</f>
        <v>0</v>
      </c>
      <c r="H121" s="4">
        <f ca="1">H165*'Total Duration Tables Sup #1'!H121*(1+'Other Assumptions'!L$54)</f>
        <v>0</v>
      </c>
      <c r="I121" s="4">
        <f ca="1">I165*'Total Duration Tables Sup #1'!I121*(1+'Other Assumptions'!M$54)</f>
        <v>0</v>
      </c>
      <c r="J121" s="4">
        <f ca="1">J165*'Total Duration Tables Sup #1'!J121*(1+'Other Assumptions'!N$54)</f>
        <v>0</v>
      </c>
      <c r="K121" s="4">
        <f ca="1">K165*'Total Duration Tables Sup #1'!K121*(1+'Other Assumptions'!O$54)</f>
        <v>0</v>
      </c>
    </row>
    <row r="122" spans="1:11" x14ac:dyDescent="0.25">
      <c r="A122" t="str">
        <f ca="1">OFFSET(West_Coast_Reference,42,2)</f>
        <v>Local Bus</v>
      </c>
      <c r="B122" s="4">
        <f ca="1">B166*'Total Duration Tables Sup #1'!B122*(1+'Other Assumptions'!D$54)</f>
        <v>0.18249519829999999</v>
      </c>
      <c r="C122" s="4">
        <f ca="1">C166*'Total Duration Tables Sup #1'!C122*(1+'Other Assumptions'!G$54)</f>
        <v>0.16446370196488638</v>
      </c>
      <c r="D122" s="4">
        <f ca="1">D166*'Total Duration Tables Sup #1'!D122*(1+'Other Assumptions'!H$54)</f>
        <v>0.15431234310722411</v>
      </c>
      <c r="E122" s="4">
        <f ca="1">E166*'Total Duration Tables Sup #1'!E122*(1+'Other Assumptions'!I$54)</f>
        <v>0.1465380941719204</v>
      </c>
      <c r="F122" s="4">
        <f ca="1">F166*'Total Duration Tables Sup #1'!F122*(1+'Other Assumptions'!J$54)</f>
        <v>0.13736167231204494</v>
      </c>
      <c r="G122" s="4">
        <f ca="1">G166*'Total Duration Tables Sup #1'!G122*(1+'Other Assumptions'!K$54)</f>
        <v>0.12944968057155101</v>
      </c>
      <c r="H122" s="4">
        <f ca="1">H166*'Total Duration Tables Sup #1'!H122*(1+'Other Assumptions'!L$54)</f>
        <v>0.12154388850730344</v>
      </c>
      <c r="I122" s="4">
        <f ca="1">I166*'Total Duration Tables Sup #1'!I122*(1+'Other Assumptions'!M$54)</f>
        <v>0.11855275923356694</v>
      </c>
      <c r="J122" s="4">
        <f ca="1">J166*'Total Duration Tables Sup #1'!J122*(1+'Other Assumptions'!N$54)</f>
        <v>0.11526768156295678</v>
      </c>
      <c r="K122" s="4">
        <f ca="1">K166*'Total Duration Tables Sup #1'!K122*(1+'Other Assumptions'!O$54)</f>
        <v>0.11183327243807761</v>
      </c>
    </row>
    <row r="123" spans="1:11" x14ac:dyDescent="0.25">
      <c r="A123" t="str">
        <f ca="1">OFFSET(Wellington_Reference,56,2)</f>
        <v>Local Ferry</v>
      </c>
      <c r="B123" s="4">
        <f ca="1">B167*'Total Duration Tables Sup #1'!B123*(1+'Other Assumptions'!D$54)</f>
        <v>0</v>
      </c>
      <c r="C123" s="4">
        <f ca="1">C167*'Total Duration Tables Sup #1'!C123*(1+'Other Assumptions'!G$54)</f>
        <v>0</v>
      </c>
      <c r="D123" s="4">
        <f ca="1">D167*'Total Duration Tables Sup #1'!D123*(1+'Other Assumptions'!H$54)</f>
        <v>0</v>
      </c>
      <c r="E123" s="4">
        <f ca="1">E167*'Total Duration Tables Sup #1'!E123*(1+'Other Assumptions'!I$54)</f>
        <v>0</v>
      </c>
      <c r="F123" s="4">
        <f ca="1">F167*'Total Duration Tables Sup #1'!F123*(1+'Other Assumptions'!J$54)</f>
        <v>0</v>
      </c>
      <c r="G123" s="4">
        <f ca="1">G167*'Total Duration Tables Sup #1'!G123*(1+'Other Assumptions'!K$54)</f>
        <v>0</v>
      </c>
      <c r="H123" s="4">
        <f ca="1">H167*'Total Duration Tables Sup #1'!H123*(1+'Other Assumptions'!L$54)</f>
        <v>0</v>
      </c>
      <c r="I123" s="4">
        <f ca="1">I167*'Total Duration Tables Sup #1'!I123*(1+'Other Assumptions'!M$54)</f>
        <v>0</v>
      </c>
      <c r="J123" s="4">
        <f ca="1">J167*'Total Duration Tables Sup #1'!J123*(1+'Other Assumptions'!N$54)</f>
        <v>0</v>
      </c>
      <c r="K123" s="4">
        <f ca="1">K167*'Total Duration Tables Sup #1'!K123*(1+'Other Assumptions'!O$54)</f>
        <v>0</v>
      </c>
    </row>
    <row r="124" spans="1:11" x14ac:dyDescent="0.25">
      <c r="A124" t="str">
        <f ca="1">OFFSET(West_Coast_Reference,49,2)</f>
        <v>Other Household Travel</v>
      </c>
      <c r="B124" s="4">
        <f ca="1">B168*'Total Duration Tables Sup #1'!B124*(1+'Other Assumptions'!D$54)</f>
        <v>3.6766106000000001E-3</v>
      </c>
      <c r="C124" s="4">
        <f ca="1">C168*'Total Duration Tables Sup #1'!C124*(1+'Other Assumptions'!G$54)</f>
        <v>3.6605535005115163E-3</v>
      </c>
      <c r="D124" s="4">
        <f ca="1">D168*'Total Duration Tables Sup #1'!D124*(1+'Other Assumptions'!H$54)</f>
        <v>3.6800332640379266E-3</v>
      </c>
      <c r="E124" s="4">
        <f ca="1">E168*'Total Duration Tables Sup #1'!E124*(1+'Other Assumptions'!I$54)</f>
        <v>3.616242995816366E-3</v>
      </c>
      <c r="F124" s="4">
        <f ca="1">F168*'Total Duration Tables Sup #1'!F124*(1+'Other Assumptions'!J$54)</f>
        <v>3.5225788242620347E-3</v>
      </c>
      <c r="G124" s="4">
        <f ca="1">G168*'Total Duration Tables Sup #1'!G124*(1+'Other Assumptions'!K$54)</f>
        <v>3.4392842799550226E-3</v>
      </c>
      <c r="H124" s="4">
        <f ca="1">H168*'Total Duration Tables Sup #1'!H124*(1+'Other Assumptions'!L$54)</f>
        <v>3.335017314950616E-3</v>
      </c>
      <c r="I124" s="4">
        <f ca="1">I168*'Total Duration Tables Sup #1'!I124*(1+'Other Assumptions'!M$54)</f>
        <v>3.2349577760067256E-3</v>
      </c>
      <c r="J124" s="4">
        <f ca="1">J168*'Total Duration Tables Sup #1'!J124*(1+'Other Assumptions'!N$54)</f>
        <v>3.1280810060676993E-3</v>
      </c>
      <c r="K124" s="4">
        <f ca="1">K168*'Total Duration Tables Sup #1'!K124*(1+'Other Assumptions'!O$54)</f>
        <v>3.0184011367502209E-3</v>
      </c>
    </row>
    <row r="125" spans="1:11" x14ac:dyDescent="0.25">
      <c r="A125" t="str">
        <f ca="1">OFFSET(Canterbury_Reference,0,0)</f>
        <v>13 CANTERBURY</v>
      </c>
      <c r="B125" s="4"/>
    </row>
    <row r="126" spans="1:11" x14ac:dyDescent="0.25">
      <c r="A126" t="str">
        <f ca="1">OFFSET(Canterbury_Reference,0,2)</f>
        <v>Pedestrian</v>
      </c>
      <c r="B126" s="4">
        <f ca="1">B159*'Total Duration Tables Sup #1'!B126*(1+'Other Assumptions'!D$55)*(1+'Active Mode Assumptions'!B11)</f>
        <v>27.07651954</v>
      </c>
      <c r="C126" s="4">
        <f ca="1">C159*'Total Duration Tables Sup #1'!C126*(1+'Other Assumptions'!G$55)*(1+'Active Mode Assumptions'!C11)</f>
        <v>29.459853451666518</v>
      </c>
      <c r="D126" s="4">
        <f ca="1">D159*'Total Duration Tables Sup #1'!D126*(1+'Other Assumptions'!H$55)*(1+'Active Mode Assumptions'!D11)</f>
        <v>32.646213668499321</v>
      </c>
      <c r="E126" s="4">
        <f ca="1">E159*'Total Duration Tables Sup #1'!E126*(1+'Other Assumptions'!I$55)*(1+'Active Mode Assumptions'!E11)</f>
        <v>35.205106799647332</v>
      </c>
      <c r="F126" s="4">
        <f ca="1">F159*'Total Duration Tables Sup #1'!F126*(1+'Other Assumptions'!J$55)*(1+'Active Mode Assumptions'!F11)</f>
        <v>37.499494338851328</v>
      </c>
      <c r="G126" s="4">
        <f ca="1">G159*'Total Duration Tables Sup #1'!G126*(1+'Other Assumptions'!K$55)*(1+'Active Mode Assumptions'!G11)</f>
        <v>39.677388217104159</v>
      </c>
      <c r="H126" s="4">
        <f ca="1">H159*'Total Duration Tables Sup #1'!H126*(1+'Other Assumptions'!L$55)*(1+'Active Mode Assumptions'!H11)</f>
        <v>41.715958045782124</v>
      </c>
      <c r="I126" s="4">
        <f ca="1">I159*'Total Duration Tables Sup #1'!I126*(1+'Other Assumptions'!M$55)*(1+'Active Mode Assumptions'!I11)</f>
        <v>42.737511640339115</v>
      </c>
      <c r="J126" s="4">
        <f ca="1">J159*'Total Duration Tables Sup #1'!J126*(1+'Other Assumptions'!N$55)*(1+'Active Mode Assumptions'!J11)</f>
        <v>43.645152531276473</v>
      </c>
      <c r="K126" s="4">
        <f ca="1">K159*'Total Duration Tables Sup #1'!K126*(1+'Other Assumptions'!O$55)*(1+'Active Mode Assumptions'!K11)</f>
        <v>44.476724501256641</v>
      </c>
    </row>
    <row r="127" spans="1:11" x14ac:dyDescent="0.25">
      <c r="A127" t="str">
        <f ca="1">OFFSET(Canterbury_Reference,7,2)</f>
        <v>Cyclist</v>
      </c>
      <c r="B127" s="4">
        <f ca="1">B160*'Total Duration Tables Sup #1'!B127*(1+'Other Assumptions'!D$55)*(1+'Active Mode Assumptions'!B20)</f>
        <v>7.2445897615000003</v>
      </c>
      <c r="C127" s="4">
        <f ca="1">C160*'Total Duration Tables Sup #1'!C127*(1+'Other Assumptions'!G$55)*(1+'Active Mode Assumptions'!C20)</f>
        <v>8.0862600646876057</v>
      </c>
      <c r="D127" s="4">
        <f ca="1">D160*'Total Duration Tables Sup #1'!D127*(1+'Other Assumptions'!H$55)*(1+'Active Mode Assumptions'!D20)</f>
        <v>11.956029766446884</v>
      </c>
      <c r="E127" s="4">
        <f ca="1">E160*'Total Duration Tables Sup #1'!E127*(1+'Other Assumptions'!I$55)*(1+'Active Mode Assumptions'!E20)</f>
        <v>15.764135360381323</v>
      </c>
      <c r="F127" s="4">
        <f ca="1">F160*'Total Duration Tables Sup #1'!F127*(1+'Other Assumptions'!J$55)*(1+'Active Mode Assumptions'!F20)</f>
        <v>19.902692453109019</v>
      </c>
      <c r="G127" s="4">
        <f ca="1">G160*'Total Duration Tables Sup #1'!G127*(1+'Other Assumptions'!K$55)*(1+'Active Mode Assumptions'!G20)</f>
        <v>24.526565639539783</v>
      </c>
      <c r="H127" s="4">
        <f ca="1">H160*'Total Duration Tables Sup #1'!H127*(1+'Other Assumptions'!L$55)*(1+'Active Mode Assumptions'!H20)</f>
        <v>29.495080093948815</v>
      </c>
      <c r="I127" s="4">
        <f ca="1">I160*'Total Duration Tables Sup #1'!I127*(1+'Other Assumptions'!M$55)*(1+'Active Mode Assumptions'!I20)</f>
        <v>30.361313168153742</v>
      </c>
      <c r="J127" s="4">
        <f ca="1">J160*'Total Duration Tables Sup #1'!J127*(1+'Other Assumptions'!N$55)*(1+'Active Mode Assumptions'!J20)</f>
        <v>31.155257537796874</v>
      </c>
      <c r="K127" s="4">
        <f ca="1">K160*'Total Duration Tables Sup #1'!K127*(1+'Other Assumptions'!O$55)*(1+'Active Mode Assumptions'!K20)</f>
        <v>31.903011244583006</v>
      </c>
    </row>
    <row r="128" spans="1:11" x14ac:dyDescent="0.25">
      <c r="A128" t="str">
        <f ca="1">OFFSET(Canterbury_Reference,14,2)</f>
        <v>Light Vehicle Driver</v>
      </c>
      <c r="B128" s="4">
        <f ca="1">B161*'Total Duration Tables Sup #1'!B128*(1+'Other Assumptions'!D$55)-(B126*'Active Mode Assumptions'!B11*'Active Mode Assumptions'!B14/(1+'Active Mode Assumptions'!B11))-(B127*'Active Mode Assumptions'!B20*'Active Mode Assumptions'!B23/(1+'Active Mode Assumptions'!B20))</f>
        <v>111.06814274</v>
      </c>
      <c r="C128" s="4">
        <f ca="1">C161*'Total Duration Tables Sup #1'!C128*(1+'Other Assumptions'!G$55)-(C126*'Active Mode Assumptions'!C11*'Active Mode Assumptions'!C14/(1+'Active Mode Assumptions'!C11))-(C127*'Active Mode Assumptions'!C20*'Active Mode Assumptions'!C23/(1+'Active Mode Assumptions'!C20))</f>
        <v>124.98106542252064</v>
      </c>
      <c r="D128" s="4">
        <f ca="1">D161*'Total Duration Tables Sup #1'!D128*(1+'Other Assumptions'!H$55)-(D126*'Active Mode Assumptions'!D11*'Active Mode Assumptions'!D14/(1+'Active Mode Assumptions'!D11))-(D127*'Active Mode Assumptions'!D20*'Active Mode Assumptions'!D23/(1+'Active Mode Assumptions'!D20))</f>
        <v>131.93177050672924</v>
      </c>
      <c r="E128" s="4">
        <f ca="1">E161*'Total Duration Tables Sup #1'!E128*(1+'Other Assumptions'!I$55)-(E126*'Active Mode Assumptions'!E11*'Active Mode Assumptions'!E14/(1+'Active Mode Assumptions'!E11))-(E127*'Active Mode Assumptions'!E20*'Active Mode Assumptions'!E23/(1+'Active Mode Assumptions'!E20))</f>
        <v>137.09014159077415</v>
      </c>
      <c r="F128" s="4">
        <f ca="1">F161*'Total Duration Tables Sup #1'!F128*(1+'Other Assumptions'!J$55)-(F126*'Active Mode Assumptions'!F11*'Active Mode Assumptions'!F14/(1+'Active Mode Assumptions'!F11))-(F127*'Active Mode Assumptions'!F20*'Active Mode Assumptions'!F23/(1+'Active Mode Assumptions'!F20))</f>
        <v>141.73028781606669</v>
      </c>
      <c r="G128" s="4">
        <f ca="1">G161*'Total Duration Tables Sup #1'!G128*(1+'Other Assumptions'!K$55)-(G126*'Active Mode Assumptions'!G11*'Active Mode Assumptions'!G14/(1+'Active Mode Assumptions'!G11))-(G127*'Active Mode Assumptions'!G20*'Active Mode Assumptions'!G23/(1+'Active Mode Assumptions'!G20))</f>
        <v>144.95527537455391</v>
      </c>
      <c r="H128" s="4">
        <f ca="1">H161*'Total Duration Tables Sup #1'!H128*(1+'Other Assumptions'!L$55)-(H126*'Active Mode Assumptions'!H11*'Active Mode Assumptions'!H14/(1+'Active Mode Assumptions'!H11))-(H127*'Active Mode Assumptions'!H20*'Active Mode Assumptions'!H23/(1+'Active Mode Assumptions'!H20))</f>
        <v>147.44726570635939</v>
      </c>
      <c r="I128" s="4">
        <f ca="1">I161*'Total Duration Tables Sup #1'!I128*(1+'Other Assumptions'!M$55)-(I126*'Active Mode Assumptions'!I11*'Active Mode Assumptions'!I14/(1+'Active Mode Assumptions'!I11))-(I127*'Active Mode Assumptions'!I20*'Active Mode Assumptions'!I23/(1+'Active Mode Assumptions'!I20))</f>
        <v>150.96906418770214</v>
      </c>
      <c r="J128" s="4">
        <f ca="1">J161*'Total Duration Tables Sup #1'!J128*(1+'Other Assumptions'!N$55)-(J126*'Active Mode Assumptions'!J11*'Active Mode Assumptions'!J14/(1+'Active Mode Assumptions'!J11))-(J127*'Active Mode Assumptions'!J20*'Active Mode Assumptions'!J23/(1+'Active Mode Assumptions'!J20))</f>
        <v>154.08448106739527</v>
      </c>
      <c r="K128" s="4">
        <f ca="1">K161*'Total Duration Tables Sup #1'!K128*(1+'Other Assumptions'!O$55)-(K126*'Active Mode Assumptions'!K11*'Active Mode Assumptions'!K14/(1+'Active Mode Assumptions'!K11))-(K127*'Active Mode Assumptions'!K20*'Active Mode Assumptions'!K23/(1+'Active Mode Assumptions'!K20))</f>
        <v>156.92784554349177</v>
      </c>
    </row>
    <row r="129" spans="1:11" x14ac:dyDescent="0.25">
      <c r="A129" t="str">
        <f ca="1">OFFSET(Canterbury_Reference,21,2)</f>
        <v>Light Vehicle Passenger</v>
      </c>
      <c r="B129" s="4">
        <f ca="1">B162*'Total Duration Tables Sup #1'!B129*(1+'Other Assumptions'!D$55)-(B126*'Active Mode Assumptions'!B11*'Active Mode Assumptions'!B15/(1+'Active Mode Assumptions'!B11))-(B127*'Active Mode Assumptions'!B20*'Active Mode Assumptions'!B24/(1+'Active Mode Assumptions'!B20))</f>
        <v>53.544276449999998</v>
      </c>
      <c r="C129" s="4">
        <f ca="1">C162*'Total Duration Tables Sup #1'!C129*(1+'Other Assumptions'!G$55)-(C126*'Active Mode Assumptions'!C11*'Active Mode Assumptions'!C15/(1+'Active Mode Assumptions'!C11))-(C127*'Active Mode Assumptions'!C20*'Active Mode Assumptions'!C24/(1+'Active Mode Assumptions'!C20))</f>
        <v>57.742574904782217</v>
      </c>
      <c r="D129" s="4">
        <f ca="1">D162*'Total Duration Tables Sup #1'!D129*(1+'Other Assumptions'!H$55)-(D126*'Active Mode Assumptions'!D11*'Active Mode Assumptions'!D15/(1+'Active Mode Assumptions'!D11))-(D127*'Active Mode Assumptions'!D20*'Active Mode Assumptions'!D24/(1+'Active Mode Assumptions'!D20))</f>
        <v>58.80880294791389</v>
      </c>
      <c r="E129" s="4">
        <f ca="1">E162*'Total Duration Tables Sup #1'!E129*(1+'Other Assumptions'!I$55)-(E126*'Active Mode Assumptions'!E11*'Active Mode Assumptions'!E15/(1+'Active Mode Assumptions'!E11))-(E127*'Active Mode Assumptions'!E20*'Active Mode Assumptions'!E24/(1+'Active Mode Assumptions'!E20))</f>
        <v>58.927361929934705</v>
      </c>
      <c r="F129" s="4">
        <f ca="1">F162*'Total Duration Tables Sup #1'!F129*(1+'Other Assumptions'!J$55)-(F126*'Active Mode Assumptions'!F11*'Active Mode Assumptions'!F15/(1+'Active Mode Assumptions'!F11))-(F127*'Active Mode Assumptions'!F20*'Active Mode Assumptions'!F24/(1+'Active Mode Assumptions'!F20))</f>
        <v>58.629970661828864</v>
      </c>
      <c r="G129" s="4">
        <f ca="1">G162*'Total Duration Tables Sup #1'!G129*(1+'Other Assumptions'!K$55)-(G126*'Active Mode Assumptions'!G11*'Active Mode Assumptions'!G15/(1+'Active Mode Assumptions'!G11))-(G127*'Active Mode Assumptions'!G20*'Active Mode Assumptions'!G24/(1+'Active Mode Assumptions'!G20))</f>
        <v>57.857670025862532</v>
      </c>
      <c r="H129" s="4">
        <f ca="1">H162*'Total Duration Tables Sup #1'!H129*(1+'Other Assumptions'!L$55)-(H126*'Active Mode Assumptions'!H11*'Active Mode Assumptions'!H15/(1+'Active Mode Assumptions'!H11))-(H127*'Active Mode Assumptions'!H20*'Active Mode Assumptions'!H24/(1+'Active Mode Assumptions'!H20))</f>
        <v>56.684342406219592</v>
      </c>
      <c r="I129" s="4">
        <f ca="1">I162*'Total Duration Tables Sup #1'!I129*(1+'Other Assumptions'!M$55)-(I126*'Active Mode Assumptions'!I11*'Active Mode Assumptions'!I15/(1+'Active Mode Assumptions'!I11))-(I127*'Active Mode Assumptions'!I20*'Active Mode Assumptions'!I24/(1+'Active Mode Assumptions'!I20))</f>
        <v>58.086487398701209</v>
      </c>
      <c r="J129" s="4">
        <f ca="1">J162*'Total Duration Tables Sup #1'!J129*(1+'Other Assumptions'!N$55)-(J126*'Active Mode Assumptions'!J11*'Active Mode Assumptions'!J15/(1+'Active Mode Assumptions'!J11))-(J127*'Active Mode Assumptions'!J20*'Active Mode Assumptions'!J24/(1+'Active Mode Assumptions'!J20))</f>
        <v>59.333914711046269</v>
      </c>
      <c r="K129" s="4">
        <f ca="1">K162*'Total Duration Tables Sup #1'!K129*(1+'Other Assumptions'!O$55)-(K126*'Active Mode Assumptions'!K11*'Active Mode Assumptions'!K15/(1+'Active Mode Assumptions'!K11))-(K127*'Active Mode Assumptions'!K20*'Active Mode Assumptions'!K24/(1+'Active Mode Assumptions'!K20))</f>
        <v>60.477950862472809</v>
      </c>
    </row>
    <row r="130" spans="1:11" x14ac:dyDescent="0.25">
      <c r="A130" t="str">
        <f ca="1">OFFSET(Canterbury_Reference,28,2)</f>
        <v>Taxi/Vehicle Share</v>
      </c>
      <c r="B130" s="4">
        <f ca="1">B163*'Total Duration Tables Sup #1'!B130*(1+'Other Assumptions'!D$55)</f>
        <v>0.86554787379999998</v>
      </c>
      <c r="C130" s="4">
        <f ca="1">C163*'Total Duration Tables Sup #1'!C130*(1+'Other Assumptions'!G$55)</f>
        <v>1.0122211386275664</v>
      </c>
      <c r="D130" s="4">
        <f ca="1">D163*'Total Duration Tables Sup #1'!D130*(1+'Other Assumptions'!H$55)</f>
        <v>1.1243913120125442</v>
      </c>
      <c r="E130" s="4">
        <f ca="1">E163*'Total Duration Tables Sup #1'!E130*(1+'Other Assumptions'!I$55)</f>
        <v>1.2136585732999796</v>
      </c>
      <c r="F130" s="4">
        <f ca="1">F163*'Total Duration Tables Sup #1'!F130*(1+'Other Assumptions'!J$55)</f>
        <v>1.2920362924802895</v>
      </c>
      <c r="G130" s="4">
        <f ca="1">G163*'Total Duration Tables Sup #1'!G130*(1+'Other Assumptions'!K$55)</f>
        <v>1.3483078562671984</v>
      </c>
      <c r="H130" s="4">
        <f ca="1">H163*'Total Duration Tables Sup #1'!H130*(1+'Other Assumptions'!L$55)</f>
        <v>1.3993524720692161</v>
      </c>
      <c r="I130" s="4">
        <f ca="1">I163*'Total Duration Tables Sup #1'!I130*(1+'Other Assumptions'!M$55)</f>
        <v>1.430487661411239</v>
      </c>
      <c r="J130" s="4">
        <f ca="1">J163*'Total Duration Tables Sup #1'!J130*(1+'Other Assumptions'!N$55)</f>
        <v>1.4576804578577038</v>
      </c>
      <c r="K130" s="4">
        <f ca="1">K163*'Total Duration Tables Sup #1'!K130*(1+'Other Assumptions'!O$55)</f>
        <v>1.4822201914279303</v>
      </c>
    </row>
    <row r="131" spans="1:11" x14ac:dyDescent="0.25">
      <c r="A131" t="str">
        <f ca="1">OFFSET(Canterbury_Reference,35,2)</f>
        <v>Motorcyclist</v>
      </c>
      <c r="B131" s="4">
        <f ca="1">B164*'Total Duration Tables Sup #1'!B131*(1+'Other Assumptions'!D$55)</f>
        <v>0.39288238580000001</v>
      </c>
      <c r="C131" s="4">
        <f ca="1">C164*'Total Duration Tables Sup #1'!C131*(1+'Other Assumptions'!G$55)</f>
        <v>0.43798927383990477</v>
      </c>
      <c r="D131" s="4">
        <f ca="1">D164*'Total Duration Tables Sup #1'!D131*(1+'Other Assumptions'!H$55)</f>
        <v>0.4638671283520307</v>
      </c>
      <c r="E131" s="4">
        <f ca="1">E164*'Total Duration Tables Sup #1'!E131*(1+'Other Assumptions'!I$55)</f>
        <v>0.48031057879404859</v>
      </c>
      <c r="F131" s="4">
        <f ca="1">F164*'Total Duration Tables Sup #1'!F131*(1+'Other Assumptions'!J$55)</f>
        <v>0.49492306781791234</v>
      </c>
      <c r="G131" s="4">
        <f ca="1">G164*'Total Duration Tables Sup #1'!G131*(1+'Other Assumptions'!K$55)</f>
        <v>0.50240262397559743</v>
      </c>
      <c r="H131" s="4">
        <f ca="1">H164*'Total Duration Tables Sup #1'!H131*(1+'Other Assumptions'!L$55)</f>
        <v>0.50698904913921772</v>
      </c>
      <c r="I131" s="4">
        <f ca="1">I164*'Total Duration Tables Sup #1'!I131*(1+'Other Assumptions'!M$55)</f>
        <v>0.52187028612087039</v>
      </c>
      <c r="J131" s="4">
        <f ca="1">J164*'Total Duration Tables Sup #1'!J131*(1+'Other Assumptions'!N$55)</f>
        <v>0.535481655548809</v>
      </c>
      <c r="K131" s="4">
        <f ca="1">K164*'Total Duration Tables Sup #1'!K131*(1+'Other Assumptions'!O$55)</f>
        <v>0.5482692754348677</v>
      </c>
    </row>
    <row r="132" spans="1:11" x14ac:dyDescent="0.25">
      <c r="A132" t="str">
        <f ca="1">OFFSET(Canterbury_Reference,42,2)</f>
        <v>Local Train</v>
      </c>
      <c r="B132" s="4">
        <f ca="1">B165*'Total Duration Tables Sup #1'!B132*(1+'Other Assumptions'!D$55)</f>
        <v>7.3004144E-3</v>
      </c>
      <c r="C132" s="4">
        <f ca="1">C165*'Total Duration Tables Sup #1'!C132*(1+'Other Assumptions'!G$55)</f>
        <v>7.4878837610523642E-3</v>
      </c>
      <c r="D132" s="4">
        <f ca="1">D165*'Total Duration Tables Sup #1'!D132*(1+'Other Assumptions'!H$55)</f>
        <v>6.395159146266244E-3</v>
      </c>
      <c r="E132" s="4">
        <f ca="1">E165*'Total Duration Tables Sup #1'!E132*(1+'Other Assumptions'!I$55)</f>
        <v>5.9228255864376524E-3</v>
      </c>
      <c r="F132" s="4">
        <f ca="1">F165*'Total Duration Tables Sup #1'!F132*(1+'Other Assumptions'!J$55)</f>
        <v>5.5872883342438038E-3</v>
      </c>
      <c r="G132" s="4">
        <f ca="1">G165*'Total Duration Tables Sup #1'!G132*(1+'Other Assumptions'!K$55)</f>
        <v>4.6817585753901004E-3</v>
      </c>
      <c r="H132" s="4">
        <f ca="1">H165*'Total Duration Tables Sup #1'!H132*(1+'Other Assumptions'!L$55)</f>
        <v>3.8455598719585723E-3</v>
      </c>
      <c r="I132" s="4">
        <f ca="1">I165*'Total Duration Tables Sup #1'!I132*(1+'Other Assumptions'!M$55)</f>
        <v>3.8424676304484821E-3</v>
      </c>
      <c r="J132" s="4">
        <f ca="1">J165*'Total Duration Tables Sup #1'!J132*(1+'Other Assumptions'!N$55)</f>
        <v>3.8394146355901861E-3</v>
      </c>
      <c r="K132" s="4">
        <f ca="1">K165*'Total Duration Tables Sup #1'!K132*(1+'Other Assumptions'!O$55)</f>
        <v>3.8363909497731228E-3</v>
      </c>
    </row>
    <row r="133" spans="1:11" x14ac:dyDescent="0.25">
      <c r="A133" t="str">
        <f ca="1">OFFSET(Canterbury_Reference,49,2)</f>
        <v>Local Bus</v>
      </c>
      <c r="B133" s="4">
        <f ca="1">'Total Duration Tables Sup #1'!B133*(1+'Other Assumptions'!D$55)</f>
        <v>7.9805750329</v>
      </c>
      <c r="C133" s="4">
        <f ca="1">'Total Duration Tables Sup #1'!C133*(1+'Other Assumptions'!G$55)</f>
        <v>8.0130594146000007</v>
      </c>
      <c r="D133" s="4">
        <f ca="1">'Total Duration Tables Sup #1'!D133*(1+'Other Assumptions'!H$55)</f>
        <v>7.8205246438999998</v>
      </c>
      <c r="E133" s="4">
        <f ca="1">'Total Duration Tables Sup #1'!E133*(1+'Other Assumptions'!I$55)</f>
        <v>7.6642940755</v>
      </c>
      <c r="F133" s="4">
        <f ca="1">'Total Duration Tables Sup #1'!F133*(1+'Other Assumptions'!J$55)</f>
        <v>7.3520729450999998</v>
      </c>
      <c r="G133" s="4">
        <f ca="1">'Total Duration Tables Sup #1'!G133*(1+'Other Assumptions'!K$55)</f>
        <v>7.0564301036000003</v>
      </c>
      <c r="H133" s="4">
        <f ca="1">'Total Duration Tables Sup #1'!H133*(1+'Other Assumptions'!L$55)</f>
        <v>6.7467374597000003</v>
      </c>
      <c r="I133" s="4">
        <f ca="1">'Total Duration Tables Sup #1'!I133*(1+'Other Assumptions'!M$55)</f>
        <v>6.7467374597000003</v>
      </c>
      <c r="J133" s="4">
        <f ca="1">'Total Duration Tables Sup #1'!J133*(1+'Other Assumptions'!N$55)</f>
        <v>6.7467374597000003</v>
      </c>
      <c r="K133" s="4">
        <f ca="1">'Total Duration Tables Sup #1'!K133*(1+'Other Assumptions'!O$55)</f>
        <v>6.7467374597000003</v>
      </c>
    </row>
    <row r="134" spans="1:11" x14ac:dyDescent="0.25">
      <c r="A134" t="str">
        <f ca="1">OFFSET(Wellington_Reference,56,2)</f>
        <v>Local Ferry</v>
      </c>
      <c r="B134" s="4">
        <f ca="1">B167*'Total Duration Tables Sup #1'!B134*(1+'Other Assumptions'!D$55)</f>
        <v>0</v>
      </c>
      <c r="C134" s="4">
        <f ca="1">C167*'Total Duration Tables Sup #1'!C134*(1+'Other Assumptions'!G$55)</f>
        <v>0</v>
      </c>
      <c r="D134" s="4">
        <f ca="1">D167*'Total Duration Tables Sup #1'!D134*(1+'Other Assumptions'!H$55)</f>
        <v>0</v>
      </c>
      <c r="E134" s="4">
        <f ca="1">E167*'Total Duration Tables Sup #1'!E134*(1+'Other Assumptions'!I$55)</f>
        <v>0</v>
      </c>
      <c r="F134" s="4">
        <f ca="1">F167*'Total Duration Tables Sup #1'!F134*(1+'Other Assumptions'!J$55)</f>
        <v>0</v>
      </c>
      <c r="G134" s="4">
        <f ca="1">G167*'Total Duration Tables Sup #1'!G134*(1+'Other Assumptions'!K$55)</f>
        <v>0</v>
      </c>
      <c r="H134" s="4">
        <f ca="1">H167*'Total Duration Tables Sup #1'!H134*(1+'Other Assumptions'!L$55)</f>
        <v>0</v>
      </c>
      <c r="I134" s="4">
        <f ca="1">I167*'Total Duration Tables Sup #1'!I134*(1+'Other Assumptions'!M$55)</f>
        <v>0</v>
      </c>
      <c r="J134" s="4">
        <f ca="1">J167*'Total Duration Tables Sup #1'!J134*(1+'Other Assumptions'!N$55)</f>
        <v>0</v>
      </c>
      <c r="K134" s="4">
        <f ca="1">K167*'Total Duration Tables Sup #1'!K134*(1+'Other Assumptions'!O$55)</f>
        <v>0</v>
      </c>
    </row>
    <row r="135" spans="1:11" x14ac:dyDescent="0.25">
      <c r="A135" t="str">
        <f ca="1">OFFSET(Canterbury_Reference,56,2)</f>
        <v>Other Household Travel</v>
      </c>
      <c r="B135" s="4">
        <f ca="1">B168*'Total Duration Tables Sup #1'!B135*(1+'Other Assumptions'!D$55)</f>
        <v>0.91635513570000005</v>
      </c>
      <c r="C135" s="4">
        <f ca="1">C168*'Total Duration Tables Sup #1'!C135*(1+'Other Assumptions'!G$55)</f>
        <v>1.0256276410957557</v>
      </c>
      <c r="D135" s="4">
        <f ca="1">D168*'Total Duration Tables Sup #1'!D135*(1+'Other Assumptions'!H$55)</f>
        <v>1.0989201304240452</v>
      </c>
      <c r="E135" s="4">
        <f ca="1">E168*'Total Duration Tables Sup #1'!E135*(1+'Other Assumptions'!I$55)</f>
        <v>1.1357980607724572</v>
      </c>
      <c r="F135" s="4">
        <f ca="1">F168*'Total Duration Tables Sup #1'!F135*(1+'Other Assumptions'!J$55)</f>
        <v>1.1644627936178855</v>
      </c>
      <c r="G135" s="4">
        <f ca="1">G168*'Total Duration Tables Sup #1'!G135*(1+'Other Assumptions'!K$55)</f>
        <v>1.1974158170335241</v>
      </c>
      <c r="H135" s="4">
        <f ca="1">H168*'Total Duration Tables Sup #1'!H135*(1+'Other Assumptions'!L$55)</f>
        <v>1.2219142770657563</v>
      </c>
      <c r="I135" s="4">
        <f ca="1">I168*'Total Duration Tables Sup #1'!I135*(1+'Other Assumptions'!M$55)</f>
        <v>1.2473174346948435</v>
      </c>
      <c r="J135" s="4">
        <f ca="1">J168*'Total Duration Tables Sup #1'!J135*(1+'Other Assumptions'!N$55)</f>
        <v>1.26926439589095</v>
      </c>
      <c r="K135" s="4">
        <f ca="1">K168*'Total Duration Tables Sup #1'!K135*(1+'Other Assumptions'!O$55)</f>
        <v>1.2888927851072256</v>
      </c>
    </row>
    <row r="136" spans="1:11" x14ac:dyDescent="0.25">
      <c r="A136" t="str">
        <f ca="1">OFFSET(Otago_Reference,0,0)</f>
        <v>14 OTAGO</v>
      </c>
    </row>
    <row r="137" spans="1:11" x14ac:dyDescent="0.25">
      <c r="A137" t="str">
        <f ca="1">OFFSET(Otago_Reference,0,2)</f>
        <v>Pedestrian</v>
      </c>
      <c r="B137" s="4">
        <f ca="1">B159*'Total Duration Tables Sup #1'!B137*(1+'Other Assumptions'!D$56)*(1+'Active Mode Assumptions'!B11)</f>
        <v>11.651603939999999</v>
      </c>
      <c r="C137" s="4">
        <f ca="1">C159*'Total Duration Tables Sup #1'!C137*(1+'Other Assumptions'!G$56)*(1+'Active Mode Assumptions'!C11)</f>
        <v>12.382852631283553</v>
      </c>
      <c r="D137" s="4">
        <f ca="1">D159*'Total Duration Tables Sup #1'!D137*(1+'Other Assumptions'!H$56)*(1+'Active Mode Assumptions'!D11)</f>
        <v>13.456731274786089</v>
      </c>
      <c r="E137" s="4">
        <f ca="1">E159*'Total Duration Tables Sup #1'!E137*(1+'Other Assumptions'!I$56)*(1+'Active Mode Assumptions'!E11)</f>
        <v>14.276505158608034</v>
      </c>
      <c r="F137" s="4">
        <f ca="1">F159*'Total Duration Tables Sup #1'!F137*(1+'Other Assumptions'!J$56)*(1+'Active Mode Assumptions'!F11)</f>
        <v>14.967148070065475</v>
      </c>
      <c r="G137" s="4">
        <f ca="1">G159*'Total Duration Tables Sup #1'!G137*(1+'Other Assumptions'!K$56)*(1+'Active Mode Assumptions'!G11)</f>
        <v>15.596227768991994</v>
      </c>
      <c r="H137" s="4">
        <f ca="1">H159*'Total Duration Tables Sup #1'!H137*(1+'Other Assumptions'!L$56)*(1+'Active Mode Assumptions'!H11)</f>
        <v>16.152517924378142</v>
      </c>
      <c r="I137" s="4">
        <f ca="1">I159*'Total Duration Tables Sup #1'!I137*(1+'Other Assumptions'!M$56)*(1+'Active Mode Assumptions'!I11)</f>
        <v>16.300794000353971</v>
      </c>
      <c r="J137" s="4">
        <f ca="1">J159*'Total Duration Tables Sup #1'!J137*(1+'Other Assumptions'!N$56)*(1+'Active Mode Assumptions'!J11)</f>
        <v>16.398233265951376</v>
      </c>
      <c r="K137" s="4">
        <f ca="1">K159*'Total Duration Tables Sup #1'!K137*(1+'Other Assumptions'!O$56)*(1+'Active Mode Assumptions'!K11)</f>
        <v>16.460967512465231</v>
      </c>
    </row>
    <row r="138" spans="1:11" x14ac:dyDescent="0.25">
      <c r="A138" t="str">
        <f ca="1">OFFSET(Otago_Reference,7,2)</f>
        <v>Cyclist</v>
      </c>
      <c r="B138" s="4">
        <f ca="1">B160*'Total Duration Tables Sup #1'!B138*(1+'Other Assumptions'!D$56)*(1+'Active Mode Assumptions'!B20)</f>
        <v>1.6089304994</v>
      </c>
      <c r="C138" s="4">
        <f ca="1">C160*'Total Duration Tables Sup #1'!C138*(1+'Other Assumptions'!G$56)*(1+'Active Mode Assumptions'!C20)</f>
        <v>1.7541569100152643</v>
      </c>
      <c r="D138" s="4">
        <f ca="1">D160*'Total Duration Tables Sup #1'!D138*(1+'Other Assumptions'!H$56)*(1+'Active Mode Assumptions'!D20)</f>
        <v>2.5434567685591287</v>
      </c>
      <c r="E138" s="4">
        <f ca="1">E160*'Total Duration Tables Sup #1'!E138*(1+'Other Assumptions'!I$56)*(1+'Active Mode Assumptions'!E20)</f>
        <v>3.2992635374078447</v>
      </c>
      <c r="F138" s="4">
        <f ca="1">F160*'Total Duration Tables Sup #1'!F138*(1+'Other Assumptions'!J$56)*(1+'Active Mode Assumptions'!F20)</f>
        <v>4.0997378486099398</v>
      </c>
      <c r="G138" s="4">
        <f ca="1">G160*'Total Duration Tables Sup #1'!G138*(1+'Other Assumptions'!K$56)*(1+'Active Mode Assumptions'!G20)</f>
        <v>4.9755814925942259</v>
      </c>
      <c r="H138" s="4">
        <f ca="1">H160*'Total Duration Tables Sup #1'!H138*(1+'Other Assumptions'!L$56)*(1+'Active Mode Assumptions'!H20)</f>
        <v>5.8941095162777497</v>
      </c>
      <c r="I138" s="4">
        <f ca="1">I160*'Total Duration Tables Sup #1'!I138*(1+'Other Assumptions'!M$56)*(1+'Active Mode Assumptions'!I20)</f>
        <v>5.9765518285558805</v>
      </c>
      <c r="J138" s="4">
        <f ca="1">J160*'Total Duration Tables Sup #1'!J138*(1+'Other Assumptions'!N$56)*(1+'Active Mode Assumptions'!J20)</f>
        <v>6.0411970488445963</v>
      </c>
      <c r="K138" s="4">
        <f ca="1">K160*'Total Duration Tables Sup #1'!K138*(1+'Other Assumptions'!O$56)*(1+'Active Mode Assumptions'!K20)</f>
        <v>6.0937530482771454</v>
      </c>
    </row>
    <row r="139" spans="1:11" x14ac:dyDescent="0.25">
      <c r="A139" t="str">
        <f ca="1">OFFSET(Otago_Reference,14,2)</f>
        <v>Light Vehicle Driver</v>
      </c>
      <c r="B139" s="4">
        <f ca="1">B161*'Total Duration Tables Sup #1'!B139*(1+'Other Assumptions'!D$56)-(B137*'Active Mode Assumptions'!B11*'Active Mode Assumptions'!B14/(1+'Active Mode Assumptions'!B11))-(B138*'Active Mode Assumptions'!B20*'Active Mode Assumptions'!B23/(1+'Active Mode Assumptions'!B20))</f>
        <v>32.522387277</v>
      </c>
      <c r="C139" s="4">
        <f ca="1">C161*'Total Duration Tables Sup #1'!C139*(1+'Other Assumptions'!G$56)-(C137*'Active Mode Assumptions'!C11*'Active Mode Assumptions'!C14/(1+'Active Mode Assumptions'!C11))-(C138*'Active Mode Assumptions'!C20*'Active Mode Assumptions'!C23/(1+'Active Mode Assumptions'!C20))</f>
        <v>35.746570083037476</v>
      </c>
      <c r="D139" s="4">
        <f ca="1">D161*'Total Duration Tables Sup #1'!D139*(1+'Other Assumptions'!H$56)-(D137*'Active Mode Assumptions'!D11*'Active Mode Assumptions'!D14/(1+'Active Mode Assumptions'!D11))-(D138*'Active Mode Assumptions'!D20*'Active Mode Assumptions'!D23/(1+'Active Mode Assumptions'!D20))</f>
        <v>37.001648464050099</v>
      </c>
      <c r="E139" s="4">
        <f ca="1">E161*'Total Duration Tables Sup #1'!E139*(1+'Other Assumptions'!I$56)-(E137*'Active Mode Assumptions'!E11*'Active Mode Assumptions'!E14/(1+'Active Mode Assumptions'!E11))-(E138*'Active Mode Assumptions'!E20*'Active Mode Assumptions'!E23/(1+'Active Mode Assumptions'!E20))</f>
        <v>37.823343823091136</v>
      </c>
      <c r="F139" s="4">
        <f ca="1">F161*'Total Duration Tables Sup #1'!F139*(1+'Other Assumptions'!J$56)-(F137*'Active Mode Assumptions'!F11*'Active Mode Assumptions'!F14/(1+'Active Mode Assumptions'!F11))-(F138*'Active Mode Assumptions'!F20*'Active Mode Assumptions'!F23/(1+'Active Mode Assumptions'!F20))</f>
        <v>38.48817128533377</v>
      </c>
      <c r="G139" s="4">
        <f ca="1">G161*'Total Duration Tables Sup #1'!G139*(1+'Other Assumptions'!K$56)-(G137*'Active Mode Assumptions'!G11*'Active Mode Assumptions'!G14/(1+'Active Mode Assumptions'!G11))-(G138*'Active Mode Assumptions'!G20*'Active Mode Assumptions'!G23/(1+'Active Mode Assumptions'!G20))</f>
        <v>38.773949395479008</v>
      </c>
      <c r="H139" s="4">
        <f ca="1">H161*'Total Duration Tables Sup #1'!H139*(1+'Other Assumptions'!L$56)-(H137*'Active Mode Assumptions'!H11*'Active Mode Assumptions'!H14/(1+'Active Mode Assumptions'!H11))-(H138*'Active Mode Assumptions'!H20*'Active Mode Assumptions'!H23/(1+'Active Mode Assumptions'!H20))</f>
        <v>38.863617283167386</v>
      </c>
      <c r="I139" s="4">
        <f ca="1">I161*'Total Duration Tables Sup #1'!I139*(1+'Other Assumptions'!M$56)-(I137*'Active Mode Assumptions'!I11*'Active Mode Assumptions'!I14/(1+'Active Mode Assumptions'!I11))-(I138*'Active Mode Assumptions'!I20*'Active Mode Assumptions'!I23/(1+'Active Mode Assumptions'!I20))</f>
        <v>39.198797158811132</v>
      </c>
      <c r="J139" s="4">
        <f ca="1">J161*'Total Duration Tables Sup #1'!J139*(1+'Other Assumptions'!N$56)-(J137*'Active Mode Assumptions'!J11*'Active Mode Assumptions'!J14/(1+'Active Mode Assumptions'!J11))-(J138*'Active Mode Assumptions'!J20*'Active Mode Assumptions'!J23/(1+'Active Mode Assumptions'!J20))</f>
        <v>39.41143240472865</v>
      </c>
      <c r="K139" s="4">
        <f ca="1">K161*'Total Duration Tables Sup #1'!K139*(1+'Other Assumptions'!O$56)-(K137*'Active Mode Assumptions'!K11*'Active Mode Assumptions'!K14/(1+'Active Mode Assumptions'!K11))-(K138*'Active Mode Assumptions'!K20*'Active Mode Assumptions'!K23/(1+'Active Mode Assumptions'!K20))</f>
        <v>39.540497944331626</v>
      </c>
    </row>
    <row r="140" spans="1:11" x14ac:dyDescent="0.25">
      <c r="A140" t="str">
        <f ca="1">OFFSET(Otago_Reference,21,2)</f>
        <v>Light Vehicle Passenger</v>
      </c>
      <c r="B140" s="4">
        <f ca="1">B162*'Total Duration Tables Sup #1'!B140*(1+'Other Assumptions'!D$56)-(B137*'Active Mode Assumptions'!B11*'Active Mode Assumptions'!B15/(1+'Active Mode Assumptions'!B11))-(B138*'Active Mode Assumptions'!B20*'Active Mode Assumptions'!B24/(1+'Active Mode Assumptions'!B20))</f>
        <v>19.901766343999999</v>
      </c>
      <c r="C140" s="4">
        <f ca="1">C162*'Total Duration Tables Sup #1'!C140*(1+'Other Assumptions'!G$56)-(C137*'Active Mode Assumptions'!C11*'Active Mode Assumptions'!C15/(1+'Active Mode Assumptions'!C11))-(C138*'Active Mode Assumptions'!C20*'Active Mode Assumptions'!C24/(1+'Active Mode Assumptions'!C20))</f>
        <v>20.963894356524975</v>
      </c>
      <c r="D140" s="4">
        <f ca="1">D162*'Total Duration Tables Sup #1'!D140*(1+'Other Assumptions'!H$56)-(D137*'Active Mode Assumptions'!D11*'Active Mode Assumptions'!D15/(1+'Active Mode Assumptions'!D11))-(D138*'Active Mode Assumptions'!D20*'Active Mode Assumptions'!D24/(1+'Active Mode Assumptions'!D20))</f>
        <v>21.034413293568164</v>
      </c>
      <c r="E140" s="4">
        <f ca="1">E162*'Total Duration Tables Sup #1'!E140*(1+'Other Assumptions'!I$56)-(E137*'Active Mode Assumptions'!E11*'Active Mode Assumptions'!E15/(1+'Active Mode Assumptions'!E11))-(E138*'Active Mode Assumptions'!E20*'Active Mode Assumptions'!E24/(1+'Active Mode Assumptions'!E20))</f>
        <v>20.835270851661008</v>
      </c>
      <c r="F140" s="4">
        <f ca="1">F162*'Total Duration Tables Sup #1'!F140*(1+'Other Assumptions'!J$56)-(F137*'Active Mode Assumptions'!F11*'Active Mode Assumptions'!F15/(1+'Active Mode Assumptions'!F11))-(F138*'Active Mode Assumptions'!F20*'Active Mode Assumptions'!F24/(1+'Active Mode Assumptions'!F20))</f>
        <v>20.511267898984631</v>
      </c>
      <c r="G140" s="4">
        <f ca="1">G162*'Total Duration Tables Sup #1'!G140*(1+'Other Assumptions'!K$56)-(G137*'Active Mode Assumptions'!G11*'Active Mode Assumptions'!G15/(1+'Active Mode Assumptions'!G11))-(G138*'Active Mode Assumptions'!G20*'Active Mode Assumptions'!G24/(1+'Active Mode Assumptions'!G20))</f>
        <v>20.056500419600042</v>
      </c>
      <c r="H140" s="4">
        <f ca="1">H162*'Total Duration Tables Sup #1'!H140*(1+'Other Assumptions'!L$56)-(H137*'Active Mode Assumptions'!H11*'Active Mode Assumptions'!H15/(1+'Active Mode Assumptions'!H11))-(H138*'Active Mode Assumptions'!H20*'Active Mode Assumptions'!H24/(1+'Active Mode Assumptions'!H20))</f>
        <v>19.492503524325627</v>
      </c>
      <c r="I140" s="4">
        <f ca="1">I162*'Total Duration Tables Sup #1'!I140*(1+'Other Assumptions'!M$56)-(I137*'Active Mode Assumptions'!I11*'Active Mode Assumptions'!I15/(1+'Active Mode Assumptions'!I11))-(I138*'Active Mode Assumptions'!I20*'Active Mode Assumptions'!I24/(1+'Active Mode Assumptions'!I20))</f>
        <v>19.679246783519705</v>
      </c>
      <c r="J140" s="4">
        <f ca="1">J162*'Total Duration Tables Sup #1'!J140*(1+'Other Assumptions'!N$56)-(J137*'Active Mode Assumptions'!J11*'Active Mode Assumptions'!J15/(1+'Active Mode Assumptions'!J11))-(J138*'Active Mode Assumptions'!J20*'Active Mode Assumptions'!J24/(1+'Active Mode Assumptions'!J20))</f>
        <v>19.804609974293186</v>
      </c>
      <c r="K140" s="4">
        <f ca="1">K162*'Total Duration Tables Sup #1'!K140*(1+'Other Assumptions'!O$56)-(K137*'Active Mode Assumptions'!K11*'Active Mode Assumptions'!K15/(1+'Active Mode Assumptions'!K11))-(K138*'Active Mode Assumptions'!K20*'Active Mode Assumptions'!K24/(1+'Active Mode Assumptions'!K20))</f>
        <v>19.888011858032556</v>
      </c>
    </row>
    <row r="141" spans="1:11" x14ac:dyDescent="0.25">
      <c r="A141" t="str">
        <f ca="1">OFFSET(Otago_Reference,28,2)</f>
        <v>Taxi/Vehicle Share</v>
      </c>
      <c r="B141" s="4">
        <f ca="1">B163*'Total Duration Tables Sup #1'!B141*(1+'Other Assumptions'!D$56)</f>
        <v>0.23496676969999999</v>
      </c>
      <c r="C141" s="4">
        <f ca="1">C163*'Total Duration Tables Sup #1'!C141*(1+'Other Assumptions'!G$56)</f>
        <v>0.26840339340161767</v>
      </c>
      <c r="D141" s="4">
        <f ca="1">D163*'Total Duration Tables Sup #1'!D141*(1+'Other Assumptions'!H$56)</f>
        <v>0.29237936575643536</v>
      </c>
      <c r="E141" s="4">
        <f ca="1">E163*'Total Duration Tables Sup #1'!E141*(1+'Other Assumptions'!I$56)</f>
        <v>0.31048115542263838</v>
      </c>
      <c r="F141" s="4">
        <f ca="1">F163*'Total Duration Tables Sup #1'!F141*(1+'Other Assumptions'!J$56)</f>
        <v>0.32532005262651509</v>
      </c>
      <c r="G141" s="4">
        <f ca="1">G163*'Total Duration Tables Sup #1'!G141*(1+'Other Assumptions'!K$56)</f>
        <v>0.33433976640364566</v>
      </c>
      <c r="H141" s="4">
        <f ca="1">H163*'Total Duration Tables Sup #1'!H141*(1+'Other Assumptions'!L$56)</f>
        <v>0.34181223683879131</v>
      </c>
      <c r="I141" s="4">
        <f ca="1">I163*'Total Duration Tables Sup #1'!I141*(1+'Other Assumptions'!M$56)</f>
        <v>0.34419623902631752</v>
      </c>
      <c r="J141" s="4">
        <f ca="1">J163*'Total Duration Tables Sup #1'!J141*(1+'Other Assumptions'!N$56)</f>
        <v>0.345498251058874</v>
      </c>
      <c r="K141" s="4">
        <f ca="1">K163*'Total Duration Tables Sup #1'!K141*(1+'Other Assumptions'!O$56)</f>
        <v>0.34606506852534519</v>
      </c>
    </row>
    <row r="142" spans="1:11" x14ac:dyDescent="0.25">
      <c r="A142" t="str">
        <f ca="1">OFFSET(Otago_Reference,35,2)</f>
        <v>Motorcyclist</v>
      </c>
      <c r="B142" s="4">
        <f ca="1">B164*'Total Duration Tables Sup #1'!B142*(1+'Other Assumptions'!D$56)</f>
        <v>0.42545310469999997</v>
      </c>
      <c r="C142" s="4">
        <f ca="1">C164*'Total Duration Tables Sup #1'!C142*(1+'Other Assumptions'!G$56)</f>
        <v>0.46328673023029682</v>
      </c>
      <c r="D142" s="4">
        <f ca="1">D164*'Total Duration Tables Sup #1'!D142*(1+'Other Assumptions'!H$56)</f>
        <v>0.4811678731600762</v>
      </c>
      <c r="E142" s="4">
        <f ca="1">E164*'Total Duration Tables Sup #1'!E142*(1+'Other Assumptions'!I$56)</f>
        <v>0.49015637589194583</v>
      </c>
      <c r="F142" s="4">
        <f ca="1">F164*'Total Duration Tables Sup #1'!F142*(1+'Other Assumptions'!J$56)</f>
        <v>0.49710439594983652</v>
      </c>
      <c r="G142" s="4">
        <f ca="1">G164*'Total Duration Tables Sup #1'!G142*(1+'Other Assumptions'!K$56)</f>
        <v>0.49696368576040795</v>
      </c>
      <c r="H142" s="4">
        <f ca="1">H164*'Total Duration Tables Sup #1'!H142*(1+'Other Assumptions'!L$56)</f>
        <v>0.4940067148574307</v>
      </c>
      <c r="I142" s="4">
        <f ca="1">I164*'Total Duration Tables Sup #1'!I142*(1+'Other Assumptions'!M$56)</f>
        <v>0.50090845320352073</v>
      </c>
      <c r="J142" s="4">
        <f ca="1">J164*'Total Duration Tables Sup #1'!J142*(1+'Other Assumptions'!N$56)</f>
        <v>0.50629297983927524</v>
      </c>
      <c r="K142" s="4">
        <f ca="1">K164*'Total Duration Tables Sup #1'!K142*(1+'Other Assumptions'!O$56)</f>
        <v>0.51063753456390804</v>
      </c>
    </row>
    <row r="143" spans="1:11" x14ac:dyDescent="0.25">
      <c r="A143" t="str">
        <f ca="1">OFFSET(Canterbury_Reference,42,2)</f>
        <v>Local Train</v>
      </c>
      <c r="B143" s="4">
        <f ca="1">B165*'Total Duration Tables Sup #1'!B143*(1+'Other Assumptions'!D$56)</f>
        <v>0</v>
      </c>
      <c r="C143" s="4">
        <f ca="1">C165*'Total Duration Tables Sup #1'!C143*(1+'Other Assumptions'!G$56)</f>
        <v>0</v>
      </c>
      <c r="D143" s="4">
        <f ca="1">D165*'Total Duration Tables Sup #1'!D143*(1+'Other Assumptions'!H$56)</f>
        <v>0</v>
      </c>
      <c r="E143" s="4">
        <f ca="1">E165*'Total Duration Tables Sup #1'!E143*(1+'Other Assumptions'!I$56)</f>
        <v>0</v>
      </c>
      <c r="F143" s="4">
        <f ca="1">F165*'Total Duration Tables Sup #1'!F143*(1+'Other Assumptions'!J$56)</f>
        <v>0</v>
      </c>
      <c r="G143" s="4">
        <f ca="1">G165*'Total Duration Tables Sup #1'!G143*(1+'Other Assumptions'!K$56)</f>
        <v>0</v>
      </c>
      <c r="H143" s="4">
        <f ca="1">H165*'Total Duration Tables Sup #1'!H143*(1+'Other Assumptions'!L$56)</f>
        <v>0</v>
      </c>
      <c r="I143" s="4">
        <f ca="1">I165*'Total Duration Tables Sup #1'!I143*(1+'Other Assumptions'!M$56)</f>
        <v>0</v>
      </c>
      <c r="J143" s="4">
        <f ca="1">J165*'Total Duration Tables Sup #1'!J143*(1+'Other Assumptions'!N$56)</f>
        <v>0</v>
      </c>
      <c r="K143" s="4">
        <f ca="1">K165*'Total Duration Tables Sup #1'!K143*(1+'Other Assumptions'!O$56)</f>
        <v>0</v>
      </c>
    </row>
    <row r="144" spans="1:11" x14ac:dyDescent="0.25">
      <c r="A144" t="str">
        <f ca="1">OFFSET(Otago_Reference,42,2)</f>
        <v>Local Bus</v>
      </c>
      <c r="B144" s="4">
        <f ca="1">B166*'Total Duration Tables Sup #1'!B144*(1+'Other Assumptions'!D$56)</f>
        <v>1.347401772</v>
      </c>
      <c r="C144" s="4">
        <f ca="1">C166*'Total Duration Tables Sup #1'!C144*(1+'Other Assumptions'!G$56)</f>
        <v>1.3333364629001003</v>
      </c>
      <c r="D144" s="4">
        <f ca="1">D166*'Total Duration Tables Sup #1'!D144*(1+'Other Assumptions'!H$56)</f>
        <v>1.3075503622772189</v>
      </c>
      <c r="E144" s="4">
        <f ca="1">E166*'Total Duration Tables Sup #1'!E144*(1+'Other Assumptions'!I$56)</f>
        <v>1.2848336744864657</v>
      </c>
      <c r="F144" s="4">
        <f ca="1">F166*'Total Duration Tables Sup #1'!F144*(1+'Other Assumptions'!J$56)</f>
        <v>1.2476153908476662</v>
      </c>
      <c r="G144" s="4">
        <f ca="1">G166*'Total Duration Tables Sup #1'!G144*(1+'Other Assumptions'!K$56)</f>
        <v>1.2195258352866711</v>
      </c>
      <c r="H144" s="4">
        <f ca="1">H166*'Total Duration Tables Sup #1'!H144*(1+'Other Assumptions'!L$56)</f>
        <v>1.1869991175762022</v>
      </c>
      <c r="I144" s="4">
        <f ca="1">I166*'Total Duration Tables Sup #1'!I144*(1+'Other Assumptions'!M$56)</f>
        <v>1.2002070779601732</v>
      </c>
      <c r="J144" s="4">
        <f ca="1">J166*'Total Duration Tables Sup #1'!J144*(1+'Other Assumptions'!N$56)</f>
        <v>1.2097045744986108</v>
      </c>
      <c r="K144" s="4">
        <f ca="1">K166*'Total Duration Tables Sup #1'!K144*(1+'Other Assumptions'!O$56)</f>
        <v>1.2166622853109228</v>
      </c>
    </row>
    <row r="145" spans="1:11" x14ac:dyDescent="0.25">
      <c r="A145" t="str">
        <f ca="1">OFFSET(Wellington_Reference,56,2)</f>
        <v>Local Ferry</v>
      </c>
      <c r="B145" s="4">
        <f ca="1">B167*'Total Duration Tables Sup #1'!B145*(1+'Other Assumptions'!D$56)</f>
        <v>0</v>
      </c>
      <c r="C145" s="4">
        <f ca="1">C167*'Total Duration Tables Sup #1'!C145*(1+'Other Assumptions'!G$56)</f>
        <v>0</v>
      </c>
      <c r="D145" s="4">
        <f ca="1">D167*'Total Duration Tables Sup #1'!D145*(1+'Other Assumptions'!H$56)</f>
        <v>0</v>
      </c>
      <c r="E145" s="4">
        <f ca="1">E167*'Total Duration Tables Sup #1'!E145*(1+'Other Assumptions'!I$56)</f>
        <v>0</v>
      </c>
      <c r="F145" s="4">
        <f ca="1">F167*'Total Duration Tables Sup #1'!F145*(1+'Other Assumptions'!J$56)</f>
        <v>0</v>
      </c>
      <c r="G145" s="4">
        <f ca="1">G167*'Total Duration Tables Sup #1'!G145*(1+'Other Assumptions'!K$56)</f>
        <v>0</v>
      </c>
      <c r="H145" s="4">
        <f ca="1">H167*'Total Duration Tables Sup #1'!H145*(1+'Other Assumptions'!L$56)</f>
        <v>0</v>
      </c>
      <c r="I145" s="4">
        <f ca="1">I167*'Total Duration Tables Sup #1'!I145*(1+'Other Assumptions'!M$56)</f>
        <v>0</v>
      </c>
      <c r="J145" s="4">
        <f ca="1">J167*'Total Duration Tables Sup #1'!J145*(1+'Other Assumptions'!N$56)</f>
        <v>0</v>
      </c>
      <c r="K145" s="4">
        <f ca="1">K167*'Total Duration Tables Sup #1'!K145*(1+'Other Assumptions'!O$56)</f>
        <v>0</v>
      </c>
    </row>
    <row r="146" spans="1:11" x14ac:dyDescent="0.25">
      <c r="A146" t="str">
        <f ca="1">OFFSET(Otago_Reference,49,2)</f>
        <v>Other Household Travel</v>
      </c>
      <c r="B146" s="4">
        <f ca="1">B168*'Total Duration Tables Sup #1'!B146*(1+'Other Assumptions'!D$56)</f>
        <v>0.25154479130000001</v>
      </c>
      <c r="C146" s="4">
        <f ca="1">C168*'Total Duration Tables Sup #1'!C146*(1+'Other Assumptions'!G$56)</f>
        <v>0.27500366053292674</v>
      </c>
      <c r="D146" s="4">
        <f ca="1">D168*'Total Duration Tables Sup #1'!D146*(1+'Other Assumptions'!H$56)</f>
        <v>0.28895587291255392</v>
      </c>
      <c r="E146" s="4">
        <f ca="1">E168*'Total Duration Tables Sup #1'!E146*(1+'Other Assumptions'!I$56)</f>
        <v>0.29381637681155925</v>
      </c>
      <c r="F146" s="4">
        <f ca="1">F168*'Total Duration Tables Sup #1'!F146*(1+'Other Assumptions'!J$56)</f>
        <v>0.29648170259750217</v>
      </c>
      <c r="G146" s="4">
        <f ca="1">G168*'Total Duration Tables Sup #1'!G146*(1+'Other Assumptions'!K$56)</f>
        <v>0.30024799676069125</v>
      </c>
      <c r="H146" s="4">
        <f ca="1">H168*'Total Duration Tables Sup #1'!H146*(1+'Other Assumptions'!L$56)</f>
        <v>0.30181261241204488</v>
      </c>
      <c r="I146" s="4">
        <f ca="1">I168*'Total Duration Tables Sup #1'!I146*(1+'Other Assumptions'!M$56)</f>
        <v>0.3034835499491646</v>
      </c>
      <c r="J146" s="4">
        <f ca="1">J168*'Total Duration Tables Sup #1'!J146*(1+'Other Assumptions'!N$56)</f>
        <v>0.30420880344666051</v>
      </c>
      <c r="K146" s="4">
        <f ca="1">K168*'Total Duration Tables Sup #1'!K146*(1+'Other Assumptions'!O$56)</f>
        <v>0.30429722370607254</v>
      </c>
    </row>
    <row r="147" spans="1:11" x14ac:dyDescent="0.25">
      <c r="A147" t="str">
        <f ca="1">OFFSET(Southland_Reference,0,0)</f>
        <v>15 SOUTHLAND</v>
      </c>
    </row>
    <row r="148" spans="1:11" x14ac:dyDescent="0.25">
      <c r="A148" t="str">
        <f ca="1">OFFSET(Southland_Reference,0,2)</f>
        <v>Pedestrian</v>
      </c>
      <c r="B148" s="4">
        <f ca="1">B159*'Total Duration Tables Sup #1'!B148*(1+'Other Assumptions'!D$57)*(1+'Active Mode Assumptions'!B11)</f>
        <v>2.2528617661000001</v>
      </c>
      <c r="C148" s="4">
        <f ca="1">C159*'Total Duration Tables Sup #1'!C148*(1+'Other Assumptions'!G$57)*(1+'Active Mode Assumptions'!C11)</f>
        <v>2.2877919688681216</v>
      </c>
      <c r="D148" s="4">
        <f ca="1">D159*'Total Duration Tables Sup #1'!D148*(1+'Other Assumptions'!H$57)*(1+'Active Mode Assumptions'!D11)</f>
        <v>2.4003233309697869</v>
      </c>
      <c r="E148" s="4">
        <f ca="1">E159*'Total Duration Tables Sup #1'!E148*(1+'Other Assumptions'!I$57)*(1+'Active Mode Assumptions'!E11)</f>
        <v>2.488617799970767</v>
      </c>
      <c r="F148" s="4">
        <f ca="1">F159*'Total Duration Tables Sup #1'!F148*(1+'Other Assumptions'!J$57)*(1+'Active Mode Assumptions'!F11)</f>
        <v>2.5501657488084453</v>
      </c>
      <c r="G148" s="4">
        <f ca="1">G159*'Total Duration Tables Sup #1'!G148*(1+'Other Assumptions'!K$57)*(1+'Active Mode Assumptions'!G11)</f>
        <v>2.5955082835052106</v>
      </c>
      <c r="H148" s="4">
        <f ca="1">H159*'Total Duration Tables Sup #1'!H148*(1+'Other Assumptions'!L$57)*(1+'Active Mode Assumptions'!H11)</f>
        <v>2.6258743437423777</v>
      </c>
      <c r="I148" s="4">
        <f ca="1">I159*'Total Duration Tables Sup #1'!I148*(1+'Other Assumptions'!M$57)*(1+'Active Mode Assumptions'!I11)</f>
        <v>2.5886499407395598</v>
      </c>
      <c r="J148" s="4">
        <f ca="1">J159*'Total Duration Tables Sup #1'!J148*(1+'Other Assumptions'!N$57)*(1+'Active Mode Assumptions'!J11)</f>
        <v>2.5438557702312825</v>
      </c>
      <c r="K148" s="4">
        <f ca="1">K159*'Total Duration Tables Sup #1'!K148*(1+'Other Assumptions'!O$57)*(1+'Active Mode Assumptions'!K11)</f>
        <v>2.494489270157914</v>
      </c>
    </row>
    <row r="149" spans="1:11" x14ac:dyDescent="0.25">
      <c r="A149" t="str">
        <f ca="1">OFFSET(Southland_Reference,7,2)</f>
        <v>Cyclist</v>
      </c>
      <c r="B149" s="4">
        <f ca="1">B160*'Total Duration Tables Sup #1'!B149*(1+'Other Assumptions'!D$57)*(1+'Active Mode Assumptions'!B20)</f>
        <v>0.50294231479999996</v>
      </c>
      <c r="C149" s="4">
        <f ca="1">C160*'Total Duration Tables Sup #1'!C149*(1+'Other Assumptions'!G$57)*(1+'Active Mode Assumptions'!C20)</f>
        <v>0.5239578197903374</v>
      </c>
      <c r="D149" s="4">
        <f ca="1">D160*'Total Duration Tables Sup #1'!D149*(1+'Other Assumptions'!H$57)*(1+'Active Mode Assumptions'!D20)</f>
        <v>0.73347714860454194</v>
      </c>
      <c r="E149" s="4">
        <f ca="1">E160*'Total Duration Tables Sup #1'!E149*(1+'Other Assumptions'!I$57)*(1+'Active Mode Assumptions'!E20)</f>
        <v>0.92979105754680424</v>
      </c>
      <c r="F149" s="4">
        <f ca="1">F160*'Total Duration Tables Sup #1'!F149*(1+'Other Assumptions'!J$57)*(1+'Active Mode Assumptions'!F20)</f>
        <v>1.1293212539744713</v>
      </c>
      <c r="G149" s="4">
        <f ca="1">G160*'Total Duration Tables Sup #1'!G149*(1+'Other Assumptions'!K$57)*(1+'Active Mode Assumptions'!G20)</f>
        <v>1.3386861031612132</v>
      </c>
      <c r="H149" s="4">
        <f ca="1">H160*'Total Duration Tables Sup #1'!H149*(1+'Other Assumptions'!L$57)*(1+'Active Mode Assumptions'!H20)</f>
        <v>1.549116109981141</v>
      </c>
      <c r="I149" s="4">
        <f ca="1">I160*'Total Duration Tables Sup #1'!I149*(1+'Other Assumptions'!M$57)*(1+'Active Mode Assumptions'!I20)</f>
        <v>1.5344308357283323</v>
      </c>
      <c r="J149" s="4">
        <f ca="1">J160*'Total Duration Tables Sup #1'!J149*(1+'Other Assumptions'!N$57)*(1+'Active Mode Assumptions'!J20)</f>
        <v>1.5151320568594799</v>
      </c>
      <c r="K149" s="4">
        <f ca="1">K160*'Total Duration Tables Sup #1'!K149*(1+'Other Assumptions'!O$57)*(1+'Active Mode Assumptions'!K20)</f>
        <v>1.492942886337834</v>
      </c>
    </row>
    <row r="150" spans="1:11" x14ac:dyDescent="0.25">
      <c r="A150" t="str">
        <f ca="1">OFFSET(Southland_Reference,14,2)</f>
        <v>Light Vehicle Driver</v>
      </c>
      <c r="B150" s="4">
        <f ca="1">B161*'Total Duration Tables Sup #1'!B150*(1+'Other Assumptions'!D$57)-(B148*'Active Mode Assumptions'!B11*'Active Mode Assumptions'!B14/(1+'Active Mode Assumptions'!B11))-(B149*'Active Mode Assumptions'!B20*'Active Mode Assumptions'!B23/(1+'Active Mode Assumptions'!B20))</f>
        <v>14.603785903</v>
      </c>
      <c r="C150" s="4">
        <f ca="1">C161*'Total Duration Tables Sup #1'!C150*(1+'Other Assumptions'!G$57)-(C148*'Active Mode Assumptions'!C11*'Active Mode Assumptions'!C14/(1+'Active Mode Assumptions'!C11))-(C149*'Active Mode Assumptions'!C20*'Active Mode Assumptions'!C23/(1+'Active Mode Assumptions'!C20))</f>
        <v>15.337847427761009</v>
      </c>
      <c r="D150" s="4">
        <f ca="1">D161*'Total Duration Tables Sup #1'!D150*(1+'Other Assumptions'!H$57)-(D148*'Active Mode Assumptions'!D11*'Active Mode Assumptions'!D14/(1+'Active Mode Assumptions'!D11))-(D149*'Active Mode Assumptions'!D20*'Active Mode Assumptions'!D23/(1+'Active Mode Assumptions'!D20))</f>
        <v>15.395783892277587</v>
      </c>
      <c r="E150" s="4">
        <f ca="1">E161*'Total Duration Tables Sup #1'!E150*(1+'Other Assumptions'!I$57)-(E148*'Active Mode Assumptions'!E11*'Active Mode Assumptions'!E14/(1+'Active Mode Assumptions'!E11))-(E149*'Active Mode Assumptions'!E20*'Active Mode Assumptions'!E23/(1+'Active Mode Assumptions'!E20))</f>
        <v>15.445190402210851</v>
      </c>
      <c r="F150" s="4">
        <f ca="1">F161*'Total Duration Tables Sup #1'!F150*(1+'Other Assumptions'!J$57)-(F148*'Active Mode Assumptions'!F11*'Active Mode Assumptions'!F14/(1+'Active Mode Assumptions'!F11))-(F149*'Active Mode Assumptions'!F20*'Active Mode Assumptions'!F23/(1+'Active Mode Assumptions'!F20))</f>
        <v>15.425505346316429</v>
      </c>
      <c r="G150" s="4">
        <f ca="1">G161*'Total Duration Tables Sup #1'!G150*(1+'Other Assumptions'!K$57)-(G148*'Active Mode Assumptions'!G11*'Active Mode Assumptions'!G14/(1+'Active Mode Assumptions'!G11))-(G149*'Active Mode Assumptions'!G20*'Active Mode Assumptions'!G23/(1+'Active Mode Assumptions'!G20))</f>
        <v>15.241674930568319</v>
      </c>
      <c r="H150" s="4">
        <f ca="1">H161*'Total Duration Tables Sup #1'!H150*(1+'Other Assumptions'!L$57)-(H148*'Active Mode Assumptions'!H11*'Active Mode Assumptions'!H14/(1+'Active Mode Assumptions'!H11))-(H149*'Active Mode Assumptions'!H20*'Active Mode Assumptions'!H23/(1+'Active Mode Assumptions'!H20))</f>
        <v>14.985764135853261</v>
      </c>
      <c r="I150" s="4">
        <f ca="1">I161*'Total Duration Tables Sup #1'!I150*(1+'Other Assumptions'!M$57)-(I148*'Active Mode Assumptions'!I11*'Active Mode Assumptions'!I14/(1+'Active Mode Assumptions'!I11))-(I149*'Active Mode Assumptions'!I20*'Active Mode Assumptions'!I23/(1+'Active Mode Assumptions'!I20))</f>
        <v>14.765896875198299</v>
      </c>
      <c r="J150" s="4">
        <f ca="1">J161*'Total Duration Tables Sup #1'!J150*(1+'Other Assumptions'!N$57)-(J148*'Active Mode Assumptions'!J11*'Active Mode Assumptions'!J14/(1+'Active Mode Assumptions'!J11))-(J149*'Active Mode Assumptions'!J20*'Active Mode Assumptions'!J23/(1+'Active Mode Assumptions'!J20))</f>
        <v>14.503104282218166</v>
      </c>
      <c r="K150" s="4">
        <f ca="1">K161*'Total Duration Tables Sup #1'!K150*(1+'Other Assumptions'!O$57)-(K148*'Active Mode Assumptions'!K11*'Active Mode Assumptions'!K14/(1+'Active Mode Assumptions'!K11))-(K149*'Active Mode Assumptions'!K20*'Active Mode Assumptions'!K23/(1+'Active Mode Assumptions'!K20))</f>
        <v>14.214538999869752</v>
      </c>
    </row>
    <row r="151" spans="1:11" x14ac:dyDescent="0.25">
      <c r="A151" t="str">
        <f ca="1">OFFSET(Southland_Reference,21,2)</f>
        <v>Light Vehicle Passenger</v>
      </c>
      <c r="B151" s="4">
        <f ca="1">B162*'Total Duration Tables Sup #1'!B151*(1+'Other Assumptions'!D$57)-(B148*'Active Mode Assumptions'!B11*'Active Mode Assumptions'!B15/(1+'Active Mode Assumptions'!B11))-(B149*'Active Mode Assumptions'!B20*'Active Mode Assumptions'!B24/(1+'Active Mode Assumptions'!B20))</f>
        <v>7.5859087797999996</v>
      </c>
      <c r="C151" s="4">
        <f ca="1">C162*'Total Duration Tables Sup #1'!C151*(1+'Other Assumptions'!G$57)-(C148*'Active Mode Assumptions'!C11*'Active Mode Assumptions'!C15/(1+'Active Mode Assumptions'!C11))-(C149*'Active Mode Assumptions'!C20*'Active Mode Assumptions'!C24/(1+'Active Mode Assumptions'!C20))</f>
        <v>7.6354555152538417</v>
      </c>
      <c r="D151" s="4">
        <f ca="1">D162*'Total Duration Tables Sup #1'!D151*(1+'Other Assumptions'!H$57)-(D148*'Active Mode Assumptions'!D11*'Active Mode Assumptions'!D15/(1+'Active Mode Assumptions'!D11))-(D149*'Active Mode Assumptions'!D20*'Active Mode Assumptions'!D24/(1+'Active Mode Assumptions'!D20))</f>
        <v>7.4410122569486497</v>
      </c>
      <c r="E151" s="4">
        <f ca="1">E162*'Total Duration Tables Sup #1'!E151*(1+'Other Assumptions'!I$57)-(E148*'Active Mode Assumptions'!E11*'Active Mode Assumptions'!E15/(1+'Active Mode Assumptions'!E11))-(E149*'Active Mode Assumptions'!E20*'Active Mode Assumptions'!E24/(1+'Active Mode Assumptions'!E20))</f>
        <v>7.2472419974480129</v>
      </c>
      <c r="F151" s="4">
        <f ca="1">F162*'Total Duration Tables Sup #1'!F151*(1+'Other Assumptions'!J$57)-(F148*'Active Mode Assumptions'!F11*'Active Mode Assumptions'!F15/(1+'Active Mode Assumptions'!F11))-(F149*'Active Mode Assumptions'!F20*'Active Mode Assumptions'!F24/(1+'Active Mode Assumptions'!F20))</f>
        <v>7.0177706736790624</v>
      </c>
      <c r="G151" s="4">
        <f ca="1">G162*'Total Duration Tables Sup #1'!G151*(1+'Other Assumptions'!K$57)-(G148*'Active Mode Assumptions'!G11*'Active Mode Assumptions'!G15/(1+'Active Mode Assumptions'!G11))-(G149*'Active Mode Assumptions'!G20*'Active Mode Assumptions'!G24/(1+'Active Mode Assumptions'!G20))</f>
        <v>6.7471613518676623</v>
      </c>
      <c r="H151" s="4">
        <f ca="1">H162*'Total Duration Tables Sup #1'!H151*(1+'Other Assumptions'!L$57)-(H148*'Active Mode Assumptions'!H11*'Active Mode Assumptions'!H15/(1+'Active Mode Assumptions'!H11))-(H149*'Active Mode Assumptions'!H20*'Active Mode Assumptions'!H24/(1+'Active Mode Assumptions'!H20))</f>
        <v>6.4507494549155622</v>
      </c>
      <c r="I151" s="4">
        <f ca="1">I162*'Total Duration Tables Sup #1'!I151*(1+'Other Assumptions'!M$57)-(I148*'Active Mode Assumptions'!I11*'Active Mode Assumptions'!I15/(1+'Active Mode Assumptions'!I11))-(I149*'Active Mode Assumptions'!I20*'Active Mode Assumptions'!I24/(1+'Active Mode Assumptions'!I20))</f>
        <v>6.3620136622709662</v>
      </c>
      <c r="J151" s="4">
        <f ca="1">J162*'Total Duration Tables Sup #1'!J151*(1+'Other Assumptions'!N$57)-(J148*'Active Mode Assumptions'!J11*'Active Mode Assumptions'!J15/(1+'Active Mode Assumptions'!J11))-(J149*'Active Mode Assumptions'!J20*'Active Mode Assumptions'!J24/(1+'Active Mode Assumptions'!J20))</f>
        <v>6.2545537926467487</v>
      </c>
      <c r="K151" s="4">
        <f ca="1">K162*'Total Duration Tables Sup #1'!K151*(1+'Other Assumptions'!O$57)-(K148*'Active Mode Assumptions'!K11*'Active Mode Assumptions'!K15/(1+'Active Mode Assumptions'!K11))-(K149*'Active Mode Assumptions'!K20*'Active Mode Assumptions'!K24/(1+'Active Mode Assumptions'!K20))</f>
        <v>6.1357217644333701</v>
      </c>
    </row>
    <row r="152" spans="1:11" x14ac:dyDescent="0.25">
      <c r="A152" t="str">
        <f ca="1">OFFSET(Southland_Reference,28,2)</f>
        <v>Taxi/Vehicle Share</v>
      </c>
      <c r="B152" s="4">
        <f ca="1">B163*'Total Duration Tables Sup #1'!B152*(1+'Other Assumptions'!D$57)</f>
        <v>6.6688903300000005E-2</v>
      </c>
      <c r="C152" s="4">
        <f ca="1">C163*'Total Duration Tables Sup #1'!C152*(1+'Other Assumptions'!G$57)</f>
        <v>7.2791744450034154E-2</v>
      </c>
      <c r="D152" s="4">
        <f ca="1">D163*'Total Duration Tables Sup #1'!D152*(1+'Other Assumptions'!H$57)</f>
        <v>7.6555286244838205E-2</v>
      </c>
      <c r="E152" s="4">
        <f ca="1">E163*'Total Duration Tables Sup #1'!E152*(1+'Other Assumptions'!I$57)</f>
        <v>7.9445598441249446E-2</v>
      </c>
      <c r="F152" s="4">
        <f ca="1">F163*'Total Duration Tables Sup #1'!F152*(1+'Other Assumptions'!J$57)</f>
        <v>8.1365160516845475E-2</v>
      </c>
      <c r="G152" s="4">
        <f ca="1">G163*'Total Duration Tables Sup #1'!G152*(1+'Other Assumptions'!K$57)</f>
        <v>8.1675007546261086E-2</v>
      </c>
      <c r="H152" s="4">
        <f ca="1">H163*'Total Duration Tables Sup #1'!H152*(1+'Other Assumptions'!L$57)</f>
        <v>8.1567962285784168E-2</v>
      </c>
      <c r="I152" s="4">
        <f ca="1">I163*'Total Duration Tables Sup #1'!I152*(1+'Other Assumptions'!M$57)</f>
        <v>8.0235947445521011E-2</v>
      </c>
      <c r="J152" s="4">
        <f ca="1">J163*'Total Duration Tables Sup #1'!J152*(1+'Other Assumptions'!N$57)</f>
        <v>7.8675511662748485E-2</v>
      </c>
      <c r="K152" s="4">
        <f ca="1">K163*'Total Duration Tables Sup #1'!K152*(1+'Other Assumptions'!O$57)</f>
        <v>7.6980786698772244E-2</v>
      </c>
    </row>
    <row r="153" spans="1:11" x14ac:dyDescent="0.25">
      <c r="A153" t="str">
        <f ca="1">OFFSET(Southland_Reference,35,2)</f>
        <v>Motorcyclist</v>
      </c>
      <c r="B153" s="4">
        <f ca="1">B164*'Total Duration Tables Sup #1'!B153*(1+'Other Assumptions'!D$57)</f>
        <v>0.2609239458</v>
      </c>
      <c r="C153" s="4">
        <f ca="1">C164*'Total Duration Tables Sup #1'!C153*(1+'Other Assumptions'!G$57)</f>
        <v>0.27149328796246108</v>
      </c>
      <c r="D153" s="4">
        <f ca="1">D164*'Total Duration Tables Sup #1'!D153*(1+'Other Assumptions'!H$57)</f>
        <v>0.27223264233607747</v>
      </c>
      <c r="E153" s="4">
        <f ca="1">E164*'Total Duration Tables Sup #1'!E153*(1+'Other Assumptions'!I$57)</f>
        <v>0.27100940467545048</v>
      </c>
      <c r="F153" s="4">
        <f ca="1">F164*'Total Duration Tables Sup #1'!F153*(1+'Other Assumptions'!J$57)</f>
        <v>0.26865217835919497</v>
      </c>
      <c r="G153" s="4">
        <f ca="1">G164*'Total Duration Tables Sup #1'!G153*(1+'Other Assumptions'!K$57)</f>
        <v>0.26232574484012233</v>
      </c>
      <c r="H153" s="4">
        <f ca="1">H164*'Total Duration Tables Sup #1'!H153*(1+'Other Assumptions'!L$57)</f>
        <v>0.25472992624358365</v>
      </c>
      <c r="I153" s="4">
        <f ca="1">I164*'Total Duration Tables Sup #1'!I153*(1+'Other Assumptions'!M$57)</f>
        <v>0.25231108810885161</v>
      </c>
      <c r="J153" s="4">
        <f ca="1">J164*'Total Duration Tables Sup #1'!J153*(1+'Other Assumptions'!N$57)</f>
        <v>0.24912122992273616</v>
      </c>
      <c r="K153" s="4">
        <f ca="1">K164*'Total Duration Tables Sup #1'!K153*(1+'Other Assumptions'!O$57)</f>
        <v>0.24544400361084306</v>
      </c>
    </row>
    <row r="154" spans="1:11" x14ac:dyDescent="0.25">
      <c r="A154" t="str">
        <f ca="1">OFFSET(Canterbury_Reference,42,2)</f>
        <v>Local Train</v>
      </c>
      <c r="B154" s="4">
        <f ca="1">B165*'Total Duration Tables Sup #1'!B154*(1+'Other Assumptions'!D$57)</f>
        <v>0</v>
      </c>
      <c r="C154" s="4">
        <f ca="1">C165*'Total Duration Tables Sup #1'!C154*(1+'Other Assumptions'!G$57)</f>
        <v>0</v>
      </c>
      <c r="D154" s="4">
        <f ca="1">D165*'Total Duration Tables Sup #1'!D154*(1+'Other Assumptions'!H$57)</f>
        <v>0</v>
      </c>
      <c r="E154" s="4">
        <f ca="1">E165*'Total Duration Tables Sup #1'!E154*(1+'Other Assumptions'!I$57)</f>
        <v>0</v>
      </c>
      <c r="F154" s="4">
        <f ca="1">F165*'Total Duration Tables Sup #1'!F154*(1+'Other Assumptions'!J$57)</f>
        <v>0</v>
      </c>
      <c r="G154" s="4">
        <f ca="1">G165*'Total Duration Tables Sup #1'!G154*(1+'Other Assumptions'!K$57)</f>
        <v>0</v>
      </c>
      <c r="H154" s="4">
        <f ca="1">H165*'Total Duration Tables Sup #1'!H154*(1+'Other Assumptions'!L$57)</f>
        <v>0</v>
      </c>
      <c r="I154" s="4">
        <f ca="1">I165*'Total Duration Tables Sup #1'!I154*(1+'Other Assumptions'!M$57)</f>
        <v>0</v>
      </c>
      <c r="J154" s="4">
        <f ca="1">J165*'Total Duration Tables Sup #1'!J154*(1+'Other Assumptions'!N$57)</f>
        <v>0</v>
      </c>
      <c r="K154" s="4">
        <f ca="1">K165*'Total Duration Tables Sup #1'!K154*(1+'Other Assumptions'!O$57)</f>
        <v>0</v>
      </c>
    </row>
    <row r="155" spans="1:11" x14ac:dyDescent="0.25">
      <c r="A155" t="str">
        <f ca="1">OFFSET(Southland_Reference,42,2)</f>
        <v>Local Bus</v>
      </c>
      <c r="B155" s="4">
        <f ca="1">B166*'Total Duration Tables Sup #1'!B155*(1+'Other Assumptions'!D$57)</f>
        <v>1.2152660816</v>
      </c>
      <c r="C155" s="4">
        <f ca="1">C166*'Total Duration Tables Sup #1'!C155*(1+'Other Assumptions'!G$57)</f>
        <v>1.1491084399491214</v>
      </c>
      <c r="D155" s="4">
        <f ca="1">D166*'Total Duration Tables Sup #1'!D155*(1+'Other Assumptions'!H$57)</f>
        <v>1.0879627442108371</v>
      </c>
      <c r="E155" s="4">
        <f ca="1">E166*'Total Duration Tables Sup #1'!E155*(1+'Other Assumptions'!I$57)</f>
        <v>1.0447410008223201</v>
      </c>
      <c r="F155" s="4">
        <f ca="1">F166*'Total Duration Tables Sup #1'!F155*(1+'Other Assumptions'!J$57)</f>
        <v>0.99159769542653031</v>
      </c>
      <c r="G155" s="4">
        <f ca="1">G166*'Total Duration Tables Sup #1'!G155*(1+'Other Assumptions'!K$57)</f>
        <v>0.94671506299444863</v>
      </c>
      <c r="H155" s="4">
        <f ca="1">H166*'Total Duration Tables Sup #1'!H155*(1+'Other Assumptions'!L$57)</f>
        <v>0.90013891194638995</v>
      </c>
      <c r="I155" s="4">
        <f ca="1">I166*'Total Duration Tables Sup #1'!I155*(1+'Other Assumptions'!M$57)</f>
        <v>0.88909093378852244</v>
      </c>
      <c r="J155" s="4">
        <f ca="1">J166*'Total Duration Tables Sup #1'!J155*(1+'Other Assumptions'!N$57)</f>
        <v>0.87538717391320431</v>
      </c>
      <c r="K155" s="4">
        <f ca="1">K166*'Total Duration Tables Sup #1'!K155*(1+'Other Assumptions'!O$57)</f>
        <v>0.86004615775179016</v>
      </c>
    </row>
    <row r="156" spans="1:11" x14ac:dyDescent="0.25">
      <c r="A156" t="str">
        <f ca="1">OFFSET(Wellington_Reference,56,2)</f>
        <v>Local Ferry</v>
      </c>
      <c r="B156" s="4">
        <f ca="1">B167*'Total Duration Tables Sup #1'!B156*(1+'Other Assumptions'!D$57)</f>
        <v>0</v>
      </c>
      <c r="C156" s="4">
        <f ca="1">C167*'Total Duration Tables Sup #1'!C156*(1+'Other Assumptions'!G$57)</f>
        <v>0</v>
      </c>
      <c r="D156" s="4">
        <f ca="1">D167*'Total Duration Tables Sup #1'!D156*(1+'Other Assumptions'!H$57)</f>
        <v>0</v>
      </c>
      <c r="E156" s="4">
        <f ca="1">E167*'Total Duration Tables Sup #1'!E156*(1+'Other Assumptions'!I$57)</f>
        <v>0</v>
      </c>
      <c r="F156" s="4">
        <f ca="1">F167*'Total Duration Tables Sup #1'!F156*(1+'Other Assumptions'!J$57)</f>
        <v>0</v>
      </c>
      <c r="G156" s="4">
        <f ca="1">G167*'Total Duration Tables Sup #1'!G156*(1+'Other Assumptions'!K$57)</f>
        <v>0</v>
      </c>
      <c r="H156" s="4">
        <f ca="1">H167*'Total Duration Tables Sup #1'!H156*(1+'Other Assumptions'!L$57)</f>
        <v>0</v>
      </c>
      <c r="I156" s="4">
        <f ca="1">I167*'Total Duration Tables Sup #1'!I156*(1+'Other Assumptions'!M$57)</f>
        <v>0</v>
      </c>
      <c r="J156" s="4">
        <f ca="1">J167*'Total Duration Tables Sup #1'!J156*(1+'Other Assumptions'!N$57)</f>
        <v>0</v>
      </c>
      <c r="K156" s="4">
        <f ca="1">K167*'Total Duration Tables Sup #1'!K156*(1+'Other Assumptions'!O$57)</f>
        <v>0</v>
      </c>
    </row>
    <row r="157" spans="1:11" x14ac:dyDescent="0.25">
      <c r="A157" t="str">
        <f ca="1">OFFSET(Southland_Reference,49,2)</f>
        <v>Other Household Travel</v>
      </c>
      <c r="B157" s="4">
        <f ca="1">B168*'Total Duration Tables Sup #1'!B157*(1+'Other Assumptions'!D$57)</f>
        <v>8.5162673699999997E-2</v>
      </c>
      <c r="C157" s="4">
        <f ca="1">C168*'Total Duration Tables Sup #1'!C157*(1+'Other Assumptions'!G$57)</f>
        <v>8.8965050459982958E-2</v>
      </c>
      <c r="D157" s="4">
        <f ca="1">D168*'Total Duration Tables Sup #1'!D157*(1+'Other Assumptions'!H$57)</f>
        <v>9.0249918921123801E-2</v>
      </c>
      <c r="E157" s="4">
        <f ca="1">E168*'Total Duration Tables Sup #1'!E157*(1+'Other Assumptions'!I$57)</f>
        <v>8.9680376628196806E-2</v>
      </c>
      <c r="F157" s="4">
        <f ca="1">F168*'Total Duration Tables Sup #1'!F157*(1+'Other Assumptions'!J$57)</f>
        <v>8.845296133240671E-2</v>
      </c>
      <c r="G157" s="4">
        <f ca="1">G168*'Total Duration Tables Sup #1'!G157*(1+'Other Assumptions'!K$57)</f>
        <v>8.7491950127891197E-2</v>
      </c>
      <c r="H157" s="4">
        <f ca="1">H168*'Total Duration Tables Sup #1'!H157*(1+'Other Assumptions'!L$57)</f>
        <v>8.591247306964489E-2</v>
      </c>
      <c r="I157" s="4">
        <f ca="1">I168*'Total Duration Tables Sup #1'!I157*(1+'Other Assumptions'!M$57)</f>
        <v>8.4388807487831494E-2</v>
      </c>
      <c r="J157" s="4">
        <f ca="1">J168*'Total Duration Tables Sup #1'!J157*(1+'Other Assumptions'!N$57)</f>
        <v>8.2632773598963732E-2</v>
      </c>
      <c r="K157" s="4">
        <f ca="1">K168*'Total Duration Tables Sup #1'!K157*(1+'Other Assumptions'!O$57)</f>
        <v>8.0743840149869642E-2</v>
      </c>
    </row>
    <row r="158" spans="1:11" x14ac:dyDescent="0.25">
      <c r="A158" t="s">
        <v>18</v>
      </c>
    </row>
    <row r="159" spans="1:11" x14ac:dyDescent="0.25">
      <c r="A159" t="str">
        <f ca="1">'Total Duration Tables'!A16</f>
        <v>Pedestrian</v>
      </c>
      <c r="B159" s="58">
        <f ca="1">('Total Duration Tables Sup #1'!B170*'Updated Population'!B$158)/('Total Duration Tables Sup #1'!B159*1000000)</f>
        <v>1</v>
      </c>
      <c r="C159" s="58">
        <f ca="1">('Total Duration Tables Sup #1'!C170*'Updated Population'!C$158)/('Total Duration Tables Sup #1'!C159*1000000)</f>
        <v>0.99897851590614273</v>
      </c>
      <c r="D159" s="58">
        <f ca="1">('Total Duration Tables Sup #1'!D170*'Updated Population'!D$158)/('Total Duration Tables Sup #1'!D159*1000000)</f>
        <v>0.99789718688732332</v>
      </c>
      <c r="E159" s="58">
        <f ca="1">('Total Duration Tables Sup #1'!E170*'Updated Population'!E$158)/('Total Duration Tables Sup #1'!E159*1000000)</f>
        <v>0.99707506913592658</v>
      </c>
      <c r="F159" s="58">
        <f ca="1">('Total Duration Tables Sup #1'!F170*'Updated Population'!F$158)/('Total Duration Tables Sup #1'!F159*1000000)</f>
        <v>0.99621613471996773</v>
      </c>
      <c r="G159" s="58">
        <f ca="1">('Total Duration Tables Sup #1'!G170*'Updated Population'!G$158)/('Total Duration Tables Sup #1'!G159*1000000)</f>
        <v>0.99536268019601681</v>
      </c>
      <c r="H159" s="58">
        <f ca="1">('Total Duration Tables Sup #1'!H170*'Updated Population'!H$158)/('Total Duration Tables Sup #1'!H159*1000000)</f>
        <v>0.99456504763334541</v>
      </c>
      <c r="I159" s="58">
        <f ca="1">('Total Duration Tables Sup #1'!I170*'Updated Population'!I$158)/('Total Duration Tables Sup #1'!I159*1000000)</f>
        <v>0.9937783473729066</v>
      </c>
      <c r="J159" s="58">
        <f ca="1">('Total Duration Tables Sup #1'!J170*'Updated Population'!J$158)/('Total Duration Tables Sup #1'!J159*1000000)</f>
        <v>0.99300235849569651</v>
      </c>
      <c r="K159" s="58">
        <f ca="1">('Total Duration Tables Sup #1'!K170*'Updated Population'!K$158)/('Total Duration Tables Sup #1'!K159*1000000)</f>
        <v>0.99223686402678957</v>
      </c>
    </row>
    <row r="160" spans="1:11" x14ac:dyDescent="0.25">
      <c r="A160" t="str">
        <f ca="1">'Total Duration Tables'!A17</f>
        <v>Cyclist</v>
      </c>
      <c r="B160" s="58">
        <f ca="1">('Total Duration Tables Sup #1'!B171*'Updated Population'!B$158)/('Total Duration Tables Sup #1'!B160*1000000)</f>
        <v>1</v>
      </c>
      <c r="C160" s="58">
        <f ca="1">('Total Duration Tables Sup #1'!C171*'Updated Population'!C$158)/('Total Duration Tables Sup #1'!C160*1000000)</f>
        <v>1.0063119032162662</v>
      </c>
      <c r="D160" s="58">
        <f ca="1">('Total Duration Tables Sup #1'!D171*'Updated Population'!D$158)/('Total Duration Tables Sup #1'!D160*1000000)</f>
        <v>1.0118861512920152</v>
      </c>
      <c r="E160" s="58">
        <f ca="1">('Total Duration Tables Sup #1'!E171*'Updated Population'!E$158)/('Total Duration Tables Sup #1'!E160*1000000)</f>
        <v>1.0169734054852622</v>
      </c>
      <c r="F160" s="58">
        <f ca="1">('Total Duration Tables Sup #1'!F171*'Updated Population'!F$158)/('Total Duration Tables Sup #1'!F160*1000000)</f>
        <v>1.0215305124123331</v>
      </c>
      <c r="G160" s="58">
        <f ca="1">('Total Duration Tables Sup #1'!G171*'Updated Population'!G$158)/('Total Duration Tables Sup #1'!G160*1000000)</f>
        <v>1.0256587364430529</v>
      </c>
      <c r="H160" s="58">
        <f ca="1">('Total Duration Tables Sup #1'!H171*'Updated Population'!H$158)/('Total Duration Tables Sup #1'!H160*1000000)</f>
        <v>1.0296702178393233</v>
      </c>
      <c r="I160" s="58">
        <f ca="1">('Total Duration Tables Sup #1'!I171*'Updated Population'!I$158)/('Total Duration Tables Sup #1'!I160*1000000)</f>
        <v>1.0337569690830777</v>
      </c>
      <c r="J160" s="58">
        <f ca="1">('Total Duration Tables Sup #1'!J171*'Updated Population'!J$158)/('Total Duration Tables Sup #1'!J160*1000000)</f>
        <v>1.0379183996965475</v>
      </c>
      <c r="K160" s="58">
        <f ca="1">('Total Duration Tables Sup #1'!K171*'Updated Population'!K$158)/('Total Duration Tables Sup #1'!K160*1000000)</f>
        <v>1.0421538565581245</v>
      </c>
    </row>
    <row r="161" spans="1:11" x14ac:dyDescent="0.25">
      <c r="A161" t="str">
        <f ca="1">'Total Duration Tables'!A18</f>
        <v>Light Vehicle Driver</v>
      </c>
      <c r="B161" s="58">
        <f ca="1">('Total Duration Tables Sup #1'!B172*'Updated Population'!B$158)/('Total Duration Tables Sup #1'!B161*1000000)</f>
        <v>1</v>
      </c>
      <c r="C161" s="58">
        <f ca="1">('Total Duration Tables Sup #1'!C172*'Updated Population'!C$158)/('Total Duration Tables Sup #1'!C161*1000000)</f>
        <v>0.99774603662624195</v>
      </c>
      <c r="D161" s="58">
        <f ca="1">('Total Duration Tables Sup #1'!D172*'Updated Population'!D$158)/('Total Duration Tables Sup #1'!D161*1000000)</f>
        <v>0.99604698708786599</v>
      </c>
      <c r="E161" s="58">
        <f ca="1">('Total Duration Tables Sup #1'!E172*'Updated Population'!E$158)/('Total Duration Tables Sup #1'!E161*1000000)</f>
        <v>0.99471168694111567</v>
      </c>
      <c r="F161" s="58">
        <f ca="1">('Total Duration Tables Sup #1'!F172*'Updated Population'!F$158)/('Total Duration Tables Sup #1'!F161*1000000)</f>
        <v>0.99342728744128594</v>
      </c>
      <c r="G161" s="58">
        <f ca="1">('Total Duration Tables Sup #1'!G172*'Updated Population'!G$158)/('Total Duration Tables Sup #1'!G161*1000000)</f>
        <v>0.99219131328991728</v>
      </c>
      <c r="H161" s="58">
        <f ca="1">('Total Duration Tables Sup #1'!H172*'Updated Population'!H$158)/('Total Duration Tables Sup #1'!H161*1000000)</f>
        <v>0.99098853356272742</v>
      </c>
      <c r="I161" s="58">
        <f ca="1">('Total Duration Tables Sup #1'!I172*'Updated Population'!I$158)/('Total Duration Tables Sup #1'!I161*1000000)</f>
        <v>0.98979907835218406</v>
      </c>
      <c r="J161" s="58">
        <f ca="1">('Total Duration Tables Sup #1'!J172*'Updated Population'!J$158)/('Total Duration Tables Sup #1'!J161*1000000)</f>
        <v>0.98862326916807119</v>
      </c>
      <c r="K161" s="58">
        <f ca="1">('Total Duration Tables Sup #1'!K172*'Updated Population'!K$158)/('Total Duration Tables Sup #1'!K161*1000000)</f>
        <v>0.98746140953352979</v>
      </c>
    </row>
    <row r="162" spans="1:11" x14ac:dyDescent="0.25">
      <c r="A162" t="str">
        <f ca="1">'Total Duration Tables'!A19</f>
        <v>Light Vehicle Passenger</v>
      </c>
      <c r="B162" s="58">
        <f ca="1">('Total Duration Tables Sup #1'!B173*'Updated Population'!B$158)/('Total Duration Tables Sup #1'!B162*1000000)</f>
        <v>1</v>
      </c>
      <c r="C162" s="58">
        <f ca="1">('Total Duration Tables Sup #1'!C173*'Updated Population'!C$158)/('Total Duration Tables Sup #1'!C162*1000000)</f>
        <v>0.99967287194978205</v>
      </c>
      <c r="D162" s="58">
        <f ca="1">('Total Duration Tables Sup #1'!D173*'Updated Population'!D$158)/('Total Duration Tables Sup #1'!D162*1000000)</f>
        <v>0.99941206126111892</v>
      </c>
      <c r="E162" s="58">
        <f ca="1">('Total Duration Tables Sup #1'!E173*'Updated Population'!E$158)/('Total Duration Tables Sup #1'!E162*1000000)</f>
        <v>0.99918348242113142</v>
      </c>
      <c r="F162" s="58">
        <f ca="1">('Total Duration Tables Sup #1'!F173*'Updated Population'!F$158)/('Total Duration Tables Sup #1'!F162*1000000)</f>
        <v>0.99896462449318302</v>
      </c>
      <c r="G162" s="58">
        <f ca="1">('Total Duration Tables Sup #1'!G173*'Updated Population'!G$158)/('Total Duration Tables Sup #1'!G162*1000000)</f>
        <v>0.99875059949978306</v>
      </c>
      <c r="H162" s="58">
        <f ca="1">('Total Duration Tables Sup #1'!H173*'Updated Population'!H$158)/('Total Duration Tables Sup #1'!H162*1000000)</f>
        <v>0.99853204802290252</v>
      </c>
      <c r="I162" s="58">
        <f ca="1">('Total Duration Tables Sup #1'!I173*'Updated Population'!I$158)/('Total Duration Tables Sup #1'!I162*1000000)</f>
        <v>0.99832088718575429</v>
      </c>
      <c r="J162" s="58">
        <f ca="1">('Total Duration Tables Sup #1'!J173*'Updated Population'!J$158)/('Total Duration Tables Sup #1'!J162*1000000)</f>
        <v>0.99811702868505048</v>
      </c>
      <c r="K162" s="58">
        <f ca="1">('Total Duration Tables Sup #1'!K173*'Updated Population'!K$158)/('Total Duration Tables Sup #1'!K162*1000000)</f>
        <v>0.99792037738384864</v>
      </c>
    </row>
    <row r="163" spans="1:11" x14ac:dyDescent="0.25">
      <c r="A163" t="str">
        <f ca="1">'Total Duration Tables'!A20</f>
        <v>Taxi/Vehicle Share</v>
      </c>
      <c r="B163" s="58">
        <f ca="1">('Total Duration Tables Sup #1'!B174*'Updated Population'!B$158)/('Total Duration Tables Sup #1'!B163*1000000)</f>
        <v>1</v>
      </c>
      <c r="C163" s="58">
        <f ca="1">('Total Duration Tables Sup #1'!C174*'Updated Population'!C$158)/('Total Duration Tables Sup #1'!C163*1000000)</f>
        <v>0.99525838939732636</v>
      </c>
      <c r="D163" s="58">
        <f ca="1">('Total Duration Tables Sup #1'!D174*'Updated Population'!D$158)/('Total Duration Tables Sup #1'!D163*1000000)</f>
        <v>0.99107759849948385</v>
      </c>
      <c r="E163" s="58">
        <f ca="1">('Total Duration Tables Sup #1'!E174*'Updated Population'!E$158)/('Total Duration Tables Sup #1'!E163*1000000)</f>
        <v>0.98804768985914659</v>
      </c>
      <c r="F163" s="58">
        <f ca="1">('Total Duration Tables Sup #1'!F174*'Updated Population'!F$158)/('Total Duration Tables Sup #1'!F163*1000000)</f>
        <v>0.98498768678081228</v>
      </c>
      <c r="G163" s="58">
        <f ca="1">('Total Duration Tables Sup #1'!G174*'Updated Population'!G$158)/('Total Duration Tables Sup #1'!G163*1000000)</f>
        <v>0.98196373894287903</v>
      </c>
      <c r="H163" s="58">
        <f ca="1">('Total Duration Tables Sup #1'!H174*'Updated Population'!H$158)/('Total Duration Tables Sup #1'!H163*1000000)</f>
        <v>0.97903133263185294</v>
      </c>
      <c r="I163" s="58">
        <f ca="1">('Total Duration Tables Sup #1'!I174*'Updated Population'!I$158)/('Total Duration Tables Sup #1'!I163*1000000)</f>
        <v>0.97611933468427448</v>
      </c>
      <c r="J163" s="58">
        <f ca="1">('Total Duration Tables Sup #1'!J174*'Updated Population'!J$158)/('Total Duration Tables Sup #1'!J163*1000000)</f>
        <v>0.97322912462298938</v>
      </c>
      <c r="K163" s="58">
        <f ca="1">('Total Duration Tables Sup #1'!K174*'Updated Population'!K$158)/('Total Duration Tables Sup #1'!K163*1000000)</f>
        <v>0.9703620164685608</v>
      </c>
    </row>
    <row r="164" spans="1:11" x14ac:dyDescent="0.25">
      <c r="A164" t="str">
        <f ca="1">'Total Duration Tables'!A21</f>
        <v>Motorcyclist</v>
      </c>
      <c r="B164" s="58">
        <f ca="1">('Total Duration Tables Sup #1'!B175*'Updated Population'!B$158)/('Total Duration Tables Sup #1'!B164*1000000)</f>
        <v>1</v>
      </c>
      <c r="C164" s="58">
        <f ca="1">('Total Duration Tables Sup #1'!C175*'Updated Population'!C$158)/('Total Duration Tables Sup #1'!C164*1000000)</f>
        <v>1.0071094695019125</v>
      </c>
      <c r="D164" s="58">
        <f ca="1">('Total Duration Tables Sup #1'!D175*'Updated Population'!D$158)/('Total Duration Tables Sup #1'!D164*1000000)</f>
        <v>1.0127347390684818</v>
      </c>
      <c r="E164" s="58">
        <f ca="1">('Total Duration Tables Sup #1'!E175*'Updated Population'!E$158)/('Total Duration Tables Sup #1'!E164*1000000)</f>
        <v>1.0169788092103436</v>
      </c>
      <c r="F164" s="58">
        <f ca="1">('Total Duration Tables Sup #1'!F175*'Updated Population'!F$158)/('Total Duration Tables Sup #1'!F164*1000000)</f>
        <v>1.0210991913747383</v>
      </c>
      <c r="G164" s="58">
        <f ca="1">('Total Duration Tables Sup #1'!G175*'Updated Population'!G$158)/('Total Duration Tables Sup #1'!G164*1000000)</f>
        <v>1.0251261659055351</v>
      </c>
      <c r="H164" s="58">
        <f ca="1">('Total Duration Tables Sup #1'!H175*'Updated Population'!H$158)/('Total Duration Tables Sup #1'!H164*1000000)</f>
        <v>1.0291694745339464</v>
      </c>
      <c r="I164" s="58">
        <f ca="1">('Total Duration Tables Sup #1'!I175*'Updated Population'!I$158)/('Total Duration Tables Sup #1'!I164*1000000)</f>
        <v>1.0332376310636744</v>
      </c>
      <c r="J164" s="58">
        <f ca="1">('Total Duration Tables Sup #1'!J175*'Updated Population'!J$158)/('Total Duration Tables Sup #1'!J164*1000000)</f>
        <v>1.037328258407278</v>
      </c>
      <c r="K164" s="58">
        <f ca="1">('Total Duration Tables Sup #1'!K175*'Updated Population'!K$158)/('Total Duration Tables Sup #1'!K164*1000000)</f>
        <v>1.0414389544977232</v>
      </c>
    </row>
    <row r="165" spans="1:11" x14ac:dyDescent="0.25">
      <c r="A165" t="str">
        <f ca="1">'Total Duration Tables'!A22</f>
        <v>Local Train</v>
      </c>
      <c r="B165" s="58">
        <f ca="1">('Total Duration Tables Sup #1'!B176*'Updated Population'!B$158)/('Total Duration Tables Sup #1'!B165*1000000)</f>
        <v>1</v>
      </c>
      <c r="C165" s="58">
        <f ca="1">('Total Duration Tables Sup #1'!C176*'Updated Population'!C$158)/('Total Duration Tables Sup #1'!C165*1000000)</f>
        <v>1.0265940606597859</v>
      </c>
      <c r="D165" s="58">
        <f ca="1">('Total Duration Tables Sup #1'!D176*'Updated Population'!D$158)/('Total Duration Tables Sup #1'!D165*1000000)</f>
        <v>1.0422788545098118</v>
      </c>
      <c r="E165" s="58">
        <f ca="1">('Total Duration Tables Sup #1'!E176*'Updated Population'!E$158)/('Total Duration Tables Sup #1'!E165*1000000)</f>
        <v>1.0459194565744785</v>
      </c>
      <c r="F165" s="58">
        <f ca="1">('Total Duration Tables Sup #1'!F176*'Updated Population'!F$158)/('Total Duration Tables Sup #1'!F165*1000000)</f>
        <v>1.0480526049570056</v>
      </c>
      <c r="G165" s="58">
        <f ca="1">('Total Duration Tables Sup #1'!G176*'Updated Population'!G$158)/('Total Duration Tables Sup #1'!G165*1000000)</f>
        <v>1.0492125268250101</v>
      </c>
      <c r="H165" s="58">
        <f ca="1">('Total Duration Tables Sup #1'!H176*'Updated Population'!H$158)/('Total Duration Tables Sup #1'!H165*1000000)</f>
        <v>1.0503121231467687</v>
      </c>
      <c r="I165" s="58">
        <f ca="1">('Total Duration Tables Sup #1'!I176*'Updated Population'!I$158)/('Total Duration Tables Sup #1'!I165*1000000)</f>
        <v>1.0494675598441847</v>
      </c>
      <c r="J165" s="58">
        <f ca="1">('Total Duration Tables Sup #1'!J176*'Updated Population'!J$158)/('Total Duration Tables Sup #1'!J165*1000000)</f>
        <v>1.0486337157178833</v>
      </c>
      <c r="K165" s="58">
        <f ca="1">('Total Duration Tables Sup #1'!K176*'Updated Population'!K$158)/('Total Duration Tables Sup #1'!K165*1000000)</f>
        <v>1.0478078765745622</v>
      </c>
    </row>
    <row r="166" spans="1:11" x14ac:dyDescent="0.25">
      <c r="A166" t="str">
        <f ca="1">'Total Duration Tables'!A23</f>
        <v>Local Bus</v>
      </c>
      <c r="B166" s="58">
        <f ca="1">('Total Duration Tables Sup #1'!B177*'Updated Population'!B$169)/('Total Duration Tables Sup #1'!B166*1000000)</f>
        <v>1</v>
      </c>
      <c r="C166" s="58">
        <f ca="1">('Total Duration Tables Sup #1'!C177*'Updated Population'!C$169)/('Total Duration Tables Sup #1'!C166*1000000)</f>
        <v>1.0013663556812342</v>
      </c>
      <c r="D166" s="58">
        <f ca="1">('Total Duration Tables Sup #1'!D177*'Updated Population'!D$169)/('Total Duration Tables Sup #1'!D166*1000000)</f>
        <v>1.0024964552146409</v>
      </c>
      <c r="E166" s="58">
        <f ca="1">('Total Duration Tables Sup #1'!E177*'Updated Population'!E$169)/('Total Duration Tables Sup #1'!E166*1000000)</f>
        <v>1.0035077236437322</v>
      </c>
      <c r="F166" s="58">
        <f ca="1">('Total Duration Tables Sup #1'!F177*'Updated Population'!F$169)/('Total Duration Tables Sup #1'!F166*1000000)</f>
        <v>1.0045367655876656</v>
      </c>
      <c r="G166" s="58">
        <f ca="1">('Total Duration Tables Sup #1'!G177*'Updated Population'!G$169)/('Total Duration Tables Sup #1'!G166*1000000)</f>
        <v>1.0056289209294778</v>
      </c>
      <c r="H166" s="58">
        <f ca="1">('Total Duration Tables Sup #1'!H177*'Updated Population'!H$169)/('Total Duration Tables Sup #1'!H166*1000000)</f>
        <v>1.0067677243703306</v>
      </c>
      <c r="I166" s="58">
        <f ca="1">('Total Duration Tables Sup #1'!I177*'Updated Population'!I$169)/('Total Duration Tables Sup #1'!I166*1000000)</f>
        <v>1.007912616904924</v>
      </c>
      <c r="J166" s="58">
        <f ca="1">('Total Duration Tables Sup #1'!J177*'Updated Population'!J$169)/('Total Duration Tables Sup #1'!J166*1000000)</f>
        <v>1.0090634372863332</v>
      </c>
      <c r="K166" s="58">
        <f ca="1">('Total Duration Tables Sup #1'!K177*'Updated Population'!K$169)/('Total Duration Tables Sup #1'!K166*1000000)</f>
        <v>1.0102200255393914</v>
      </c>
    </row>
    <row r="167" spans="1:11" x14ac:dyDescent="0.25">
      <c r="A167" t="str">
        <f ca="1">'Total Duration Tables'!A24</f>
        <v>Local Ferry</v>
      </c>
      <c r="B167" s="58">
        <f ca="1">('Total Duration Tables Sup #1'!B178*'Updated Population'!B$158)/('Total Duration Tables Sup #1'!B167*1000000)</f>
        <v>0.99999999999999978</v>
      </c>
      <c r="C167" s="58">
        <f ca="1">('Total Duration Tables Sup #1'!C178*'Updated Population'!C$158)/('Total Duration Tables Sup #1'!C167*1000000)</f>
        <v>0.96866586945524569</v>
      </c>
      <c r="D167" s="58">
        <f ca="1">('Total Duration Tables Sup #1'!D178*'Updated Population'!D$158)/('Total Duration Tables Sup #1'!D167*1000000)</f>
        <v>0.94442123794926114</v>
      </c>
      <c r="E167" s="58">
        <f ca="1">('Total Duration Tables Sup #1'!E178*'Updated Population'!E$158)/('Total Duration Tables Sup #1'!E167*1000000)</f>
        <v>0.92585551371667874</v>
      </c>
      <c r="F167" s="58">
        <f ca="1">('Total Duration Tables Sup #1'!F178*'Updated Population'!F$158)/('Total Duration Tables Sup #1'!F167*1000000)</f>
        <v>0.90907524476806212</v>
      </c>
      <c r="G167" s="58">
        <f ca="1">('Total Duration Tables Sup #1'!G178*'Updated Population'!G$158)/('Total Duration Tables Sup #1'!G167*1000000)</f>
        <v>0.89384676015670805</v>
      </c>
      <c r="H167" s="58">
        <f ca="1">('Total Duration Tables Sup #1'!H178*'Updated Population'!H$158)/('Total Duration Tables Sup #1'!H167*1000000)</f>
        <v>0.87957812815794478</v>
      </c>
      <c r="I167" s="58">
        <f ca="1">('Total Duration Tables Sup #1'!I178*'Updated Population'!I$158)/('Total Duration Tables Sup #1'!I167*1000000)</f>
        <v>0.86574007800396002</v>
      </c>
      <c r="J167" s="58">
        <f ca="1">('Total Duration Tables Sup #1'!J178*'Updated Population'!J$158)/('Total Duration Tables Sup #1'!J167*1000000)</f>
        <v>0.85231968330405816</v>
      </c>
      <c r="K167" s="58">
        <f ca="1">('Total Duration Tables Sup #1'!K178*'Updated Population'!K$158)/('Total Duration Tables Sup #1'!K167*1000000)</f>
        <v>0.83930434629778161</v>
      </c>
    </row>
    <row r="168" spans="1:11" x14ac:dyDescent="0.25">
      <c r="A168" t="str">
        <f ca="1">'Total Duration Tables'!A25</f>
        <v>Other Household Travel</v>
      </c>
      <c r="B168" s="58">
        <f ca="1">('Total Duration Tables Sup #1'!B179*'Updated Population'!B$158)/('Total Duration Tables Sup #1'!B168*1000000)</f>
        <v>1</v>
      </c>
      <c r="C168" s="58">
        <f ca="1">('Total Duration Tables Sup #1'!C179*'Updated Population'!C$158)/('Total Duration Tables Sup #1'!C168*1000000)</f>
        <v>0.99086367721009272</v>
      </c>
      <c r="D168" s="58">
        <f ca="1">('Total Duration Tables Sup #1'!D179*'Updated Population'!D$158)/('Total Duration Tables Sup #1'!D168*1000000)</f>
        <v>0.98392809128908121</v>
      </c>
      <c r="E168" s="58">
        <f ca="1">('Total Duration Tables Sup #1'!E179*'Updated Population'!E$158)/('Total Duration Tables Sup #1'!E168*1000000)</f>
        <v>0.9787646914122855</v>
      </c>
      <c r="F168" s="58">
        <f ca="1">('Total Duration Tables Sup #1'!F179*'Updated Population'!F$158)/('Total Duration Tables Sup #1'!F168*1000000)</f>
        <v>0.97389628513800852</v>
      </c>
      <c r="G168" s="58">
        <f ca="1">('Total Duration Tables Sup #1'!G179*'Updated Population'!G$158)/('Total Duration Tables Sup #1'!G168*1000000)</f>
        <v>0.96932347982347566</v>
      </c>
      <c r="H168" s="58">
        <f ca="1">('Total Duration Tables Sup #1'!H179*'Updated Population'!H$158)/('Total Duration Tables Sup #1'!H168*1000000)</f>
        <v>0.96500882129265242</v>
      </c>
      <c r="I168" s="58">
        <f ca="1">('Total Duration Tables Sup #1'!I179*'Updated Population'!I$158)/('Total Duration Tables Sup #1'!I168*1000000)</f>
        <v>0.9607643156712119</v>
      </c>
      <c r="J168" s="58">
        <f ca="1">('Total Duration Tables Sup #1'!J179*'Updated Population'!J$158)/('Total Duration Tables Sup #1'!J168*1000000)</f>
        <v>0.95659021853769921</v>
      </c>
      <c r="K168" s="58">
        <f ca="1">('Total Duration Tables Sup #1'!K179*'Updated Population'!K$158)/('Total Duration Tables Sup #1'!K168*1000000)</f>
        <v>0.95248671771368931</v>
      </c>
    </row>
    <row r="169" spans="1:11" x14ac:dyDescent="0.25">
      <c r="A169" t="s">
        <v>67</v>
      </c>
    </row>
    <row r="170" spans="1:11" x14ac:dyDescent="0.25">
      <c r="A170" t="s">
        <v>34</v>
      </c>
      <c r="B170" s="4">
        <f>'[1]Transition '!B$40</f>
        <v>0</v>
      </c>
      <c r="C170" s="4">
        <f>'[1]Transition '!C$40</f>
        <v>5.0749186565425477</v>
      </c>
      <c r="D170" s="4">
        <f>'[1]Transition '!D$40</f>
        <v>16.23381290769316</v>
      </c>
      <c r="E170" s="4">
        <f>'[1]Transition '!E$40</f>
        <v>27.438308738315701</v>
      </c>
      <c r="F170" s="4">
        <f>'[1]Transition '!F$40</f>
        <v>32.940162329693052</v>
      </c>
      <c r="G170" s="4">
        <f>'[1]Transition '!G$40</f>
        <v>38.51776049307044</v>
      </c>
      <c r="H170" s="4">
        <f>'[1]Transition '!H$40</f>
        <v>44.145758385105552</v>
      </c>
      <c r="I170" s="1">
        <f>'[1]Transition '!I$40</f>
        <v>49.727215937492161</v>
      </c>
      <c r="J170" s="1">
        <f>'[1]Transition '!J$40</f>
        <v>55.702384820338949</v>
      </c>
      <c r="K170" s="1">
        <f>'[1]Transition '!K$40</f>
        <v>62.367904211211012</v>
      </c>
    </row>
    <row r="171" spans="1:11" x14ac:dyDescent="0.25">
      <c r="A171" t="s">
        <v>41</v>
      </c>
      <c r="B171" s="4">
        <f>'[2]Transition '!B$40</f>
        <v>0</v>
      </c>
      <c r="C171" s="4">
        <f>'[2]Transition '!C$40</f>
        <v>6.3557504535590503E-2</v>
      </c>
      <c r="D171" s="4">
        <f>'[2]Transition '!D$40</f>
        <v>0.58507581978432821</v>
      </c>
      <c r="E171" s="4">
        <f>'[2]Transition '!E$40</f>
        <v>1.0423738284840027</v>
      </c>
      <c r="F171" s="4">
        <f>'[2]Transition '!F$40</f>
        <v>1.4745261290924159</v>
      </c>
      <c r="G171" s="4">
        <f>'[2]Transition '!G$40</f>
        <v>1.9007844067922921</v>
      </c>
      <c r="H171" s="4">
        <f>'[2]Transition '!H$40</f>
        <v>2.3641732846539263</v>
      </c>
      <c r="I171" s="1">
        <f>'[2]Transition '!I$40</f>
        <v>2.9101782097085138</v>
      </c>
      <c r="J171" s="1">
        <f>'[2]Transition '!J$40</f>
        <v>3.5118924877581694</v>
      </c>
      <c r="K171" s="1">
        <f>'[2]Transition '!K$40</f>
        <v>4.1669990052605765</v>
      </c>
    </row>
    <row r="172" spans="1:11" x14ac:dyDescent="0.25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5">
      <c r="A173" t="s">
        <v>34</v>
      </c>
      <c r="B173" s="4">
        <f>'[1]Transition '!B$43</f>
        <v>0</v>
      </c>
      <c r="C173" s="4">
        <f>'[1]Transition '!C$43</f>
        <v>0.18151910476814237</v>
      </c>
      <c r="D173" s="4">
        <f>'[1]Transition '!D$43</f>
        <v>7.8104173676279487</v>
      </c>
      <c r="E173" s="4">
        <f>'[1]Transition '!E$43</f>
        <v>15.185404176046603</v>
      </c>
      <c r="F173" s="4">
        <f>'[1]Transition '!F$43</f>
        <v>19.593230290737221</v>
      </c>
      <c r="G173" s="4">
        <f>'[1]Transition '!G$43</f>
        <v>24.006309636254777</v>
      </c>
      <c r="H173" s="4">
        <f>'[1]Transition '!H$43</f>
        <v>28.596589241456901</v>
      </c>
      <c r="I173" s="1">
        <f>'[1]Transition '!I$43</f>
        <v>32.745234426743714</v>
      </c>
      <c r="J173" s="1">
        <f>'[1]Transition '!J$43</f>
        <v>37.231685264280401</v>
      </c>
      <c r="K173" s="1">
        <f>'[1]Transition '!K$43</f>
        <v>42.253770569481119</v>
      </c>
    </row>
    <row r="174" spans="1:11" x14ac:dyDescent="0.25">
      <c r="A174" t="s">
        <v>41</v>
      </c>
      <c r="B174" s="4">
        <f>'[2]Transition '!B$43</f>
        <v>0</v>
      </c>
      <c r="C174" s="4">
        <f>'[2]Transition '!C$43</f>
        <v>1.3301984160015934E-2</v>
      </c>
      <c r="D174" s="4">
        <f>'[2]Transition '!D$43</f>
        <v>0.90116684100100208</v>
      </c>
      <c r="E174" s="4">
        <f>'[2]Transition '!E$43</f>
        <v>1.4983319546275489</v>
      </c>
      <c r="F174" s="4">
        <f>'[2]Transition '!F$43</f>
        <v>1.7423870906884495</v>
      </c>
      <c r="G174" s="4">
        <f>'[2]Transition '!G$43</f>
        <v>2.031746403488766</v>
      </c>
      <c r="H174" s="4">
        <f>'[2]Transition '!H$43</f>
        <v>2.3672212982516001</v>
      </c>
      <c r="I174" s="1">
        <f>'[2]Transition '!I$43</f>
        <v>2.5950077802134857</v>
      </c>
      <c r="J174" s="1">
        <f>'[2]Transition '!J$43</f>
        <v>2.8574948872089223</v>
      </c>
      <c r="K174" s="1">
        <f>'[2]Transition '!K$43</f>
        <v>3.1466888765694669</v>
      </c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0" spans="2:8" x14ac:dyDescent="0.25">
      <c r="B180" s="4"/>
      <c r="C180" s="4"/>
      <c r="D180" s="4"/>
      <c r="E180" s="4"/>
      <c r="F180" s="4"/>
      <c r="G180" s="4"/>
      <c r="H180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  <row r="191" spans="2:8" x14ac:dyDescent="0.25">
      <c r="B191" s="4"/>
      <c r="C191" s="4"/>
      <c r="D191" s="4"/>
      <c r="E191" s="4"/>
      <c r="F191" s="4"/>
      <c r="G191" s="4"/>
      <c r="H191" s="4"/>
    </row>
    <row r="193" spans="2:8" x14ac:dyDescent="0.25">
      <c r="B193" s="4"/>
      <c r="C193" s="4"/>
      <c r="D193" s="4"/>
      <c r="E193" s="4"/>
      <c r="F193" s="4"/>
      <c r="G193" s="4"/>
      <c r="H193" s="4"/>
    </row>
    <row r="194" spans="2:8" x14ac:dyDescent="0.25">
      <c r="B194" s="4"/>
      <c r="C194" s="4"/>
      <c r="D194" s="4"/>
      <c r="E194" s="4"/>
      <c r="F194" s="4"/>
      <c r="G194" s="4"/>
      <c r="H194" s="4"/>
    </row>
    <row r="195" spans="2:8" x14ac:dyDescent="0.25">
      <c r="B195" s="4"/>
      <c r="C195" s="4"/>
      <c r="D195" s="4"/>
      <c r="E195" s="4"/>
      <c r="F195" s="4"/>
      <c r="G195" s="4"/>
      <c r="H195" s="4"/>
    </row>
    <row r="196" spans="2:8" x14ac:dyDescent="0.25">
      <c r="B196" s="4"/>
      <c r="C196" s="4"/>
      <c r="D196" s="4"/>
      <c r="E196" s="4"/>
      <c r="F196" s="4"/>
      <c r="G196" s="4"/>
      <c r="H196" s="4"/>
    </row>
    <row r="197" spans="2:8" x14ac:dyDescent="0.25">
      <c r="B197" s="4"/>
      <c r="C197" s="4"/>
      <c r="D197" s="4"/>
      <c r="E197" s="4"/>
      <c r="F197" s="4"/>
      <c r="G197" s="4"/>
      <c r="H197" s="4"/>
    </row>
    <row r="198" spans="2:8" x14ac:dyDescent="0.25">
      <c r="B198" s="4"/>
      <c r="C198" s="4"/>
      <c r="D198" s="4"/>
      <c r="E198" s="4"/>
      <c r="F198" s="4"/>
      <c r="G198" s="4"/>
      <c r="H198" s="4"/>
    </row>
    <row r="199" spans="2:8" x14ac:dyDescent="0.25">
      <c r="B199" s="4"/>
      <c r="C199" s="4"/>
      <c r="D199" s="4"/>
      <c r="E199" s="4"/>
      <c r="F199" s="4"/>
      <c r="G199" s="4"/>
      <c r="H199" s="4"/>
    </row>
    <row r="200" spans="2:8" x14ac:dyDescent="0.25">
      <c r="B200" s="4"/>
      <c r="C200" s="4"/>
      <c r="D200" s="4"/>
      <c r="E200" s="4"/>
      <c r="F200" s="4"/>
      <c r="G200" s="4"/>
      <c r="H200" s="4"/>
    </row>
    <row r="201" spans="2:8" x14ac:dyDescent="0.25">
      <c r="B201" s="4"/>
      <c r="C201" s="4"/>
      <c r="D201" s="4"/>
      <c r="E201" s="4"/>
      <c r="F201" s="4"/>
      <c r="G201" s="4"/>
      <c r="H201" s="4"/>
    </row>
    <row r="202" spans="2:8" x14ac:dyDescent="0.25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H170" sqref="H170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59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$B5*('Updated Population'!C$4/'Updated Population'!$B$4)*('Total Duration Tables Sup #1'!C170/'Total Duration Tables Sup #1'!$B170)</f>
        <v>5.3404371825453039</v>
      </c>
      <c r="D5" s="4">
        <f ca="1">$B5*('Updated Population'!D$4/'Updated Population'!$B$4)*('Total Duration Tables Sup #1'!D170/'Total Duration Tables Sup #1'!$B170)</f>
        <v>5.4585238823956876</v>
      </c>
      <c r="E5" s="4">
        <f ca="1">$B5*('Updated Population'!E$4/'Updated Population'!$B$4)*('Total Duration Tables Sup #1'!E170/'Total Duration Tables Sup #1'!$B170)</f>
        <v>5.4881348666476057</v>
      </c>
      <c r="F5" s="4">
        <f ca="1">$B5*('Updated Population'!F$4/'Updated Population'!$B$4)*('Total Duration Tables Sup #1'!F170/'Total Duration Tables Sup #1'!$B170)</f>
        <v>5.4529853063074079</v>
      </c>
      <c r="G5" s="4">
        <f ca="1">$B5*('Updated Population'!G$4/'Updated Population'!$B$4)*('Total Duration Tables Sup #1'!G170/'Total Duration Tables Sup #1'!$B170)</f>
        <v>5.3894617564069875</v>
      </c>
      <c r="H5" s="4">
        <f ca="1">$B5*('Updated Population'!H$4/'Updated Population'!$B$4)*('Total Duration Tables Sup #1'!H170/'Total Duration Tables Sup #1'!$B170)</f>
        <v>5.3007253787583117</v>
      </c>
      <c r="I5" s="1">
        <f ca="1">$B5*('Updated Population'!I$4/'Updated Population'!$B$4)*('Total Duration Tables Sup #1'!I170/'Total Duration Tables Sup #1'!$B170)</f>
        <v>5.3258661653715809</v>
      </c>
      <c r="J5" s="1">
        <f ca="1">$B5*('Updated Population'!J$4/'Updated Population'!$B$4)*('Total Duration Tables Sup #1'!J170/'Total Duration Tables Sup #1'!$B170)</f>
        <v>5.3340926354170035</v>
      </c>
      <c r="K5" s="1">
        <f ca="1">$B5*('Updated Population'!K$4/'Updated Population'!$B$4)*('Total Duration Tables Sup #1'!K170/'Total Duration Tables Sup #1'!$B170)</f>
        <v>5.3308507961873346</v>
      </c>
    </row>
    <row r="6" spans="1:11" x14ac:dyDescent="0.25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$B6*('Updated Population'!C$4/'Updated Population'!$B$4)*('Total Duration Tables Sup #1'!C171/'Total Duration Tables Sup #1'!$B171)</f>
        <v>0.16895924358167896</v>
      </c>
      <c r="D6" s="4">
        <f ca="1">$B6*('Updated Population'!D$4/'Updated Population'!$B$4)*('Total Duration Tables Sup #1'!D171/'Total Duration Tables Sup #1'!$B171)</f>
        <v>0.17331088653260471</v>
      </c>
      <c r="E6" s="4">
        <f ca="1">$B6*('Updated Population'!E$4/'Updated Population'!$B$4)*('Total Duration Tables Sup #1'!E171/'Total Duration Tables Sup #1'!$B171)</f>
        <v>0.17406743418925233</v>
      </c>
      <c r="F6" s="4">
        <f ca="1">$B6*('Updated Population'!F$4/'Updated Population'!$B$4)*('Total Duration Tables Sup #1'!F171/'Total Duration Tables Sup #1'!$B171)</f>
        <v>0.17577082330030547</v>
      </c>
      <c r="G6" s="4">
        <f ca="1">$B6*('Updated Population'!G$4/'Updated Population'!$B$4)*('Total Duration Tables Sup #1'!G171/'Total Duration Tables Sup #1'!$B171)</f>
        <v>0.1790318704344353</v>
      </c>
      <c r="H6" s="4">
        <f ca="1">$B6*('Updated Population'!H$4/'Updated Population'!$B$4)*('Total Duration Tables Sup #1'!H171/'Total Duration Tables Sup #1'!$B171)</f>
        <v>0.18213956112335228</v>
      </c>
      <c r="I6" s="1">
        <f ca="1">$B6*('Updated Population'!I$4/'Updated Population'!$B$4)*('Total Duration Tables Sup #1'!I171/'Total Duration Tables Sup #1'!$B171)</f>
        <v>0.18300343003049968</v>
      </c>
      <c r="J6" s="1">
        <f ca="1">$B6*('Updated Population'!J$4/'Updated Population'!$B$4)*('Total Duration Tables Sup #1'!J171/'Total Duration Tables Sup #1'!$B171)</f>
        <v>0.18328610184173375</v>
      </c>
      <c r="K6" s="1">
        <f ca="1">$B6*('Updated Population'!K$4/'Updated Population'!$B$4)*('Total Duration Tables Sup #1'!K171/'Total Duration Tables Sup #1'!$B171)</f>
        <v>0.18317470818665196</v>
      </c>
    </row>
    <row r="7" spans="1:11" x14ac:dyDescent="0.25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$B7*('Updated Population'!C$4/'Updated Population'!$B$4)*('Total Duration Tables Sup #1'!C172/'Total Duration Tables Sup #1'!$B172)</f>
        <v>25.510870248823323</v>
      </c>
      <c r="D7" s="4">
        <f ca="1">$B7*('Updated Population'!D$4/'Updated Population'!$B$4)*('Total Duration Tables Sup #1'!D172/'Total Duration Tables Sup #1'!$B172)</f>
        <v>26.60803447707832</v>
      </c>
      <c r="E7" s="4">
        <f ca="1">$B7*('Updated Population'!E$4/'Updated Population'!$B$4)*('Total Duration Tables Sup #1'!E172/'Total Duration Tables Sup #1'!$B172)</f>
        <v>27.512250156308049</v>
      </c>
      <c r="F7" s="4">
        <f ca="1">$B7*('Updated Population'!F$4/'Updated Population'!$B$4)*('Total Duration Tables Sup #1'!F172/'Total Duration Tables Sup #1'!$B172)</f>
        <v>28.228386100665887</v>
      </c>
      <c r="G7" s="4">
        <f ca="1">$B7*('Updated Population'!G$4/'Updated Population'!$B$4)*('Total Duration Tables Sup #1'!G172/'Total Duration Tables Sup #1'!$B172)</f>
        <v>28.626835163246447</v>
      </c>
      <c r="H7" s="4">
        <f ca="1">$B7*('Updated Population'!H$4/'Updated Population'!$B$4)*('Total Duration Tables Sup #1'!H172/'Total Duration Tables Sup #1'!$B172)</f>
        <v>28.855321094475418</v>
      </c>
      <c r="I7" s="1">
        <f ca="1">$B7*('Updated Population'!I$4/'Updated Population'!$B$4)*('Total Duration Tables Sup #1'!I172/'Total Duration Tables Sup #1'!$B172)</f>
        <v>28.992178867413561</v>
      </c>
      <c r="J7" s="1">
        <f ca="1">$B7*('Updated Population'!J$4/'Updated Population'!$B$4)*('Total Duration Tables Sup #1'!J172/'Total Duration Tables Sup #1'!$B172)</f>
        <v>29.036960933578694</v>
      </c>
      <c r="K7" s="1">
        <f ca="1">$B7*('Updated Population'!K$4/'Updated Population'!$B$4)*('Total Duration Tables Sup #1'!K172/'Total Duration Tables Sup #1'!$B172)</f>
        <v>29.019313478707019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$B8*('Updated Population'!C$4/'Updated Population'!$B$4)*('Total Duration Tables Sup #1'!C173/'Total Duration Tables Sup #1'!$B173)</f>
        <v>15.80964101311322</v>
      </c>
      <c r="D8" s="4">
        <f ca="1">$B8*('Updated Population'!D$4/'Updated Population'!$B$4)*('Total Duration Tables Sup #1'!D173/'Total Duration Tables Sup #1'!$B173)</f>
        <v>16.081418862867189</v>
      </c>
      <c r="E8" s="4">
        <f ca="1">$B8*('Updated Population'!E$4/'Updated Population'!$B$4)*('Total Duration Tables Sup #1'!E173/'Total Duration Tables Sup #1'!$B173)</f>
        <v>16.226931623782274</v>
      </c>
      <c r="F8" s="4">
        <f ca="1">$B8*('Updated Population'!F$4/'Updated Population'!$B$4)*('Total Duration Tables Sup #1'!F173/'Total Duration Tables Sup #1'!$B173)</f>
        <v>16.235133136152065</v>
      </c>
      <c r="G8" s="4">
        <f ca="1">$B8*('Updated Population'!G$4/'Updated Population'!$B$4)*('Total Duration Tables Sup #1'!G173/'Total Duration Tables Sup #1'!$B173)</f>
        <v>16.123196129132957</v>
      </c>
      <c r="H8" s="4">
        <f ca="1">$B8*('Updated Population'!H$4/'Updated Population'!$B$4)*('Total Duration Tables Sup #1'!H173/'Total Duration Tables Sup #1'!$B173)</f>
        <v>15.916796452984364</v>
      </c>
      <c r="I8" s="1">
        <f ca="1">$B8*('Updated Population'!I$4/'Updated Population'!$B$4)*('Total Duration Tables Sup #1'!I173/'Total Duration Tables Sup #1'!$B173)</f>
        <v>15.992288155458686</v>
      </c>
      <c r="J8" s="1">
        <f ca="1">$B8*('Updated Population'!J$4/'Updated Population'!$B$4)*('Total Duration Tables Sup #1'!J173/'Total Duration Tables Sup #1'!$B173)</f>
        <v>16.016990255621106</v>
      </c>
      <c r="K8" s="1">
        <f ca="1">$B8*('Updated Population'!K$4/'Updated Population'!$B$4)*('Total Duration Tables Sup #1'!K173/'Total Duration Tables Sup #1'!$B173)</f>
        <v>16.007255796379219</v>
      </c>
    </row>
    <row r="9" spans="1:11" x14ac:dyDescent="0.25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$B9*('Updated Population'!C$4/'Updated Population'!$B$4)*('Total Duration Tables Sup #1'!C174/'Total Duration Tables Sup #1'!$B174)</f>
        <v>2.8518992773269743E-2</v>
      </c>
      <c r="D9" s="4">
        <f ca="1">$B9*('Updated Population'!D$4/'Updated Population'!$B$4)*('Total Duration Tables Sup #1'!D174/'Total Duration Tables Sup #1'!$B174)</f>
        <v>3.1069633580544341E-2</v>
      </c>
      <c r="E9" s="4">
        <f ca="1">$B9*('Updated Population'!E$4/'Updated Population'!$B$4)*('Total Duration Tables Sup #1'!E174/'Total Duration Tables Sup #1'!$B174)</f>
        <v>3.311127166419113E-2</v>
      </c>
      <c r="F9" s="4">
        <f ca="1">$B9*('Updated Population'!F$4/'Updated Population'!$B$4)*('Total Duration Tables Sup #1'!F174/'Total Duration Tables Sup #1'!$B174)</f>
        <v>3.4720075132207817E-2</v>
      </c>
      <c r="G9" s="4">
        <f ca="1">$B9*('Updated Population'!G$4/'Updated Population'!$B$4)*('Total Duration Tables Sup #1'!G174/'Total Duration Tables Sup #1'!$B174)</f>
        <v>3.5644392797118868E-2</v>
      </c>
      <c r="H9" s="4">
        <f ca="1">$B9*('Updated Population'!H$4/'Updated Population'!$B$4)*('Total Duration Tables Sup #1'!H174/'Total Duration Tables Sup #1'!$B174)</f>
        <v>3.6360714304925622E-2</v>
      </c>
      <c r="I9" s="1">
        <f ca="1">$B9*('Updated Population'!I$4/'Updated Population'!$B$4)*('Total Duration Tables Sup #1'!I174/'Total Duration Tables Sup #1'!$B174)</f>
        <v>3.6533169373643079E-2</v>
      </c>
      <c r="J9" s="1">
        <f ca="1">$B9*('Updated Population'!J$4/'Updated Population'!$B$4)*('Total Duration Tables Sup #1'!J174/'Total Duration Tables Sup #1'!$B174)</f>
        <v>3.6589599447960516E-2</v>
      </c>
      <c r="K9" s="1">
        <f ca="1">$B9*('Updated Population'!K$4/'Updated Population'!$B$4)*('Total Duration Tables Sup #1'!K174/'Total Duration Tables Sup #1'!$B174)</f>
        <v>3.6567361814121783E-2</v>
      </c>
    </row>
    <row r="10" spans="1:11" x14ac:dyDescent="0.25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$B10*('Updated Population'!C$4/'Updated Population'!$B$4)*('Total Duration Tables Sup #1'!C175/'Total Duration Tables Sup #1'!$B175)</f>
        <v>0.30342004989506077</v>
      </c>
      <c r="D10" s="4">
        <f ca="1">$B10*('Updated Population'!D$4/'Updated Population'!$B$4)*('Total Duration Tables Sup #1'!D175/'Total Duration Tables Sup #1'!$B175)</f>
        <v>0.31209517353887511</v>
      </c>
      <c r="E10" s="4">
        <f ca="1">$B10*('Updated Population'!E$4/'Updated Population'!$B$4)*('Total Duration Tables Sup #1'!E175/'Total Duration Tables Sup #1'!$B175)</f>
        <v>0.31676000433750306</v>
      </c>
      <c r="F10" s="4">
        <f ca="1">$B10*('Updated Population'!F$4/'Updated Population'!$B$4)*('Total Duration Tables Sup #1'!F175/'Total Duration Tables Sup #1'!$B175)</f>
        <v>0.31920476167316963</v>
      </c>
      <c r="G10" s="4">
        <f ca="1">$B10*('Updated Population'!G$4/'Updated Population'!$B$4)*('Total Duration Tables Sup #1'!G175/'Total Duration Tables Sup #1'!$B175)</f>
        <v>0.31654469475260816</v>
      </c>
      <c r="H10" s="4">
        <f ca="1">$B10*('Updated Population'!H$4/'Updated Population'!$B$4)*('Total Duration Tables Sup #1'!H175/'Total Duration Tables Sup #1'!$B175)</f>
        <v>0.31180021673240554</v>
      </c>
      <c r="I10" s="1">
        <f ca="1">$B10*('Updated Population'!I$4/'Updated Population'!$B$4)*('Total Duration Tables Sup #1'!I175/'Total Duration Tables Sup #1'!$B175)</f>
        <v>0.31327905258122224</v>
      </c>
      <c r="J10" s="1">
        <f ca="1">$B10*('Updated Population'!J$4/'Updated Population'!$B$4)*('Total Duration Tables Sup #1'!J175/'Total Duration Tables Sup #1'!$B175)</f>
        <v>0.31376295147426514</v>
      </c>
      <c r="K10" s="1">
        <f ca="1">$B10*('Updated Population'!K$4/'Updated Population'!$B$4)*('Total Duration Tables Sup #1'!K175/'Total Duration Tables Sup #1'!$B175)</f>
        <v>0.31357225942700817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Duration Tables Sup #1'!C176/'Total Duration Tables Sup #1'!$B176)</f>
        <v>0</v>
      </c>
      <c r="D11" s="4">
        <f ca="1">$B11*('Updated Population'!D$4/'Updated Population'!$B$4)*('Total Duration Tables Sup #1'!D176/'Total Duration Tables Sup #1'!$B176)</f>
        <v>0</v>
      </c>
      <c r="E11" s="4">
        <f ca="1">$B11*('Updated Population'!E$4/'Updated Population'!$B$4)*('Total Duration Tables Sup #1'!E176/'Total Duration Tables Sup #1'!$B176)</f>
        <v>0</v>
      </c>
      <c r="F11" s="4">
        <f ca="1">$B11*('Updated Population'!F$4/'Updated Population'!$B$4)*('Total Duration Tables Sup #1'!F176/'Total Duration Tables Sup #1'!$B176)</f>
        <v>0</v>
      </c>
      <c r="G11" s="4">
        <f ca="1">$B11*('Updated Population'!G$4/'Updated Population'!$B$4)*('Total Duration Tables Sup #1'!G176/'Total Duration Tables Sup #1'!$B176)</f>
        <v>0</v>
      </c>
      <c r="H11" s="4">
        <f ca="1">$B11*('Updated Population'!H$4/'Updated Population'!$B$4)*('Total Duration Tables Sup #1'!H176/'Total Duration Tables Sup #1'!$B176)</f>
        <v>0</v>
      </c>
      <c r="I11" s="1">
        <f ca="1">$B11*('Updated Population'!I$4/'Updated Population'!$B$4)*('Total Duration Tables Sup #1'!I176/'Total Duration Tables Sup #1'!$B176)</f>
        <v>0</v>
      </c>
      <c r="J11" s="1">
        <f ca="1">$B11*('Updated Population'!J$4/'Updated Population'!$B$4)*('Total Duration Tables Sup #1'!J176/'Total Duration Tables Sup #1'!$B176)</f>
        <v>0</v>
      </c>
      <c r="K11" s="1">
        <f ca="1">$B11*('Updated Population'!K$4/'Updated Population'!$B$4)*('Total Duration Tables Sup #1'!K176/'Total Duration Tables Sup #1'!$B176)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$B12*('Updated Population'!C$4/'Updated Population'!$B$4)*('Total Duration Tables Sup #1'!C177/'Total Duration Tables Sup #1'!$B177)</f>
        <v>1.5331273182311491</v>
      </c>
      <c r="D12" s="4">
        <f ca="1">$B12*('Updated Population'!D$4/'Updated Population'!$B$4)*('Total Duration Tables Sup #1'!D177/'Total Duration Tables Sup #1'!$B177)</f>
        <v>1.4956228281786927</v>
      </c>
      <c r="E12" s="4">
        <f ca="1">$B12*('Updated Population'!E$4/'Updated Population'!$B$4)*('Total Duration Tables Sup #1'!E177/'Total Duration Tables Sup #1'!$B177)</f>
        <v>1.4689064804115401</v>
      </c>
      <c r="F12" s="4">
        <f ca="1">$B12*('Updated Population'!F$4/'Updated Population'!$B$4)*('Total Duration Tables Sup #1'!F177/'Total Duration Tables Sup #1'!$B177)</f>
        <v>1.4215591831644809</v>
      </c>
      <c r="G12" s="4">
        <f ca="1">$B12*('Updated Population'!G$4/'Updated Population'!$B$4)*('Total Duration Tables Sup #1'!G177/'Total Duration Tables Sup #1'!$B177)</f>
        <v>1.3822968599286032</v>
      </c>
      <c r="H12" s="4">
        <f ca="1">$B12*('Updated Population'!H$4/'Updated Population'!$B$4)*('Total Duration Tables Sup #1'!H177/'Total Duration Tables Sup #1'!$B177)</f>
        <v>1.3369400608842632</v>
      </c>
      <c r="I12" s="1">
        <f ca="1">$B12*('Updated Population'!I$4/'Updated Population'!$B$4)*('Total Duration Tables Sup #1'!I177/'Total Duration Tables Sup #1'!$B177)</f>
        <v>1.3432810278998557</v>
      </c>
      <c r="J12" s="1">
        <f ca="1">$B12*('Updated Population'!J$4/'Updated Population'!$B$4)*('Total Duration Tables Sup #1'!J177/'Total Duration Tables Sup #1'!$B177)</f>
        <v>1.3453558943714268</v>
      </c>
      <c r="K12" s="1">
        <f ca="1">$B12*('Updated Population'!K$4/'Updated Population'!$B$4)*('Total Duration Tables Sup #1'!K177/'Total Duration Tables Sup #1'!$B177)</f>
        <v>1.3445382431204376</v>
      </c>
    </row>
    <row r="13" spans="1:11" x14ac:dyDescent="0.25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$B13*('Updated Population'!C$4/'Updated Population'!$B$4)*('Total Duration Tables Sup #1'!C178/'Total Duration Tables Sup #1'!$B178)</f>
        <v>1.6343667506019777E-2</v>
      </c>
      <c r="D13" s="4">
        <f ca="1">$B13*('Updated Population'!D$4/'Updated Population'!$B$4)*('Total Duration Tables Sup #1'!D178/'Total Duration Tables Sup #1'!$B178)</f>
        <v>1.7703335277890982E-2</v>
      </c>
      <c r="E13" s="4">
        <f ca="1">$B13*('Updated Population'!E$4/'Updated Population'!$B$4)*('Total Duration Tables Sup #1'!E178/'Total Duration Tables Sup #1'!$B178)</f>
        <v>1.8563839628174976E-2</v>
      </c>
      <c r="F13" s="4">
        <f ca="1">$B13*('Updated Population'!F$4/'Updated Population'!$B$4)*('Total Duration Tables Sup #1'!F178/'Total Duration Tables Sup #1'!$B178)</f>
        <v>1.9109941364278654E-2</v>
      </c>
      <c r="G13" s="4">
        <f ca="1">$B13*('Updated Population'!G$4/'Updated Population'!$B$4)*('Total Duration Tables Sup #1'!G178/'Total Duration Tables Sup #1'!$B178)</f>
        <v>1.99131757012765E-2</v>
      </c>
      <c r="H13" s="4">
        <f ca="1">$B13*('Updated Population'!H$4/'Updated Population'!$B$4)*('Total Duration Tables Sup #1'!H178/'Total Duration Tables Sup #1'!$B178)</f>
        <v>2.0510123471062292E-2</v>
      </c>
      <c r="I13" s="1">
        <f ca="1">$B13*('Updated Population'!I$4/'Updated Population'!$B$4)*('Total Duration Tables Sup #1'!I178/'Total Duration Tables Sup #1'!$B178)</f>
        <v>2.0607400843639278E-2</v>
      </c>
      <c r="J13" s="1">
        <f ca="1">$B13*('Updated Population'!J$4/'Updated Population'!$B$4)*('Total Duration Tables Sup #1'!J178/'Total Duration Tables Sup #1'!$B178)</f>
        <v>2.0639231565720971E-2</v>
      </c>
      <c r="K13" s="1">
        <f ca="1">$B13*('Updated Population'!K$4/'Updated Population'!$B$4)*('Total Duration Tables Sup #1'!K178/'Total Duration Tables Sup #1'!$B178)</f>
        <v>2.0626687900821769E-2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$B14*('Updated Population'!C$4/'Updated Population'!$B$4)*('Total Duration Tables Sup #1'!C179/'Total Duration Tables Sup #1'!$B179)</f>
        <v>0</v>
      </c>
      <c r="D14" s="4">
        <f ca="1">$B14*('Updated Population'!D$4/'Updated Population'!$B$4)*('Total Duration Tables Sup #1'!D179/'Total Duration Tables Sup #1'!$B179)</f>
        <v>0</v>
      </c>
      <c r="E14" s="4">
        <f ca="1">$B14*('Updated Population'!E$4/'Updated Population'!$B$4)*('Total Duration Tables Sup #1'!E179/'Total Duration Tables Sup #1'!$B179)</f>
        <v>0</v>
      </c>
      <c r="F14" s="4">
        <f ca="1">$B14*('Updated Population'!F$4/'Updated Population'!$B$4)*('Total Duration Tables Sup #1'!F179/'Total Duration Tables Sup #1'!$B179)</f>
        <v>0</v>
      </c>
      <c r="G14" s="4">
        <f ca="1">$B14*('Updated Population'!G$4/'Updated Population'!$B$4)*('Total Duration Tables Sup #1'!G179/'Total Duration Tables Sup #1'!$B179)</f>
        <v>0</v>
      </c>
      <c r="H14" s="4">
        <f ca="1">$B14*('Updated Population'!H$4/'Updated Population'!$B$4)*('Total Duration Tables Sup #1'!H179/'Total Duration Tables Sup #1'!$B179)</f>
        <v>0</v>
      </c>
      <c r="I14" s="1">
        <f ca="1">$B14*('Updated Population'!I$4/'Updated Population'!$B$4)*('Total Duration Tables Sup #1'!I179/'Total Duration Tables Sup #1'!$B179)</f>
        <v>0</v>
      </c>
      <c r="J14" s="1">
        <f ca="1">$B14*('Updated Population'!J$4/'Updated Population'!$B$4)*('Total Duration Tables Sup #1'!J179/'Total Duration Tables Sup #1'!$B179)</f>
        <v>0</v>
      </c>
      <c r="K14" s="1">
        <f ca="1">$B14*('Updated Population'!K$4/'Updated Population'!$B$4)*('Total Duration Tables Sup #1'!K179/'Total Duration Tables Sup #1'!$B179)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OFFSET(Auckland_Reference,0,7)</f>
        <v>73.381071999</v>
      </c>
      <c r="C16" s="4">
        <f ca="1">$B16*('Updated Population'!C$15/'Updated Population'!$B$15)*('Total Duration Tables Sup #1'!C170/'Total Duration Tables Sup #1'!$B170)</f>
        <v>82.181647554787219</v>
      </c>
      <c r="D16" s="4">
        <f ca="1">$B16*('Updated Population'!D$15/'Updated Population'!$B$15)*('Total Duration Tables Sup #1'!D170/'Total Duration Tables Sup #1'!$B170)</f>
        <v>88.266566627498079</v>
      </c>
      <c r="E16" s="4">
        <f ca="1">$B16*('Updated Population'!E$15/'Updated Population'!$B$15)*('Total Duration Tables Sup #1'!E170/'Total Duration Tables Sup #1'!$B170)</f>
        <v>92.319193383828377</v>
      </c>
      <c r="F16" s="4">
        <f ca="1">$B16*('Updated Population'!F$15/'Updated Population'!$B$15)*('Total Duration Tables Sup #1'!F170/'Total Duration Tables Sup #1'!$B170)</f>
        <v>95.374334848542219</v>
      </c>
      <c r="G16" s="4">
        <f ca="1">$B16*('Updated Population'!G$15/'Updated Population'!$B$15)*('Total Duration Tables Sup #1'!G170/'Total Duration Tables Sup #1'!$B170)</f>
        <v>97.882034872036328</v>
      </c>
      <c r="H16" s="4">
        <f ca="1">$B16*('Updated Population'!H$15/'Updated Population'!$B$15)*('Total Duration Tables Sup #1'!H170/'Total Duration Tables Sup #1'!$B170)</f>
        <v>99.933710053028406</v>
      </c>
      <c r="I16" s="1">
        <f ca="1">$B16*('Updated Population'!I$15/'Updated Population'!$B$15)*('Total Duration Tables Sup #1'!I170/'Total Duration Tables Sup #1'!$B170)</f>
        <v>104.22839887503554</v>
      </c>
      <c r="J16" s="1">
        <f ca="1">$B16*('Updated Population'!J$15/'Updated Population'!$B$15)*('Total Duration Tables Sup #1'!J170/'Total Duration Tables Sup #1'!$B170)</f>
        <v>108.3616183743336</v>
      </c>
      <c r="K16" s="1">
        <f ca="1">$B16*('Updated Population'!K$15/'Updated Population'!$B$15)*('Total Duration Tables Sup #1'!K170/'Total Duration Tables Sup #1'!$B170)</f>
        <v>112.41663145867662</v>
      </c>
    </row>
    <row r="17" spans="1:11" x14ac:dyDescent="0.25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$B17*('Updated Population'!C$15/'Updated Population'!$B$15)*('Total Duration Tables Sup #1'!C171/'Total Duration Tables Sup #1'!$B171)</f>
        <v>4.9795322699767688</v>
      </c>
      <c r="D17" s="4">
        <f ca="1">$B17*('Updated Population'!D$15/'Updated Population'!$B$15)*('Total Duration Tables Sup #1'!D171/'Total Duration Tables Sup #1'!$B171)</f>
        <v>5.3672944929279032</v>
      </c>
      <c r="E17" s="4">
        <f ca="1">$B17*('Updated Population'!E$15/'Updated Population'!$B$15)*('Total Duration Tables Sup #1'!E171/'Total Duration Tables Sup #1'!$B171)</f>
        <v>5.6078103225856388</v>
      </c>
      <c r="F17" s="4">
        <f ca="1">$B17*('Updated Population'!F$15/'Updated Population'!$B$15)*('Total Duration Tables Sup #1'!F171/'Total Duration Tables Sup #1'!$B171)</f>
        <v>5.8877931458334123</v>
      </c>
      <c r="G17" s="4">
        <f ca="1">$B17*('Updated Population'!G$15/'Updated Population'!$B$15)*('Total Duration Tables Sup #1'!G171/'Total Duration Tables Sup #1'!$B171)</f>
        <v>6.2272529317713676</v>
      </c>
      <c r="H17" s="4">
        <f ca="1">$B17*('Updated Population'!H$15/'Updated Population'!$B$15)*('Total Duration Tables Sup #1'!H171/'Total Duration Tables Sup #1'!$B171)</f>
        <v>6.5764201894930459</v>
      </c>
      <c r="I17" s="1">
        <f ca="1">$B17*('Updated Population'!I$15/'Updated Population'!$B$15)*('Total Duration Tables Sup #1'!I171/'Total Duration Tables Sup #1'!$B171)</f>
        <v>6.8590443236480851</v>
      </c>
      <c r="J17" s="1">
        <f ca="1">$B17*('Updated Population'!J$15/'Updated Population'!$B$15)*('Total Duration Tables Sup #1'!J171/'Total Duration Tables Sup #1'!$B171)</f>
        <v>7.131042512731292</v>
      </c>
      <c r="K17" s="1">
        <f ca="1">$B17*('Updated Population'!K$15/'Updated Population'!$B$15)*('Total Duration Tables Sup #1'!K171/'Total Duration Tables Sup #1'!$B171)</f>
        <v>7.3978941076773941</v>
      </c>
    </row>
    <row r="18" spans="1:11" x14ac:dyDescent="0.25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$B18*('Updated Population'!C$15/'Updated Population'!$B$15)*('Total Duration Tables Sup #1'!C172/'Total Duration Tables Sup #1'!$B172)</f>
        <v>342.53536703602674</v>
      </c>
      <c r="D18" s="4">
        <f ca="1">$B18*('Updated Population'!D$15/'Updated Population'!$B$15)*('Total Duration Tables Sup #1'!D172/'Total Duration Tables Sup #1'!$B172)</f>
        <v>375.41872162269578</v>
      </c>
      <c r="E18" s="4">
        <f ca="1">$B18*('Updated Population'!E$15/'Updated Population'!$B$15)*('Total Duration Tables Sup #1'!E172/'Total Duration Tables Sup #1'!$B172)</f>
        <v>403.80849452999246</v>
      </c>
      <c r="F18" s="4">
        <f ca="1">$B18*('Updated Population'!F$15/'Updated Population'!$B$15)*('Total Duration Tables Sup #1'!F172/'Total Duration Tables Sup #1'!$B172)</f>
        <v>430.78974523056792</v>
      </c>
      <c r="G18" s="4">
        <f ca="1">$B18*('Updated Population'!G$15/'Updated Population'!$B$15)*('Total Duration Tables Sup #1'!G172/'Total Duration Tables Sup #1'!$B172)</f>
        <v>453.64177906588986</v>
      </c>
      <c r="H18" s="4">
        <f ca="1">$B18*('Updated Population'!H$15/'Updated Population'!$B$15)*('Total Duration Tables Sup #1'!H172/'Total Duration Tables Sup #1'!$B172)</f>
        <v>474.66229029756698</v>
      </c>
      <c r="I18" s="1">
        <f ca="1">$B18*('Updated Population'!I$15/'Updated Population'!$B$15)*('Total Duration Tables Sup #1'!I172/'Total Duration Tables Sup #1'!$B172)</f>
        <v>495.06108096877847</v>
      </c>
      <c r="J18" s="1">
        <f ca="1">$B18*('Updated Population'!J$15/'Updated Population'!$B$15)*('Total Duration Tables Sup #1'!J172/'Total Duration Tables Sup #1'!$B172)</f>
        <v>514.69292924898673</v>
      </c>
      <c r="K18" s="1">
        <f ca="1">$B18*('Updated Population'!K$15/'Updated Population'!$B$15)*('Total Duration Tables Sup #1'!K172/'Total Duration Tables Sup #1'!$B172)</f>
        <v>533.95331492644743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$B19*('Updated Population'!C$15/'Updated Population'!$B$15)*('Total Duration Tables Sup #1'!C173/'Total Duration Tables Sup #1'!$B173)</f>
        <v>161.31613111248726</v>
      </c>
      <c r="D19" s="4">
        <f ca="1">$B19*('Updated Population'!D$15/'Updated Population'!$B$15)*('Total Duration Tables Sup #1'!D173/'Total Duration Tables Sup #1'!$B173)</f>
        <v>172.42615323764142</v>
      </c>
      <c r="E19" s="4">
        <f ca="1">$B19*('Updated Population'!E$15/'Updated Population'!$B$15)*('Total Duration Tables Sup #1'!E173/'Total Duration Tables Sup #1'!$B173)</f>
        <v>180.99283745839199</v>
      </c>
      <c r="F19" s="4">
        <f ca="1">$B19*('Updated Population'!F$15/'Updated Population'!$B$15)*('Total Duration Tables Sup #1'!F173/'Total Duration Tables Sup #1'!$B173)</f>
        <v>188.28286823227666</v>
      </c>
      <c r="G19" s="4">
        <f ca="1">$B19*('Updated Population'!G$15/'Updated Population'!$B$15)*('Total Duration Tables Sup #1'!G173/'Total Duration Tables Sup #1'!$B173)</f>
        <v>194.16300651444098</v>
      </c>
      <c r="H19" s="4">
        <f ca="1">$B19*('Updated Population'!H$15/'Updated Population'!$B$15)*('Total Duration Tables Sup #1'!H173/'Total Duration Tables Sup #1'!$B173)</f>
        <v>198.97115688616771</v>
      </c>
      <c r="I19" s="1">
        <f ca="1">$B19*('Updated Population'!I$15/'Updated Population'!$B$15)*('Total Duration Tables Sup #1'!I173/'Total Duration Tables Sup #1'!$B173)</f>
        <v>207.52201728079746</v>
      </c>
      <c r="J19" s="1">
        <f ca="1">$B19*('Updated Population'!J$15/'Updated Population'!$B$15)*('Total Duration Tables Sup #1'!J173/'Total Duration Tables Sup #1'!$B173)</f>
        <v>215.75138718013784</v>
      </c>
      <c r="K19" s="1">
        <f ca="1">$B19*('Updated Population'!K$15/'Updated Population'!$B$15)*('Total Duration Tables Sup #1'!K173/'Total Duration Tables Sup #1'!$B173)</f>
        <v>223.82504564985888</v>
      </c>
    </row>
    <row r="20" spans="1:11" x14ac:dyDescent="0.25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$B20*('Updated Population'!C$15/'Updated Population'!$B$15)*('Total Duration Tables Sup #1'!C174/'Total Duration Tables Sup #1'!$B174)</f>
        <v>2.3116037028149434</v>
      </c>
      <c r="D20" s="4">
        <f ca="1">$B20*('Updated Population'!D$15/'Updated Population'!$B$15)*('Total Duration Tables Sup #1'!D174/'Total Duration Tables Sup #1'!$B174)</f>
        <v>2.646295365205261</v>
      </c>
      <c r="E20" s="4">
        <f ca="1">$B20*('Updated Population'!E$15/'Updated Population'!$B$15)*('Total Duration Tables Sup #1'!E174/'Total Duration Tables Sup #1'!$B174)</f>
        <v>2.933757765666813</v>
      </c>
      <c r="F20" s="4">
        <f ca="1">$B20*('Updated Population'!F$15/'Updated Population'!$B$15)*('Total Duration Tables Sup #1'!F174/'Total Duration Tables Sup #1'!$B174)</f>
        <v>3.1985932521148932</v>
      </c>
      <c r="G20" s="4">
        <f ca="1">$B20*('Updated Population'!G$15/'Updated Population'!$B$15)*('Total Duration Tables Sup #1'!G174/'Total Duration Tables Sup #1'!$B174)</f>
        <v>3.4098084399824025</v>
      </c>
      <c r="H20" s="4">
        <f ca="1">$B20*('Updated Population'!H$15/'Updated Population'!$B$15)*('Total Duration Tables Sup #1'!H174/'Total Duration Tables Sup #1'!$B174)</f>
        <v>3.6106906237923102</v>
      </c>
      <c r="I20" s="1">
        <f ca="1">$B20*('Updated Population'!I$15/'Updated Population'!$B$15)*('Total Duration Tables Sup #1'!I174/'Total Duration Tables Sup #1'!$B174)</f>
        <v>3.7658614130434884</v>
      </c>
      <c r="J20" s="1">
        <f ca="1">$B20*('Updated Population'!J$15/'Updated Population'!$B$15)*('Total Duration Tables Sup #1'!J174/'Total Duration Tables Sup #1'!$B174)</f>
        <v>3.9151981772271855</v>
      </c>
      <c r="K20" s="1">
        <f ca="1">$B20*('Updated Population'!K$15/'Updated Population'!$B$15)*('Total Duration Tables Sup #1'!K174/'Total Duration Tables Sup #1'!$B174)</f>
        <v>4.0617092765871838</v>
      </c>
    </row>
    <row r="21" spans="1:11" x14ac:dyDescent="0.25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$B21*('Updated Population'!C$15/'Updated Population'!$B$15)*('Total Duration Tables Sup #1'!C175/'Total Duration Tables Sup #1'!$B175)</f>
        <v>1.7454221818761109</v>
      </c>
      <c r="D21" s="4">
        <f ca="1">$B21*('Updated Population'!D$15/'Updated Population'!$B$15)*('Total Duration Tables Sup #1'!D175/'Total Duration Tables Sup #1'!$B175)</f>
        <v>1.886541027275467</v>
      </c>
      <c r="E21" s="4">
        <f ca="1">$B21*('Updated Population'!E$15/'Updated Population'!$B$15)*('Total Duration Tables Sup #1'!E175/'Total Duration Tables Sup #1'!$B175)</f>
        <v>1.9918459601566723</v>
      </c>
      <c r="F21" s="4">
        <f ca="1">$B21*('Updated Population'!F$15/'Updated Population'!$B$15)*('Total Duration Tables Sup #1'!F175/'Total Duration Tables Sup #1'!$B175)</f>
        <v>2.0870110034763916</v>
      </c>
      <c r="G21" s="4">
        <f ca="1">$B21*('Updated Population'!G$15/'Updated Population'!$B$15)*('Total Duration Tables Sup #1'!G175/'Total Duration Tables Sup #1'!$B175)</f>
        <v>2.1490712629861006</v>
      </c>
      <c r="H21" s="4">
        <f ca="1">$B21*('Updated Population'!H$15/'Updated Population'!$B$15)*('Total Duration Tables Sup #1'!H175/'Total Duration Tables Sup #1'!$B175)</f>
        <v>2.1974110383034029</v>
      </c>
      <c r="I21" s="1">
        <f ca="1">$B21*('Updated Population'!I$15/'Updated Population'!$B$15)*('Total Duration Tables Sup #1'!I175/'Total Duration Tables Sup #1'!$B175)</f>
        <v>2.2918456051632643</v>
      </c>
      <c r="J21" s="1">
        <f ca="1">$B21*('Updated Population'!J$15/'Updated Population'!$B$15)*('Total Duration Tables Sup #1'!J175/'Total Duration Tables Sup #1'!$B175)</f>
        <v>2.3827296736789729</v>
      </c>
      <c r="K21" s="1">
        <f ca="1">$B21*('Updated Population'!K$15/'Updated Population'!$B$15)*('Total Duration Tables Sup #1'!K175/'Total Duration Tables Sup #1'!$B175)</f>
        <v>2.4718940858405132</v>
      </c>
    </row>
    <row r="22" spans="1:11" x14ac:dyDescent="0.25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4.8306178031</v>
      </c>
      <c r="D22" s="4">
        <f ca="1">OFFSET(Auckland_Reference,44,7)</f>
        <v>5.1741002469000001</v>
      </c>
      <c r="E22" s="4">
        <f ca="1">OFFSET(Auckland_Reference,45,7)</f>
        <v>5.4176460397000001</v>
      </c>
      <c r="F22" s="4">
        <f ca="1">OFFSET(Auckland_Reference,46,7)</f>
        <v>5.5975750165000004</v>
      </c>
      <c r="G22" s="4">
        <f ca="1">OFFSET(Auckland_Reference,47,7)</f>
        <v>5.7109897118999999</v>
      </c>
      <c r="H22" s="4">
        <f ca="1">OFFSET(Auckland_Reference,48,7)</f>
        <v>5.7749043458999996</v>
      </c>
      <c r="I22" s="1">
        <f ca="1">OFFSET(Auckland_Reference,48,7)*('Updated Population'!I15/'Updated Population'!H15)</f>
        <v>6.0230830348462669</v>
      </c>
      <c r="J22" s="1">
        <f ca="1">OFFSET(Auckland_Reference,48,7)*('Updated Population'!J15/'Updated Population'!H15)</f>
        <v>6.2619308394198123</v>
      </c>
      <c r="K22" s="1">
        <f ca="1">OFFSET(Auckland_Reference,48,7)*('Updated Population'!K15/'Updated Population'!H15)</f>
        <v>6.4962593024682462</v>
      </c>
    </row>
    <row r="23" spans="1:11" x14ac:dyDescent="0.25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24.62897491</v>
      </c>
      <c r="D23" s="4">
        <f ca="1">OFFSET(Auckland_Reference,51,7)</f>
        <v>25.587975165</v>
      </c>
      <c r="E23" s="4">
        <f ca="1">OFFSET(Auckland_Reference,52,7)</f>
        <v>25.9615078</v>
      </c>
      <c r="F23" s="4">
        <f ca="1">OFFSET(Auckland_Reference,53,7)</f>
        <v>25.794363546</v>
      </c>
      <c r="G23" s="4">
        <f ca="1">OFFSET(Auckland_Reference,54,7)</f>
        <v>25.516570415</v>
      </c>
      <c r="H23" s="4">
        <f ca="1">OFFSET(Auckland_Reference,55,7)</f>
        <v>25.018416195</v>
      </c>
      <c r="I23" s="1">
        <f ca="1">OFFSET(Auckland_Reference,55,7)*('Updated Population'!I15/'Updated Population'!H15)</f>
        <v>26.093592052275522</v>
      </c>
      <c r="J23" s="1">
        <f ca="1">OFFSET(Auckland_Reference,55,7)*('Updated Population'!J15/'Updated Population'!H15)</f>
        <v>27.128344045410348</v>
      </c>
      <c r="K23" s="1">
        <f ca="1">OFFSET(Auckland_Reference,55,7)*('Updated Population'!K15/'Updated Population'!H15)</f>
        <v>28.143517053261569</v>
      </c>
    </row>
    <row r="24" spans="1:11" x14ac:dyDescent="0.25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$B24*('Updated Population'!C$15/'Updated Population'!$B$15)*('Total Duration Tables Sup #1'!C178/'Total Duration Tables Sup #1'!$B178)</f>
        <v>1.4747696233938845</v>
      </c>
      <c r="D24" s="4">
        <f ca="1">$B24*('Updated Population'!D$15/'Updated Population'!$B$15)*('Total Duration Tables Sup #1'!D178/'Total Duration Tables Sup #1'!$B178)</f>
        <v>1.6786213634142035</v>
      </c>
      <c r="E24" s="4">
        <f ca="1">$B24*('Updated Population'!E$15/'Updated Population'!$B$15)*('Total Duration Tables Sup #1'!E178/'Total Duration Tables Sup #1'!$B178)</f>
        <v>1.8310983296511256</v>
      </c>
      <c r="F24" s="4">
        <f ca="1">$B24*('Updated Population'!F$15/'Updated Population'!$B$15)*('Total Duration Tables Sup #1'!F178/'Total Duration Tables Sup #1'!$B178)</f>
        <v>1.9598967004091794</v>
      </c>
      <c r="G24" s="4">
        <f ca="1">$B24*('Updated Population'!G$15/'Updated Population'!$B$15)*('Total Duration Tables Sup #1'!G178/'Total Duration Tables Sup #1'!$B178)</f>
        <v>2.1206781075833105</v>
      </c>
      <c r="H24" s="4">
        <f ca="1">$B24*('Updated Population'!H$15/'Updated Population'!$B$15)*('Total Duration Tables Sup #1'!H178/'Total Duration Tables Sup #1'!$B178)</f>
        <v>2.2673659143826872</v>
      </c>
      <c r="I24" s="1">
        <f ca="1">$B24*('Updated Population'!I$15/'Updated Population'!$B$15)*('Total Duration Tables Sup #1'!I178/'Total Duration Tables Sup #1'!$B178)</f>
        <v>2.3648068183852722</v>
      </c>
      <c r="J24" s="1">
        <f ca="1">$B24*('Updated Population'!J$15/'Updated Population'!$B$15)*('Total Duration Tables Sup #1'!J178/'Total Duration Tables Sup #1'!$B178)</f>
        <v>2.4585841934511778</v>
      </c>
      <c r="K24" s="1">
        <f ca="1">$B24*('Updated Population'!K$15/'Updated Population'!$B$15)*('Total Duration Tables Sup #1'!K178/'Total Duration Tables Sup #1'!$B178)</f>
        <v>2.5505871666714901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$B25*('Updated Population'!C$15/'Updated Population'!$B$15)*('Total Duration Tables Sup #1'!C179/'Total Duration Tables Sup #1'!$B179)</f>
        <v>2.8253683777523846</v>
      </c>
      <c r="D25" s="4">
        <f ca="1">$B25*('Updated Population'!D$15/'Updated Population'!$B$15)*('Total Duration Tables Sup #1'!D179/'Total Duration Tables Sup #1'!$B179)</f>
        <v>3.1286480413276125</v>
      </c>
      <c r="E25" s="4">
        <f ca="1">$B25*('Updated Population'!E$15/'Updated Population'!$B$15)*('Total Duration Tables Sup #1'!E179/'Total Duration Tables Sup #1'!$B179)</f>
        <v>3.3285409625965134</v>
      </c>
      <c r="F25" s="4">
        <f ca="1">$B25*('Updated Population'!F$15/'Updated Population'!$B$15)*('Total Duration Tables Sup #1'!F179/'Total Duration Tables Sup #1'!$B179)</f>
        <v>3.5014945815710643</v>
      </c>
      <c r="G25" s="4">
        <f ca="1">$B25*('Updated Population'!G$15/'Updated Population'!$B$15)*('Total Duration Tables Sup #1'!G179/'Total Duration Tables Sup #1'!$B179)</f>
        <v>3.6841565044446565</v>
      </c>
      <c r="H25" s="4">
        <f ca="1">$B25*('Updated Population'!H$15/'Updated Population'!$B$15)*('Total Duration Tables Sup #1'!H179/'Total Duration Tables Sup #1'!$B179)</f>
        <v>3.8414452843178957</v>
      </c>
      <c r="I25" s="1">
        <f ca="1">$B25*('Updated Population'!I$15/'Updated Population'!$B$15)*('Total Duration Tables Sup #1'!I179/'Total Duration Tables Sup #1'!$B179)</f>
        <v>4.0065328420014614</v>
      </c>
      <c r="J25" s="1">
        <f ca="1">$B25*('Updated Population'!J$15/'Updated Population'!$B$15)*('Total Duration Tables Sup #1'!J179/'Total Duration Tables Sup #1'!$B179)</f>
        <v>4.1654135294712269</v>
      </c>
      <c r="K25" s="1">
        <f ca="1">$B25*('Updated Population'!K$15/'Updated Population'!$B$15)*('Total Duration Tables Sup #1'!K179/'Total Duration Tables Sup #1'!$B179)</f>
        <v>4.3212879674604805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OFFSET(Waikato_Reference,0,7)</f>
        <v>13.69170819</v>
      </c>
      <c r="C27" s="4">
        <f ca="1">$B27*('Updated Population'!C$26/'Updated Population'!$B$26)*('Total Duration Tables Sup #1'!C170/'Total Duration Tables Sup #1'!$B170)</f>
        <v>14.82060313164529</v>
      </c>
      <c r="D27" s="4">
        <f ca="1">$B27*('Updated Population'!D$26/'Updated Population'!$B$26)*('Total Duration Tables Sup #1'!D170/'Total Duration Tables Sup #1'!$B170)</f>
        <v>15.372535177495966</v>
      </c>
      <c r="E27" s="4">
        <f ca="1">$B27*('Updated Population'!E$26/'Updated Population'!$B$26)*('Total Duration Tables Sup #1'!E170/'Total Duration Tables Sup #1'!$B170)</f>
        <v>15.663847902777764</v>
      </c>
      <c r="F27" s="4">
        <f ca="1">$B27*('Updated Population'!F$26/'Updated Population'!$B$26)*('Total Duration Tables Sup #1'!F170/'Total Duration Tables Sup #1'!$B170)</f>
        <v>15.793427507163376</v>
      </c>
      <c r="G27" s="4">
        <f ca="1">$B27*('Updated Population'!G$26/'Updated Population'!$B$26)*('Total Duration Tables Sup #1'!G170/'Total Duration Tables Sup #1'!$B170)</f>
        <v>15.849309481124326</v>
      </c>
      <c r="H27" s="4">
        <f ca="1">$B27*('Updated Population'!H$26/'Updated Population'!$B$26)*('Total Duration Tables Sup #1'!H170/'Total Duration Tables Sup #1'!$B170)</f>
        <v>15.844922482304574</v>
      </c>
      <c r="I27" s="1">
        <f ca="1">$B27*('Updated Population'!I$26/'Updated Population'!$B$26)*('Total Duration Tables Sup #1'!I170/'Total Duration Tables Sup #1'!$B170)</f>
        <v>16.182101679012547</v>
      </c>
      <c r="J27" s="1">
        <f ca="1">$B27*('Updated Population'!J$26/'Updated Population'!$B$26)*('Total Duration Tables Sup #1'!J170/'Total Duration Tables Sup #1'!$B170)</f>
        <v>16.473849475853992</v>
      </c>
      <c r="K27" s="1">
        <f ca="1">$B27*('Updated Population'!K$26/'Updated Population'!$B$26)*('Total Duration Tables Sup #1'!K170/'Total Duration Tables Sup #1'!$B170)</f>
        <v>16.734815550825367</v>
      </c>
    </row>
    <row r="28" spans="1:11" x14ac:dyDescent="0.25">
      <c r="A28" t="str">
        <f ca="1">OFFSET(Waikato_Reference,7,2)</f>
        <v>Cyclist</v>
      </c>
      <c r="B28" s="4">
        <f ca="1">OFFSET(Waikato_Reference,7,7)</f>
        <v>1.7805943500000001</v>
      </c>
      <c r="C28" s="4">
        <f ca="1">$B28*('Updated Population'!C$26/'Updated Population'!$B$26)*('Total Duration Tables Sup #1'!C171/'Total Duration Tables Sup #1'!$B171)</f>
        <v>1.9628763229026736</v>
      </c>
      <c r="D28" s="4">
        <f ca="1">$B28*('Updated Population'!D$26/'Updated Population'!$B$26)*('Total Duration Tables Sup #1'!D171/'Total Duration Tables Sup #1'!$B171)</f>
        <v>2.0432336743632851</v>
      </c>
      <c r="E28" s="4">
        <f ca="1">$B28*('Updated Population'!E$26/'Updated Population'!$B$26)*('Total Duration Tables Sup #1'!E171/'Total Duration Tables Sup #1'!$B171)</f>
        <v>2.0797595294072297</v>
      </c>
      <c r="F28" s="4">
        <f ca="1">$B28*('Updated Population'!F$26/'Updated Population'!$B$26)*('Total Duration Tables Sup #1'!F171/'Total Duration Tables Sup #1'!$B171)</f>
        <v>2.1311340293501799</v>
      </c>
      <c r="G28" s="4">
        <f ca="1">$B28*('Updated Population'!G$26/'Updated Population'!$B$26)*('Total Duration Tables Sup #1'!G171/'Total Duration Tables Sup #1'!$B171)</f>
        <v>2.2040285364306542</v>
      </c>
      <c r="H28" s="4">
        <f ca="1">$B28*('Updated Population'!H$26/'Updated Population'!$B$26)*('Total Duration Tables Sup #1'!H171/'Total Duration Tables Sup #1'!$B171)</f>
        <v>2.2791925300801705</v>
      </c>
      <c r="I28" s="1">
        <f ca="1">$B28*('Updated Population'!I$26/'Updated Population'!$B$26)*('Total Duration Tables Sup #1'!I171/'Total Duration Tables Sup #1'!$B171)</f>
        <v>2.3276936387030429</v>
      </c>
      <c r="J28" s="1">
        <f ca="1">$B28*('Updated Population'!J$26/'Updated Population'!$B$26)*('Total Duration Tables Sup #1'!J171/'Total Duration Tables Sup #1'!$B171)</f>
        <v>2.3696597259446168</v>
      </c>
      <c r="K28" s="1">
        <f ca="1">$B28*('Updated Population'!K$26/'Updated Population'!$B$26)*('Total Duration Tables Sup #1'!K171/'Total Duration Tables Sup #1'!$B171)</f>
        <v>2.4071980559265627</v>
      </c>
    </row>
    <row r="29" spans="1:11" x14ac:dyDescent="0.25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$B29*('Updated Population'!C$26/'Updated Population'!$B$26)*('Total Duration Tables Sup #1'!C172/'Total Duration Tables Sup #1'!$B172)</f>
        <v>92.220374126737823</v>
      </c>
      <c r="D29" s="4">
        <f ca="1">$B29*('Updated Population'!D$26/'Updated Population'!$B$26)*('Total Duration Tables Sup #1'!D172/'Total Duration Tables Sup #1'!$B172)</f>
        <v>97.610292545939288</v>
      </c>
      <c r="E29" s="4">
        <f ca="1">$B29*('Updated Population'!E$26/'Updated Population'!$B$26)*('Total Duration Tables Sup #1'!E172/'Total Duration Tables Sup #1'!$B172)</f>
        <v>102.28509029468717</v>
      </c>
      <c r="F29" s="4">
        <f ca="1">$B29*('Updated Population'!F$26/'Updated Population'!$B$26)*('Total Duration Tables Sup #1'!F172/'Total Duration Tables Sup #1'!$B172)</f>
        <v>106.49780381363543</v>
      </c>
      <c r="G29" s="4">
        <f ca="1">$B29*('Updated Population'!G$26/'Updated Population'!$B$26)*('Total Duration Tables Sup #1'!G172/'Total Duration Tables Sup #1'!$B172)</f>
        <v>109.66065297128476</v>
      </c>
      <c r="H29" s="4">
        <f ca="1">$B29*('Updated Population'!H$26/'Updated Population'!$B$26)*('Total Duration Tables Sup #1'!H172/'Total Duration Tables Sup #1'!$B172)</f>
        <v>112.35522259865265</v>
      </c>
      <c r="I29" s="1">
        <f ca="1">$B29*('Updated Population'!I$26/'Updated Population'!$B$26)*('Total Duration Tables Sup #1'!I172/'Total Duration Tables Sup #1'!$B172)</f>
        <v>114.746136391009</v>
      </c>
      <c r="J29" s="1">
        <f ca="1">$B29*('Updated Population'!J$26/'Updated Population'!$B$26)*('Total Duration Tables Sup #1'!J172/'Total Duration Tables Sup #1'!$B172)</f>
        <v>116.81489934604365</v>
      </c>
      <c r="K29" s="1">
        <f ca="1">$B29*('Updated Population'!K$26/'Updated Population'!$B$26)*('Total Duration Tables Sup #1'!K172/'Total Duration Tables Sup #1'!$B172)</f>
        <v>118.66539129239747</v>
      </c>
    </row>
    <row r="30" spans="1:11" x14ac:dyDescent="0.25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$B30*('Updated Population'!C$26/'Updated Population'!$B$26)*('Total Duration Tables Sup #1'!C173/'Total Duration Tables Sup #1'!$B173)</f>
        <v>45.069877379361188</v>
      </c>
      <c r="D30" s="4">
        <f ca="1">$B30*('Updated Population'!D$26/'Updated Population'!$B$26)*('Total Duration Tables Sup #1'!D173/'Total Duration Tables Sup #1'!$B173)</f>
        <v>46.523239269969217</v>
      </c>
      <c r="E30" s="4">
        <f ca="1">$B30*('Updated Population'!E$26/'Updated Population'!$B$26)*('Total Duration Tables Sup #1'!E173/'Total Duration Tables Sup #1'!$B173)</f>
        <v>47.575722177507409</v>
      </c>
      <c r="F30" s="4">
        <f ca="1">$B30*('Updated Population'!F$26/'Updated Population'!$B$26)*('Total Duration Tables Sup #1'!F173/'Total Duration Tables Sup #1'!$B173)</f>
        <v>48.30290152779002</v>
      </c>
      <c r="G30" s="4">
        <f ca="1">$B30*('Updated Population'!G$26/'Updated Population'!$B$26)*('Total Duration Tables Sup #1'!G173/'Total Duration Tables Sup #1'!$B173)</f>
        <v>48.707000925159271</v>
      </c>
      <c r="H30" s="4">
        <f ca="1">$B30*('Updated Population'!H$26/'Updated Population'!$B$26)*('Total Duration Tables Sup #1'!H173/'Total Duration Tables Sup #1'!$B173)</f>
        <v>48.874888272733116</v>
      </c>
      <c r="I30" s="1">
        <f ca="1">$B30*('Updated Population'!I$26/'Updated Population'!$B$26)*('Total Duration Tables Sup #1'!I173/'Total Duration Tables Sup #1'!$B173)</f>
        <v>49.914943570283256</v>
      </c>
      <c r="J30" s="1">
        <f ca="1">$B30*('Updated Population'!J$26/'Updated Population'!$B$26)*('Total Duration Tables Sup #1'!J173/'Total Duration Tables Sup #1'!$B173)</f>
        <v>50.814862202915641</v>
      </c>
      <c r="K30" s="1">
        <f ca="1">$B30*('Updated Population'!K$26/'Updated Population'!$B$26)*('Total Duration Tables Sup #1'!K173/'Total Duration Tables Sup #1'!$B173)</f>
        <v>51.61983223488923</v>
      </c>
    </row>
    <row r="31" spans="1:11" x14ac:dyDescent="0.25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$B31*('Updated Population'!C$26/'Updated Population'!$B$26)*('Total Duration Tables Sup #1'!C174/'Total Duration Tables Sup #1'!$B174)</f>
        <v>0.19080071480942792</v>
      </c>
      <c r="D31" s="4">
        <f ca="1">$B31*('Updated Population'!D$26/'Updated Population'!$B$26)*('Total Duration Tables Sup #1'!D174/'Total Duration Tables Sup #1'!$B174)</f>
        <v>0.21094204868481747</v>
      </c>
      <c r="E31" s="4">
        <f ca="1">$B31*('Updated Population'!E$26/'Updated Population'!$B$26)*('Total Duration Tables Sup #1'!E174/'Total Duration Tables Sup #1'!$B174)</f>
        <v>0.22782757632820264</v>
      </c>
      <c r="F31" s="4">
        <f ca="1">$B31*('Updated Population'!F$26/'Updated Population'!$B$26)*('Total Duration Tables Sup #1'!F174/'Total Duration Tables Sup #1'!$B174)</f>
        <v>0.24242615174986443</v>
      </c>
      <c r="G31" s="4">
        <f ca="1">$B31*('Updated Population'!G$26/'Updated Population'!$B$26)*('Total Duration Tables Sup #1'!G174/'Total Duration Tables Sup #1'!$B174)</f>
        <v>0.25270446735785101</v>
      </c>
      <c r="H31" s="4">
        <f ca="1">$B31*('Updated Population'!H$26/'Updated Population'!$B$26)*('Total Duration Tables Sup #1'!H174/'Total Duration Tables Sup #1'!$B174)</f>
        <v>0.26202574702958464</v>
      </c>
      <c r="I31" s="1">
        <f ca="1">$B31*('Updated Population'!I$26/'Updated Population'!$B$26)*('Total Duration Tables Sup #1'!I174/'Total Duration Tables Sup #1'!$B174)</f>
        <v>0.26760164246226409</v>
      </c>
      <c r="J31" s="1">
        <f ca="1">$B31*('Updated Population'!J$26/'Updated Population'!$B$26)*('Total Duration Tables Sup #1'!J174/'Total Duration Tables Sup #1'!$B174)</f>
        <v>0.27242624381307468</v>
      </c>
      <c r="K31" s="1">
        <f ca="1">$B31*('Updated Population'!K$26/'Updated Population'!$B$26)*('Total Duration Tables Sup #1'!K174/'Total Duration Tables Sup #1'!$B174)</f>
        <v>0.2767418112019413</v>
      </c>
    </row>
    <row r="32" spans="1:11" x14ac:dyDescent="0.25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$B32*('Updated Population'!C$26/'Updated Population'!$B$26)*('Total Duration Tables Sup #1'!C175/'Total Duration Tables Sup #1'!$B175)</f>
        <v>0.66712135921072557</v>
      </c>
      <c r="D32" s="4">
        <f ca="1">$B32*('Updated Population'!D$26/'Updated Population'!$B$26)*('Total Duration Tables Sup #1'!D175/'Total Duration Tables Sup #1'!$B175)</f>
        <v>0.69635201499545507</v>
      </c>
      <c r="E32" s="4">
        <f ca="1">$B32*('Updated Population'!E$26/'Updated Population'!$B$26)*('Total Duration Tables Sup #1'!E175/'Total Duration Tables Sup #1'!$B175)</f>
        <v>0.71626796168960927</v>
      </c>
      <c r="F32" s="4">
        <f ca="1">$B32*('Updated Population'!F$26/'Updated Population'!$B$26)*('Total Duration Tables Sup #1'!F175/'Total Duration Tables Sup #1'!$B175)</f>
        <v>0.73245834022296985</v>
      </c>
      <c r="G32" s="4">
        <f ca="1">$B32*('Updated Population'!G$26/'Updated Population'!$B$26)*('Total Duration Tables Sup #1'!G175/'Total Duration Tables Sup #1'!$B175)</f>
        <v>0.73751608030656124</v>
      </c>
      <c r="H32" s="4">
        <f ca="1">$B32*('Updated Population'!H$26/'Updated Population'!$B$26)*('Total Duration Tables Sup #1'!H175/'Total Duration Tables Sup #1'!$B175)</f>
        <v>0.73841877448827886</v>
      </c>
      <c r="I32" s="1">
        <f ca="1">$B32*('Updated Population'!I$26/'Updated Population'!$B$26)*('Total Duration Tables Sup #1'!I175/'Total Duration Tables Sup #1'!$B175)</f>
        <v>0.75413229088408973</v>
      </c>
      <c r="J32" s="1">
        <f ca="1">$B32*('Updated Population'!J$26/'Updated Population'!$B$26)*('Total Duration Tables Sup #1'!J175/'Total Duration Tables Sup #1'!$B175)</f>
        <v>0.76772857391064953</v>
      </c>
      <c r="K32" s="1">
        <f ca="1">$B32*('Updated Population'!K$26/'Updated Population'!$B$26)*('Total Duration Tables Sup #1'!K175/'Total Duration Tables Sup #1'!$B175)</f>
        <v>0.77989034052570172</v>
      </c>
    </row>
    <row r="33" spans="1:11" x14ac:dyDescent="0.25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Duration Tables Sup #1'!C176/'Total Duration Tables Sup #1'!$B176)</f>
        <v>0</v>
      </c>
      <c r="D33" s="4">
        <f ca="1">$B33*('Updated Population'!D$26/'Updated Population'!$B$26)*('Total Duration Tables Sup #1'!D176/'Total Duration Tables Sup #1'!$B176)</f>
        <v>0</v>
      </c>
      <c r="E33" s="4">
        <f ca="1">$B33*('Updated Population'!E$26/'Updated Population'!$B$26)*('Total Duration Tables Sup #1'!E176/'Total Duration Tables Sup #1'!$B176)</f>
        <v>0</v>
      </c>
      <c r="F33" s="4">
        <f ca="1">$B33*('Updated Population'!F$26/'Updated Population'!$B$26)*('Total Duration Tables Sup #1'!F176/'Total Duration Tables Sup #1'!$B176)</f>
        <v>0</v>
      </c>
      <c r="G33" s="4">
        <f ca="1">$B33*('Updated Population'!G$26/'Updated Population'!$B$26)*('Total Duration Tables Sup #1'!G176/'Total Duration Tables Sup #1'!$B176)</f>
        <v>0</v>
      </c>
      <c r="H33" s="4">
        <f ca="1">$B33*('Updated Population'!H$26/'Updated Population'!$B$26)*('Total Duration Tables Sup #1'!H176/'Total Duration Tables Sup #1'!$B176)</f>
        <v>0</v>
      </c>
      <c r="I33" s="1">
        <f ca="1">$B33*('Updated Population'!I$26/'Updated Population'!$B$26)*('Total Duration Tables Sup #1'!I176/'Total Duration Tables Sup #1'!$B176)</f>
        <v>0</v>
      </c>
      <c r="J33" s="1">
        <f ca="1">$B33*('Updated Population'!J$26/'Updated Population'!$B$26)*('Total Duration Tables Sup #1'!J176/'Total Duration Tables Sup #1'!$B176)</f>
        <v>0</v>
      </c>
      <c r="K33" s="1">
        <f ca="1">$B33*('Updated Population'!K$26/'Updated Population'!$B$26)*('Total Duration Tables Sup #1'!K176/'Total Duration Tables Sup #1'!$B176)</f>
        <v>0</v>
      </c>
    </row>
    <row r="34" spans="1:11" x14ac:dyDescent="0.25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$B34*('Updated Population'!C$26/'Updated Population'!$B$26)*('Total Duration Tables Sup #1'!C177/'Total Duration Tables Sup #1'!$B177)</f>
        <v>2.2210148032846839</v>
      </c>
      <c r="D34" s="4">
        <f ca="1">$B34*('Updated Population'!D$26/'Updated Population'!$B$26)*('Total Duration Tables Sup #1'!D177/'Total Duration Tables Sup #1'!$B177)</f>
        <v>2.1987534309736008</v>
      </c>
      <c r="E34" s="4">
        <f ca="1">$B34*('Updated Population'!E$26/'Updated Population'!$B$26)*('Total Duration Tables Sup #1'!E177/'Total Duration Tables Sup #1'!$B177)</f>
        <v>2.1885274242365731</v>
      </c>
      <c r="F34" s="4">
        <f ca="1">$B34*('Updated Population'!F$26/'Updated Population'!$B$26)*('Total Duration Tables Sup #1'!F177/'Total Duration Tables Sup #1'!$B177)</f>
        <v>2.1492709720757355</v>
      </c>
      <c r="G34" s="4">
        <f ca="1">$B34*('Updated Population'!G$26/'Updated Population'!$B$26)*('Total Duration Tables Sup #1'!G177/'Total Duration Tables Sup #1'!$B177)</f>
        <v>2.1220247100898351</v>
      </c>
      <c r="H34" s="4">
        <f ca="1">$B34*('Updated Population'!H$26/'Updated Population'!$B$26)*('Total Duration Tables Sup #1'!H177/'Total Duration Tables Sup #1'!$B177)</f>
        <v>2.0861758572023597</v>
      </c>
      <c r="I34" s="1">
        <f ca="1">$B34*('Updated Population'!I$26/'Updated Population'!$B$26)*('Total Duration Tables Sup #1'!I177/'Total Duration Tables Sup #1'!$B177)</f>
        <v>2.1305695802078608</v>
      </c>
      <c r="J34" s="1">
        <f ca="1">$B34*('Updated Population'!J$26/'Updated Population'!$B$26)*('Total Duration Tables Sup #1'!J177/'Total Duration Tables Sup #1'!$B177)</f>
        <v>2.1689817094462538</v>
      </c>
      <c r="K34" s="1">
        <f ca="1">$B34*('Updated Population'!K$26/'Updated Population'!$B$26)*('Total Duration Tables Sup #1'!K177/'Total Duration Tables Sup #1'!$B177)</f>
        <v>2.2033410523690198</v>
      </c>
    </row>
    <row r="35" spans="1:11" x14ac:dyDescent="0.25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$B35*('Updated Population'!C$26/'Updated Population'!$B$26)*('Total Duration Tables Sup #1'!C178/'Total Duration Tables Sup #1'!$B178)</f>
        <v>0.10974235221957189</v>
      </c>
      <c r="D35" s="4">
        <f ca="1">$B35*('Updated Population'!D$26/'Updated Population'!$B$26)*('Total Duration Tables Sup #1'!D178/'Total Duration Tables Sup #1'!$B178)</f>
        <v>0.12063159065037304</v>
      </c>
      <c r="E35" s="4">
        <f ca="1">$B35*('Updated Population'!E$26/'Updated Population'!$B$26)*('Total Duration Tables Sup #1'!E178/'Total Duration Tables Sup #1'!$B178)</f>
        <v>0.12819679551298627</v>
      </c>
      <c r="F35" s="4">
        <f ca="1">$B35*('Updated Population'!F$26/'Updated Population'!$B$26)*('Total Duration Tables Sup #1'!F178/'Total Duration Tables Sup #1'!$B178)</f>
        <v>0.13391742737663906</v>
      </c>
      <c r="G35" s="4">
        <f ca="1">$B35*('Updated Population'!G$26/'Updated Population'!$B$26)*('Total Duration Tables Sup #1'!G178/'Total Duration Tables Sup #1'!$B178)</f>
        <v>0.1416906381364616</v>
      </c>
      <c r="H35" s="4">
        <f ca="1">$B35*('Updated Population'!H$26/'Updated Population'!$B$26)*('Total Duration Tables Sup #1'!H178/'Total Duration Tables Sup #1'!$B178)</f>
        <v>0.14834016858257804</v>
      </c>
      <c r="I35" s="1">
        <f ca="1">$B35*('Updated Population'!I$26/'Updated Population'!$B$26)*('Total Duration Tables Sup #1'!I178/'Total Duration Tables Sup #1'!$B178)</f>
        <v>0.15149684031373092</v>
      </c>
      <c r="J35" s="1">
        <f ca="1">$B35*('Updated Population'!J$26/'Updated Population'!$B$26)*('Total Duration Tables Sup #1'!J178/'Total Duration Tables Sup #1'!$B178)</f>
        <v>0.15422818326699483</v>
      </c>
      <c r="K35" s="1">
        <f ca="1">$B35*('Updated Population'!K$26/'Updated Population'!$B$26)*('Total Duration Tables Sup #1'!K178/'Total Duration Tables Sup #1'!$B178)</f>
        <v>0.15667134773175131</v>
      </c>
    </row>
    <row r="36" spans="1:11" x14ac:dyDescent="0.25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$B36*('Updated Population'!C$26/'Updated Population'!$B$26)*('Total Duration Tables Sup #1'!C179/'Total Duration Tables Sup #1'!$B179)</f>
        <v>0.71180067458105434</v>
      </c>
      <c r="D36" s="4">
        <f ca="1">$B36*('Updated Population'!D$26/'Updated Population'!$B$26)*('Total Duration Tables Sup #1'!D179/'Total Duration Tables Sup #1'!$B179)</f>
        <v>0.76119907589213986</v>
      </c>
      <c r="E36" s="4">
        <f ca="1">$B36*('Updated Population'!E$26/'Updated Population'!$B$26)*('Total Duration Tables Sup #1'!E179/'Total Duration Tables Sup #1'!$B179)</f>
        <v>0.78895574516780675</v>
      </c>
      <c r="F36" s="4">
        <f ca="1">$B36*('Updated Population'!F$26/'Updated Population'!$B$26)*('Total Duration Tables Sup #1'!F179/'Total Duration Tables Sup #1'!$B179)</f>
        <v>0.81001042564383929</v>
      </c>
      <c r="G36" s="4">
        <f ca="1">$B36*('Updated Population'!G$26/'Updated Population'!$B$26)*('Total Duration Tables Sup #1'!G179/'Total Duration Tables Sup #1'!$B179)</f>
        <v>0.83336970403434008</v>
      </c>
      <c r="H36" s="4">
        <f ca="1">$B36*('Updated Population'!H$26/'Updated Population'!$B$26)*('Total Duration Tables Sup #1'!H179/'Total Duration Tables Sup #1'!$B179)</f>
        <v>0.85087358329740825</v>
      </c>
      <c r="I36" s="1">
        <f ca="1">$B36*('Updated Population'!I$26/'Updated Population'!$B$26)*('Total Duration Tables Sup #1'!I179/'Total Duration Tables Sup #1'!$B179)</f>
        <v>0.86898013267539731</v>
      </c>
      <c r="J36" s="1">
        <f ca="1">$B36*('Updated Population'!J$26/'Updated Population'!$B$26)*('Total Duration Tables Sup #1'!J179/'Total Duration Tables Sup #1'!$B179)</f>
        <v>0.88464701230796328</v>
      </c>
      <c r="K36" s="1">
        <f ca="1">$B36*('Updated Population'!K$26/'Updated Population'!$B$26)*('Total Duration Tables Sup #1'!K179/'Total Duration Tables Sup #1'!$B179)</f>
        <v>0.89866091105552337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OFFSET(BOP_Reference,0,7)</f>
        <v>9.1706746114000008</v>
      </c>
      <c r="C38" s="4">
        <f ca="1">$B38*('Updated Population'!C$37/'Updated Population'!$B$37)*('Total Duration Tables Sup #1'!C170/'Total Duration Tables Sup #1'!$B170)</f>
        <v>9.7893287273383063</v>
      </c>
      <c r="D38" s="4">
        <f ca="1">$B38*('Updated Population'!D$37/'Updated Population'!$B$37)*('Total Duration Tables Sup #1'!D170/'Total Duration Tables Sup #1'!$B170)</f>
        <v>10.084690422682435</v>
      </c>
      <c r="E38" s="4">
        <f ca="1">$B38*('Updated Population'!E$37/'Updated Population'!$B$37)*('Total Duration Tables Sup #1'!E170/'Total Duration Tables Sup #1'!$B170)</f>
        <v>10.207291092058465</v>
      </c>
      <c r="F38" s="4">
        <f ca="1">$B38*('Updated Population'!F$37/'Updated Population'!$B$37)*('Total Duration Tables Sup #1'!F170/'Total Duration Tables Sup #1'!$B170)</f>
        <v>10.225679898011146</v>
      </c>
      <c r="G38" s="4">
        <f ca="1">$B38*('Updated Population'!G$37/'Updated Population'!$B$37)*('Total Duration Tables Sup #1'!G170/'Total Duration Tables Sup #1'!$B170)</f>
        <v>10.192229330657096</v>
      </c>
      <c r="H38" s="4">
        <f ca="1">$B38*('Updated Population'!H$37/'Updated Population'!$B$37)*('Total Duration Tables Sup #1'!H170/'Total Duration Tables Sup #1'!$B170)</f>
        <v>10.120580518020558</v>
      </c>
      <c r="I38" s="1">
        <f ca="1">$B38*('Updated Population'!I$37/'Updated Population'!$B$37)*('Total Duration Tables Sup #1'!I170/'Total Duration Tables Sup #1'!$B170)</f>
        <v>10.266128491406523</v>
      </c>
      <c r="J38" s="1">
        <f ca="1">$B38*('Updated Population'!J$37/'Updated Population'!$B$37)*('Total Duration Tables Sup #1'!J170/'Total Duration Tables Sup #1'!$B170)</f>
        <v>10.380620823234155</v>
      </c>
      <c r="K38" s="1">
        <f ca="1">$B38*('Updated Population'!K$37/'Updated Population'!$B$37)*('Total Duration Tables Sup #1'!K170/'Total Duration Tables Sup #1'!$B170)</f>
        <v>10.473832603306247</v>
      </c>
    </row>
    <row r="39" spans="1:11" x14ac:dyDescent="0.25">
      <c r="A39" t="str">
        <f ca="1">OFFSET(BOP_Reference,7,2)</f>
        <v>Cyclist</v>
      </c>
      <c r="B39" s="4">
        <f ca="1">OFFSET(BOP_Reference,7,7)</f>
        <v>0.91801276549999999</v>
      </c>
      <c r="C39" s="4">
        <f ca="1">$B39*('Updated Population'!C$37/'Updated Population'!$B$37)*('Total Duration Tables Sup #1'!C171/'Total Duration Tables Sup #1'!$B171)</f>
        <v>0.99797589275523102</v>
      </c>
      <c r="D39" s="4">
        <f ca="1">$B39*('Updated Population'!D$37/'Updated Population'!$B$37)*('Total Duration Tables Sup #1'!D171/'Total Duration Tables Sup #1'!$B171)</f>
        <v>1.0317516983713655</v>
      </c>
      <c r="E39" s="4">
        <f ca="1">$B39*('Updated Population'!E$37/'Updated Population'!$B$37)*('Total Duration Tables Sup #1'!E171/'Total Duration Tables Sup #1'!$B171)</f>
        <v>1.0431943954930798</v>
      </c>
      <c r="F39" s="4">
        <f ca="1">$B39*('Updated Population'!F$37/'Updated Population'!$B$37)*('Total Duration Tables Sup #1'!F171/'Total Duration Tables Sup #1'!$B171)</f>
        <v>1.0621030246405849</v>
      </c>
      <c r="G39" s="4">
        <f ca="1">$B39*('Updated Population'!G$37/'Updated Population'!$B$37)*('Total Duration Tables Sup #1'!G171/'Total Duration Tables Sup #1'!$B171)</f>
        <v>1.0909783542202938</v>
      </c>
      <c r="H39" s="4">
        <f ca="1">$B39*('Updated Population'!H$37/'Updated Population'!$B$37)*('Total Duration Tables Sup #1'!H171/'Total Duration Tables Sup #1'!$B171)</f>
        <v>1.1205633086318594</v>
      </c>
      <c r="I39" s="1">
        <f ca="1">$B39*('Updated Population'!I$37/'Updated Population'!$B$37)*('Total Duration Tables Sup #1'!I171/'Total Duration Tables Sup #1'!$B171)</f>
        <v>1.1366785619349313</v>
      </c>
      <c r="J39" s="1">
        <f ca="1">$B39*('Updated Population'!J$37/'Updated Population'!$B$37)*('Total Duration Tables Sup #1'!J171/'Total Duration Tables Sup #1'!$B171)</f>
        <v>1.1493552958374291</v>
      </c>
      <c r="K39" s="1">
        <f ca="1">$B39*('Updated Population'!K$37/'Updated Population'!$B$37)*('Total Duration Tables Sup #1'!K171/'Total Duration Tables Sup #1'!$B171)</f>
        <v>1.1596758204847126</v>
      </c>
    </row>
    <row r="40" spans="1:11" x14ac:dyDescent="0.25">
      <c r="A40" t="str">
        <f ca="1">OFFSET(BOP_Reference,14,2)</f>
        <v>Light Vehicle Driver</v>
      </c>
      <c r="B40" s="4">
        <f ca="1">OFFSET(BOP_Reference,14,7)</f>
        <v>45.59682093</v>
      </c>
      <c r="C40" s="4">
        <f ca="1">$B40*('Updated Population'!C$37/'Updated Population'!$B$37)*('Total Duration Tables Sup #1'!C172/'Total Duration Tables Sup #1'!$B172)</f>
        <v>50.401016872570665</v>
      </c>
      <c r="D40" s="4">
        <f ca="1">$B40*('Updated Population'!D$37/'Updated Population'!$B$37)*('Total Duration Tables Sup #1'!D172/'Total Duration Tables Sup #1'!$B172)</f>
        <v>52.983186513938236</v>
      </c>
      <c r="E40" s="4">
        <f ca="1">$B40*('Updated Population'!E$37/'Updated Population'!$B$37)*('Total Duration Tables Sup #1'!E172/'Total Duration Tables Sup #1'!$B172)</f>
        <v>55.150538832549323</v>
      </c>
      <c r="F40" s="4">
        <f ca="1">$B40*('Updated Population'!F$37/'Updated Population'!$B$37)*('Total Duration Tables Sup #1'!F172/'Total Duration Tables Sup #1'!$B172)</f>
        <v>57.05344045047962</v>
      </c>
      <c r="G40" s="4">
        <f ca="1">$B40*('Updated Population'!G$37/'Updated Population'!$B$37)*('Total Duration Tables Sup #1'!G172/'Total Duration Tables Sup #1'!$B172)</f>
        <v>58.349219764230838</v>
      </c>
      <c r="H40" s="4">
        <f ca="1">$B40*('Updated Population'!H$37/'Updated Population'!$B$37)*('Total Duration Tables Sup #1'!H172/'Total Duration Tables Sup #1'!$B172)</f>
        <v>59.379146982034065</v>
      </c>
      <c r="I40" s="1">
        <f ca="1">$B40*('Updated Population'!I$37/'Updated Population'!$B$37)*('Total Duration Tables Sup #1'!I172/'Total Duration Tables Sup #1'!$B172)</f>
        <v>60.23310140581772</v>
      </c>
      <c r="J40" s="1">
        <f ca="1">$B40*('Updated Population'!J$37/'Updated Population'!$B$37)*('Total Duration Tables Sup #1'!J172/'Total Duration Tables Sup #1'!$B172)</f>
        <v>60.904847160698445</v>
      </c>
      <c r="K40" s="1">
        <f ca="1">$B40*('Updated Population'!K$37/'Updated Population'!$B$37)*('Total Duration Tables Sup #1'!K172/'Total Duration Tables Sup #1'!$B172)</f>
        <v>61.451736341561393</v>
      </c>
    </row>
    <row r="41" spans="1:11" x14ac:dyDescent="0.25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$B41*('Updated Population'!C$37/'Updated Population'!$B$37)*('Total Duration Tables Sup #1'!C173/'Total Duration Tables Sup #1'!$B173)</f>
        <v>30.55112274603707</v>
      </c>
      <c r="D41" s="4">
        <f ca="1">$B41*('Updated Population'!D$37/'Updated Population'!$B$37)*('Total Duration Tables Sup #1'!D173/'Total Duration Tables Sup #1'!$B173)</f>
        <v>31.32137253503846</v>
      </c>
      <c r="E41" s="4">
        <f ca="1">$B41*('Updated Population'!E$37/'Updated Population'!$B$37)*('Total Duration Tables Sup #1'!E173/'Total Duration Tables Sup #1'!$B173)</f>
        <v>31.816411581915645</v>
      </c>
      <c r="F41" s="4">
        <f ca="1">$B41*('Updated Population'!F$37/'Updated Population'!$B$37)*('Total Duration Tables Sup #1'!F173/'Total Duration Tables Sup #1'!$B173)</f>
        <v>32.095399482227201</v>
      </c>
      <c r="G41" s="4">
        <f ca="1">$B41*('Updated Population'!G$37/'Updated Population'!$B$37)*('Total Duration Tables Sup #1'!G173/'Total Duration Tables Sup #1'!$B173)</f>
        <v>32.144301612890608</v>
      </c>
      <c r="H41" s="4">
        <f ca="1">$B41*('Updated Population'!H$37/'Updated Population'!$B$37)*('Total Duration Tables Sup #1'!H173/'Total Duration Tables Sup #1'!$B173)</f>
        <v>32.037221742249933</v>
      </c>
      <c r="I41" s="1">
        <f ca="1">$B41*('Updated Population'!I$37/'Updated Population'!$B$37)*('Total Duration Tables Sup #1'!I173/'Total Duration Tables Sup #1'!$B173)</f>
        <v>32.497961389466653</v>
      </c>
      <c r="J41" s="1">
        <f ca="1">$B41*('Updated Population'!J$37/'Updated Population'!$B$37)*('Total Duration Tables Sup #1'!J173/'Total Duration Tables Sup #1'!$B173)</f>
        <v>32.860392795058253</v>
      </c>
      <c r="K41" s="1">
        <f ca="1">$B41*('Updated Population'!K$37/'Updated Population'!$B$37)*('Total Duration Tables Sup #1'!K173/'Total Duration Tables Sup #1'!$B173)</f>
        <v>33.155459512016058</v>
      </c>
    </row>
    <row r="42" spans="1:11" x14ac:dyDescent="0.25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$B42*('Updated Population'!C$37/'Updated Population'!$B$37)*('Total Duration Tables Sup #1'!C174/'Total Duration Tables Sup #1'!$B174)</f>
        <v>8.4125861867633878E-2</v>
      </c>
      <c r="D42" s="4">
        <f ca="1">$B42*('Updated Population'!D$37/'Updated Population'!$B$37)*('Total Duration Tables Sup #1'!D174/'Total Duration Tables Sup #1'!$B174)</f>
        <v>9.237250677886337E-2</v>
      </c>
      <c r="E42" s="4">
        <f ca="1">$B42*('Updated Population'!E$37/'Updated Population'!$B$37)*('Total Duration Tables Sup #1'!E174/'Total Duration Tables Sup #1'!$B174)</f>
        <v>9.9101636773624255E-2</v>
      </c>
      <c r="F42" s="4">
        <f ca="1">$B42*('Updated Population'!F$37/'Updated Population'!$B$37)*('Total Duration Tables Sup #1'!F174/'Total Duration Tables Sup #1'!$B174)</f>
        <v>0.10477502290153207</v>
      </c>
      <c r="G42" s="4">
        <f ca="1">$B42*('Updated Population'!G$37/'Updated Population'!$B$37)*('Total Duration Tables Sup #1'!G174/'Total Duration Tables Sup #1'!$B174)</f>
        <v>0.10847614809894859</v>
      </c>
      <c r="H42" s="4">
        <f ca="1">$B42*('Updated Population'!H$37/'Updated Population'!$B$37)*('Total Duration Tables Sup #1'!H174/'Total Duration Tables Sup #1'!$B174)</f>
        <v>0.11171764390699947</v>
      </c>
      <c r="I42" s="1">
        <f ca="1">$B42*('Updated Population'!I$37/'Updated Population'!$B$37)*('Total Duration Tables Sup #1'!I174/'Total Duration Tables Sup #1'!$B174)</f>
        <v>0.11332429844950971</v>
      </c>
      <c r="J42" s="1">
        <f ca="1">$B42*('Updated Population'!J$37/'Updated Population'!$B$37)*('Total Duration Tables Sup #1'!J174/'Total Duration Tables Sup #1'!$B174)</f>
        <v>0.1145881403343133</v>
      </c>
      <c r="K42" s="1">
        <f ca="1">$B42*('Updated Population'!K$37/'Updated Population'!$B$37)*('Total Duration Tables Sup #1'!K174/'Total Duration Tables Sup #1'!$B174)</f>
        <v>0.11561707345089586</v>
      </c>
    </row>
    <row r="43" spans="1:11" x14ac:dyDescent="0.25">
      <c r="A43" t="str">
        <f ca="1">OFFSET(BOP_Reference,35,2)</f>
        <v>Motorcyclist</v>
      </c>
      <c r="B43" s="4">
        <f ca="1">OFFSET(BOP_Reference,35,7)</f>
        <v>0.60409197079999999</v>
      </c>
      <c r="C43" s="4">
        <f ca="1">$B43*('Updated Population'!C$37/'Updated Population'!$B$37)*('Total Duration Tables Sup #1'!C175/'Total Duration Tables Sup #1'!$B175)</f>
        <v>0.65538626182712012</v>
      </c>
      <c r="D43" s="4">
        <f ca="1">$B43*('Updated Population'!D$37/'Updated Population'!$B$37)*('Total Duration Tables Sup #1'!D175/'Total Duration Tables Sup #1'!$B175)</f>
        <v>0.6794403975516693</v>
      </c>
      <c r="E43" s="4">
        <f ca="1">$B43*('Updated Population'!E$37/'Updated Population'!$B$37)*('Total Duration Tables Sup #1'!E175/'Total Duration Tables Sup #1'!$B175)</f>
        <v>0.69421344699989296</v>
      </c>
      <c r="F43" s="4">
        <f ca="1">$B43*('Updated Population'!F$37/'Updated Population'!$B$37)*('Total Duration Tables Sup #1'!F175/'Total Duration Tables Sup #1'!$B175)</f>
        <v>0.70534920952547009</v>
      </c>
      <c r="G43" s="4">
        <f ca="1">$B43*('Updated Population'!G$37/'Updated Population'!$B$37)*('Total Duration Tables Sup #1'!G175/'Total Duration Tables Sup #1'!$B175)</f>
        <v>0.7054005407482955</v>
      </c>
      <c r="H43" s="4">
        <f ca="1">$B43*('Updated Population'!H$37/'Updated Population'!$B$37)*('Total Duration Tables Sup #1'!H175/'Total Duration Tables Sup #1'!$B175)</f>
        <v>0.70149323792166918</v>
      </c>
      <c r="I43" s="1">
        <f ca="1">$B43*('Updated Population'!I$37/'Updated Population'!$B$37)*('Total Duration Tables Sup #1'!I175/'Total Duration Tables Sup #1'!$B175)</f>
        <v>0.71158168284255652</v>
      </c>
      <c r="J43" s="1">
        <f ca="1">$B43*('Updated Population'!J$37/'Updated Population'!$B$37)*('Total Duration Tables Sup #1'!J175/'Total Duration Tables Sup #1'!$B175)</f>
        <v>0.71951755138566631</v>
      </c>
      <c r="K43" s="1">
        <f ca="1">$B43*('Updated Population'!K$37/'Updated Population'!$B$37)*('Total Duration Tables Sup #1'!K175/'Total Duration Tables Sup #1'!$B175)</f>
        <v>0.7259783896052513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Duration Tables Sup #1'!C176/'Total Duration Tables Sup #1'!$B176)</f>
        <v>0</v>
      </c>
      <c r="D44" s="4">
        <f ca="1">$B44*('Updated Population'!D$37/'Updated Population'!$B$37)*('Total Duration Tables Sup #1'!D176/'Total Duration Tables Sup #1'!$B176)</f>
        <v>0</v>
      </c>
      <c r="E44" s="4">
        <f ca="1">$B44*('Updated Population'!E$37/'Updated Population'!$B$37)*('Total Duration Tables Sup #1'!E176/'Total Duration Tables Sup #1'!$B176)</f>
        <v>0</v>
      </c>
      <c r="F44" s="4">
        <f ca="1">$B44*('Updated Population'!F$37/'Updated Population'!$B$37)*('Total Duration Tables Sup #1'!F176/'Total Duration Tables Sup #1'!$B176)</f>
        <v>0</v>
      </c>
      <c r="G44" s="4">
        <f ca="1">$B44*('Updated Population'!G$37/'Updated Population'!$B$37)*('Total Duration Tables Sup #1'!G176/'Total Duration Tables Sup #1'!$B176)</f>
        <v>0</v>
      </c>
      <c r="H44" s="4">
        <f ca="1">$B44*('Updated Population'!H$37/'Updated Population'!$B$37)*('Total Duration Tables Sup #1'!H176/'Total Duration Tables Sup #1'!$B176)</f>
        <v>0</v>
      </c>
      <c r="I44" s="1">
        <f ca="1">$B44*('Updated Population'!I$37/'Updated Population'!$B$37)*('Total Duration Tables Sup #1'!I176/'Total Duration Tables Sup #1'!$B176)</f>
        <v>0</v>
      </c>
      <c r="J44" s="1">
        <f ca="1">$B44*('Updated Population'!J$37/'Updated Population'!$B$37)*('Total Duration Tables Sup #1'!J176/'Total Duration Tables Sup #1'!$B176)</f>
        <v>0</v>
      </c>
      <c r="K44" s="1">
        <f ca="1">$B44*('Updated Population'!K$37/'Updated Population'!$B$37)*('Total Duration Tables Sup #1'!K176/'Total Duration Tables Sup #1'!$B176)</f>
        <v>0</v>
      </c>
    </row>
    <row r="45" spans="1:11" x14ac:dyDescent="0.25">
      <c r="A45" t="str">
        <f ca="1">OFFSET(BOP_Reference,42,2)</f>
        <v>Local Bus</v>
      </c>
      <c r="B45" s="4">
        <f ca="1">OFFSET(BOP_Reference,42,7)</f>
        <v>2.9412276716000001</v>
      </c>
      <c r="C45" s="4">
        <f ca="1">$B45*('Updated Population'!C$37/'Updated Population'!$B$37)*('Total Duration Tables Sup #1'!C177/'Total Duration Tables Sup #1'!$B177)</f>
        <v>2.9164267641799499</v>
      </c>
      <c r="D45" s="4">
        <f ca="1">$B45*('Updated Population'!D$37/'Updated Population'!$B$37)*('Total Duration Tables Sup #1'!D177/'Total Duration Tables Sup #1'!$B177)</f>
        <v>2.8675182648333255</v>
      </c>
      <c r="E45" s="4">
        <f ca="1">$B45*('Updated Population'!E$37/'Updated Population'!$B$37)*('Total Duration Tables Sup #1'!E177/'Total Duration Tables Sup #1'!$B177)</f>
        <v>2.835153799382494</v>
      </c>
      <c r="F45" s="4">
        <f ca="1">$B45*('Updated Population'!F$37/'Updated Population'!$B$37)*('Total Duration Tables Sup #1'!F177/'Total Duration Tables Sup #1'!$B177)</f>
        <v>2.766429217730598</v>
      </c>
      <c r="G45" s="4">
        <f ca="1">$B45*('Updated Population'!G$37/'Updated Population'!$B$37)*('Total Duration Tables Sup #1'!G177/'Total Duration Tables Sup #1'!$B177)</f>
        <v>2.7128255392063658</v>
      </c>
      <c r="H45" s="4">
        <f ca="1">$B45*('Updated Population'!H$37/'Updated Population'!$B$37)*('Total Duration Tables Sup #1'!H177/'Total Duration Tables Sup #1'!$B177)</f>
        <v>2.6489807848276721</v>
      </c>
      <c r="I45" s="1">
        <f ca="1">$B45*('Updated Population'!I$37/'Updated Population'!$B$37)*('Total Duration Tables Sup #1'!I177/'Total Duration Tables Sup #1'!$B177)</f>
        <v>2.6870767995852756</v>
      </c>
      <c r="J45" s="1">
        <f ca="1">$B45*('Updated Population'!J$37/'Updated Population'!$B$37)*('Total Duration Tables Sup #1'!J177/'Total Duration Tables Sup #1'!$B177)</f>
        <v>2.7170442492272686</v>
      </c>
      <c r="K45" s="1">
        <f ca="1">$B45*('Updated Population'!K$37/'Updated Population'!$B$37)*('Total Duration Tables Sup #1'!K177/'Total Duration Tables Sup #1'!$B177)</f>
        <v>2.7414416851145575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Duration Tables Sup #1'!C178/'Total Duration Tables Sup #1'!$B178)</f>
        <v>0</v>
      </c>
      <c r="D46" s="4">
        <f ca="1">$B46*('Updated Population'!D$37/'Updated Population'!$B$37)*('Total Duration Tables Sup #1'!D178/'Total Duration Tables Sup #1'!$B178)</f>
        <v>0</v>
      </c>
      <c r="E46" s="4">
        <f ca="1">$B46*('Updated Population'!E$37/'Updated Population'!$B$37)*('Total Duration Tables Sup #1'!E178/'Total Duration Tables Sup #1'!$B178)</f>
        <v>0</v>
      </c>
      <c r="F46" s="4">
        <f ca="1">$B46*('Updated Population'!F$37/'Updated Population'!$B$37)*('Total Duration Tables Sup #1'!F178/'Total Duration Tables Sup #1'!$B178)</f>
        <v>0</v>
      </c>
      <c r="G46" s="4">
        <f ca="1">$B46*('Updated Population'!G$37/'Updated Population'!$B$37)*('Total Duration Tables Sup #1'!G178/'Total Duration Tables Sup #1'!$B178)</f>
        <v>0</v>
      </c>
      <c r="H46" s="4">
        <f ca="1">$B46*('Updated Population'!H$37/'Updated Population'!$B$37)*('Total Duration Tables Sup #1'!H178/'Total Duration Tables Sup #1'!$B178)</f>
        <v>0</v>
      </c>
      <c r="I46" s="1">
        <f ca="1">$B46*('Updated Population'!I$37/'Updated Population'!$B$37)*('Total Duration Tables Sup #1'!I178/'Total Duration Tables Sup #1'!$B178)</f>
        <v>0</v>
      </c>
      <c r="J46" s="1">
        <f ca="1">$B46*('Updated Population'!J$37/'Updated Population'!$B$37)*('Total Duration Tables Sup #1'!J178/'Total Duration Tables Sup #1'!$B178)</f>
        <v>0</v>
      </c>
      <c r="K46" s="1">
        <f ca="1">$B46*('Updated Population'!K$37/'Updated Population'!$B$37)*('Total Duration Tables Sup #1'!K178/'Total Duration Tables Sup #1'!$B178)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$B47*('Updated Population'!C$37/'Updated Population'!$B$37)*('Total Duration Tables Sup #1'!C179/'Total Duration Tables Sup #1'!$B179)</f>
        <v>0.23558317410831806</v>
      </c>
      <c r="D47" s="4">
        <f ca="1">$B47*('Updated Population'!D$37/'Updated Population'!$B$37)*('Total Duration Tables Sup #1'!D179/'Total Duration Tables Sup #1'!$B179)</f>
        <v>0.25021547553065904</v>
      </c>
      <c r="E47" s="4">
        <f ca="1">$B47*('Updated Population'!E$37/'Updated Population'!$B$37)*('Total Duration Tables Sup #1'!E179/'Total Duration Tables Sup #1'!$B179)</f>
        <v>0.25761047881515753</v>
      </c>
      <c r="F47" s="4">
        <f ca="1">$B47*('Updated Population'!F$37/'Updated Population'!$B$37)*('Total Duration Tables Sup #1'!F179/'Total Duration Tables Sup #1'!$B179)</f>
        <v>0.26278783081000084</v>
      </c>
      <c r="G47" s="4">
        <f ca="1">$B47*('Updated Population'!G$37/'Updated Population'!$B$37)*('Total Duration Tables Sup #1'!G179/'Total Duration Tables Sup #1'!$B179)</f>
        <v>0.26853159320491432</v>
      </c>
      <c r="H47" s="4">
        <f ca="1">$B47*('Updated Population'!H$37/'Updated Population'!$B$37)*('Total Duration Tables Sup #1'!H179/'Total Duration Tables Sup #1'!$B179)</f>
        <v>0.27231977848688277</v>
      </c>
      <c r="I47" s="1">
        <f ca="1">$B47*('Updated Population'!I$37/'Updated Population'!$B$37)*('Total Duration Tables Sup #1'!I179/'Total Duration Tables Sup #1'!$B179)</f>
        <v>0.27623611429401418</v>
      </c>
      <c r="J47" s="1">
        <f ca="1">$B47*('Updated Population'!J$37/'Updated Population'!$B$37)*('Total Duration Tables Sup #1'!J179/'Total Duration Tables Sup #1'!$B179)</f>
        <v>0.27931681963361721</v>
      </c>
      <c r="K47" s="1">
        <f ca="1">$B47*('Updated Population'!K$37/'Updated Population'!$B$37)*('Total Duration Tables Sup #1'!K179/'Total Duration Tables Sup #1'!$B179)</f>
        <v>0.28182491798394432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$B49*('Updated Population'!C$48/'Updated Population'!$B$48)*('Total Duration Tables Sup #1'!C170/'Total Duration Tables Sup #1'!$B170)</f>
        <v>2.303782880313503</v>
      </c>
      <c r="D49" s="4">
        <f ca="1">$B49*('Updated Population'!D$48/'Updated Population'!$B$48)*('Total Duration Tables Sup #1'!D170/'Total Duration Tables Sup #1'!$B170)</f>
        <v>2.3042099718791178</v>
      </c>
      <c r="E49" s="4">
        <f ca="1">$B49*('Updated Population'!E$48/'Updated Population'!$B$48)*('Total Duration Tables Sup #1'!E170/'Total Duration Tables Sup #1'!$B170)</f>
        <v>2.2789533969289906</v>
      </c>
      <c r="F49" s="4">
        <f ca="1">$B49*('Updated Population'!F$48/'Updated Population'!$B$48)*('Total Duration Tables Sup #1'!F170/'Total Duration Tables Sup #1'!$B170)</f>
        <v>2.2317931057726992</v>
      </c>
      <c r="G49" s="4">
        <f ca="1">$B49*('Updated Population'!G$48/'Updated Population'!$B$48)*('Total Duration Tables Sup #1'!G170/'Total Duration Tables Sup #1'!$B170)</f>
        <v>2.1720718905498781</v>
      </c>
      <c r="H49" s="4">
        <f ca="1">$B49*('Updated Population'!H$48/'Updated Population'!$B$48)*('Total Duration Tables Sup #1'!H170/'Total Duration Tables Sup #1'!$B170)</f>
        <v>2.1062690370454149</v>
      </c>
      <c r="I49" s="1">
        <f ca="1">$B49*('Updated Population'!I$48/'Updated Population'!$B$48)*('Total Duration Tables Sup #1'!I170/'Total Duration Tables Sup #1'!$B170)</f>
        <v>2.0865006553772854</v>
      </c>
      <c r="J49" s="1">
        <f ca="1">$B49*('Updated Population'!J$48/'Updated Population'!$B$48)*('Total Duration Tables Sup #1'!J170/'Total Duration Tables Sup #1'!$B170)</f>
        <v>2.0603384542679</v>
      </c>
      <c r="K49" s="1">
        <f ca="1">$B49*('Updated Population'!K$48/'Updated Population'!$B$48)*('Total Duration Tables Sup #1'!K170/'Total Duration Tables Sup #1'!$B170)</f>
        <v>2.0301320144716861</v>
      </c>
    </row>
    <row r="50" spans="1:11" x14ac:dyDescent="0.25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$B50*('Updated Population'!C$48/'Updated Population'!$B$48)*('Total Duration Tables Sup #1'!C171/'Total Duration Tables Sup #1'!$B171)</f>
        <v>0.28995665431164364</v>
      </c>
      <c r="D50" s="4">
        <f ca="1">$B50*('Updated Population'!D$48/'Updated Population'!$B$48)*('Total Duration Tables Sup #1'!D171/'Total Duration Tables Sup #1'!$B171)</f>
        <v>0.29104428012482425</v>
      </c>
      <c r="E50" s="4">
        <f ca="1">$B50*('Updated Population'!E$48/'Updated Population'!$B$48)*('Total Duration Tables Sup #1'!E171/'Total Duration Tables Sup #1'!$B171)</f>
        <v>0.28755080280991763</v>
      </c>
      <c r="F50" s="4">
        <f ca="1">$B50*('Updated Population'!F$48/'Updated Population'!$B$48)*('Total Duration Tables Sup #1'!F171/'Total Duration Tables Sup #1'!$B171)</f>
        <v>0.2861888957440859</v>
      </c>
      <c r="G50" s="4">
        <f ca="1">$B50*('Updated Population'!G$48/'Updated Population'!$B$48)*('Total Duration Tables Sup #1'!G171/'Total Duration Tables Sup #1'!$B171)</f>
        <v>0.28704205957303836</v>
      </c>
      <c r="H50" s="4">
        <f ca="1">$B50*('Updated Population'!H$48/'Updated Population'!$B$48)*('Total Duration Tables Sup #1'!H171/'Total Duration Tables Sup #1'!$B171)</f>
        <v>0.28791826213409699</v>
      </c>
      <c r="I50" s="1">
        <f ca="1">$B50*('Updated Population'!I$48/'Updated Population'!$B$48)*('Total Duration Tables Sup #1'!I171/'Total Duration Tables Sup #1'!$B171)</f>
        <v>0.28521600615682852</v>
      </c>
      <c r="J50" s="1">
        <f ca="1">$B50*('Updated Population'!J$48/'Updated Population'!$B$48)*('Total Duration Tables Sup #1'!J171/'Total Duration Tables Sup #1'!$B171)</f>
        <v>0.28163974151801324</v>
      </c>
      <c r="K50" s="1">
        <f ca="1">$B50*('Updated Population'!K$48/'Updated Population'!$B$48)*('Total Duration Tables Sup #1'!K171/'Total Duration Tables Sup #1'!$B171)</f>
        <v>0.27751064618478655</v>
      </c>
    </row>
    <row r="51" spans="1:11" x14ac:dyDescent="0.25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$B51*('Updated Population'!C$48/'Updated Population'!$B$48)*('Total Duration Tables Sup #1'!C172/'Total Duration Tables Sup #1'!$B172)</f>
        <v>6.326358070696692</v>
      </c>
      <c r="D51" s="4">
        <f ca="1">$B51*('Updated Population'!D$48/'Updated Population'!$B$48)*('Total Duration Tables Sup #1'!D172/'Total Duration Tables Sup #1'!$B172)</f>
        <v>6.4568900521415911</v>
      </c>
      <c r="E51" s="4">
        <f ca="1">$B51*('Updated Population'!E$48/'Updated Population'!$B$48)*('Total Duration Tables Sup #1'!E172/'Total Duration Tables Sup #1'!$B172)</f>
        <v>6.5675069393923158</v>
      </c>
      <c r="F51" s="4">
        <f ca="1">$B51*('Updated Population'!F$48/'Updated Population'!$B$48)*('Total Duration Tables Sup #1'!F172/'Total Duration Tables Sup #1'!$B172)</f>
        <v>6.641549486166503</v>
      </c>
      <c r="G51" s="4">
        <f ca="1">$B51*('Updated Population'!G$48/'Updated Population'!$B$48)*('Total Duration Tables Sup #1'!G172/'Total Duration Tables Sup #1'!$B172)</f>
        <v>6.6323265002154095</v>
      </c>
      <c r="H51" s="4">
        <f ca="1">$B51*('Updated Population'!H$48/'Updated Population'!$B$48)*('Total Duration Tables Sup #1'!H172/'Total Duration Tables Sup #1'!$B172)</f>
        <v>6.5912564576086599</v>
      </c>
      <c r="I51" s="1">
        <f ca="1">$B51*('Updated Population'!I$48/'Updated Population'!$B$48)*('Total Duration Tables Sup #1'!I172/'Total Duration Tables Sup #1'!$B172)</f>
        <v>6.529394240088096</v>
      </c>
      <c r="J51" s="1">
        <f ca="1">$B51*('Updated Population'!J$48/'Updated Population'!$B$48)*('Total Duration Tables Sup #1'!J172/'Total Duration Tables Sup #1'!$B172)</f>
        <v>6.4475235132367024</v>
      </c>
      <c r="K51" s="1">
        <f ca="1">$B51*('Updated Population'!K$48/'Updated Population'!$B$48)*('Total Duration Tables Sup #1'!K172/'Total Duration Tables Sup #1'!$B172)</f>
        <v>6.3529969414330125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$B52*('Updated Population'!C$48/'Updated Population'!$B$48)*('Total Duration Tables Sup #1'!C173/'Total Duration Tables Sup #1'!$B173)</f>
        <v>4.616110383239076</v>
      </c>
      <c r="D52" s="4">
        <f ca="1">$B52*('Updated Population'!D$48/'Updated Population'!$B$48)*('Total Duration Tables Sup #1'!D173/'Total Duration Tables Sup #1'!$B173)</f>
        <v>4.5947368342055679</v>
      </c>
      <c r="E52" s="4">
        <f ca="1">$B52*('Updated Population'!E$48/'Updated Population'!$B$48)*('Total Duration Tables Sup #1'!E173/'Total Duration Tables Sup #1'!$B173)</f>
        <v>4.5607526195716508</v>
      </c>
      <c r="F52" s="4">
        <f ca="1">$B52*('Updated Population'!F$48/'Updated Population'!$B$48)*('Total Duration Tables Sup #1'!F173/'Total Duration Tables Sup #1'!$B173)</f>
        <v>4.4974350459244619</v>
      </c>
      <c r="G52" s="4">
        <f ca="1">$B52*('Updated Population'!G$48/'Updated Population'!$B$48)*('Total Duration Tables Sup #1'!G173/'Total Duration Tables Sup #1'!$B173)</f>
        <v>4.3981433349696601</v>
      </c>
      <c r="H52" s="4">
        <f ca="1">$B52*('Updated Population'!H$48/'Updated Population'!$B$48)*('Total Duration Tables Sup #1'!H173/'Total Duration Tables Sup #1'!$B173)</f>
        <v>4.2807872291088245</v>
      </c>
      <c r="I52" s="1">
        <f ca="1">$B52*('Updated Population'!I$48/'Updated Population'!$B$48)*('Total Duration Tables Sup #1'!I173/'Total Duration Tables Sup #1'!$B173)</f>
        <v>4.2406099135348434</v>
      </c>
      <c r="J52" s="1">
        <f ca="1">$B52*('Updated Population'!J$48/'Updated Population'!$B$48)*('Total Duration Tables Sup #1'!J173/'Total Duration Tables Sup #1'!$B173)</f>
        <v>4.1874377809987564</v>
      </c>
      <c r="K52" s="1">
        <f ca="1">$B52*('Updated Population'!K$48/'Updated Population'!$B$48)*('Total Duration Tables Sup #1'!K173/'Total Duration Tables Sup #1'!$B173)</f>
        <v>4.1260461261616026</v>
      </c>
    </row>
    <row r="53" spans="1:11" x14ac:dyDescent="0.25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$B53*('Updated Population'!C$48/'Updated Population'!$B$48)*('Total Duration Tables Sup #1'!C174/'Total Duration Tables Sup #1'!$B174)</f>
        <v>5.5346089134350298E-3</v>
      </c>
      <c r="D53" s="4">
        <f ca="1">$B53*('Updated Population'!D$48/'Updated Population'!$B$48)*('Total Duration Tables Sup #1'!D174/'Total Duration Tables Sup #1'!$B174)</f>
        <v>5.9002578014879349E-3</v>
      </c>
      <c r="E53" s="4">
        <f ca="1">$B53*('Updated Population'!E$48/'Updated Population'!$B$48)*('Total Duration Tables Sup #1'!E174/'Total Duration Tables Sup #1'!$B174)</f>
        <v>6.18549626258079E-3</v>
      </c>
      <c r="F53" s="4">
        <f ca="1">$B53*('Updated Population'!F$48/'Updated Population'!$B$48)*('Total Duration Tables Sup #1'!F174/'Total Duration Tables Sup #1'!$B174)</f>
        <v>6.3927582284868077E-3</v>
      </c>
      <c r="G53" s="4">
        <f ca="1">$B53*('Updated Population'!G$48/'Updated Population'!$B$48)*('Total Duration Tables Sup #1'!G174/'Total Duration Tables Sup #1'!$B174)</f>
        <v>6.4626113803617049E-3</v>
      </c>
      <c r="H53" s="4">
        <f ca="1">$B53*('Updated Population'!H$48/'Updated Population'!$B$48)*('Total Duration Tables Sup #1'!H174/'Total Duration Tables Sup #1'!$B174)</f>
        <v>6.4997845982513684E-3</v>
      </c>
      <c r="I53" s="1">
        <f ca="1">$B53*('Updated Population'!I$48/'Updated Population'!$B$48)*('Total Duration Tables Sup #1'!I174/'Total Duration Tables Sup #1'!$B174)</f>
        <v>6.4387808895897698E-3</v>
      </c>
      <c r="J53" s="1">
        <f ca="1">$B53*('Updated Population'!J$48/'Updated Population'!$B$48)*('Total Duration Tables Sup #1'!J174/'Total Duration Tables Sup #1'!$B174)</f>
        <v>6.3580463448396482E-3</v>
      </c>
      <c r="K53" s="1">
        <f ca="1">$B53*('Updated Population'!K$48/'Updated Population'!$B$48)*('Total Duration Tables Sup #1'!K174/'Total Duration Tables Sup #1'!$B174)</f>
        <v>6.2648315898856241E-3</v>
      </c>
    </row>
    <row r="54" spans="1:11" x14ac:dyDescent="0.25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$B54*('Updated Population'!C$48/'Updated Population'!$B$48)*('Total Duration Tables Sup #1'!C175/'Total Duration Tables Sup #1'!$B175)</f>
        <v>4.7891579623333076E-2</v>
      </c>
      <c r="D54" s="4">
        <f ca="1">$B54*('Updated Population'!D$48/'Updated Population'!$B$48)*('Total Duration Tables Sup #1'!D175/'Total Duration Tables Sup #1'!$B175)</f>
        <v>4.8204106814683401E-2</v>
      </c>
      <c r="E54" s="4">
        <f ca="1">$B54*('Updated Population'!E$48/'Updated Population'!$B$48)*('Total Duration Tables Sup #1'!E175/'Total Duration Tables Sup #1'!$B175)</f>
        <v>4.8127262538033656E-2</v>
      </c>
      <c r="F54" s="4">
        <f ca="1">$B54*('Updated Population'!F$48/'Updated Population'!$B$48)*('Total Duration Tables Sup #1'!F175/'Total Duration Tables Sup #1'!$B175)</f>
        <v>4.7801234875563384E-2</v>
      </c>
      <c r="G54" s="4">
        <f ca="1">$B54*('Updated Population'!G$48/'Updated Population'!$B$48)*('Total Duration Tables Sup #1'!G175/'Total Duration Tables Sup #1'!$B175)</f>
        <v>4.6678188194298267E-2</v>
      </c>
      <c r="H54" s="4">
        <f ca="1">$B54*('Updated Population'!H$48/'Updated Population'!$B$48)*('Total Duration Tables Sup #1'!H175/'Total Duration Tables Sup #1'!$B175)</f>
        <v>4.5332023175162738E-2</v>
      </c>
      <c r="I54" s="1">
        <f ca="1">$B54*('Updated Population'!I$48/'Updated Population'!$B$48)*('Total Duration Tables Sup #1'!I175/'Total Duration Tables Sup #1'!$B175)</f>
        <v>4.4906559608945108E-2</v>
      </c>
      <c r="J54" s="1">
        <f ca="1">$B54*('Updated Population'!J$48/'Updated Population'!$B$48)*('Total Duration Tables Sup #1'!J175/'Total Duration Tables Sup #1'!$B175)</f>
        <v>4.4343485525746511E-2</v>
      </c>
      <c r="K54" s="1">
        <f ca="1">$B54*('Updated Population'!K$48/'Updated Population'!$B$48)*('Total Duration Tables Sup #1'!K175/'Total Duration Tables Sup #1'!$B175)</f>
        <v>4.3693369607600591E-2</v>
      </c>
    </row>
    <row r="55" spans="1:11" x14ac:dyDescent="0.25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Duration Tables Sup #1'!C176/'Total Duration Tables Sup #1'!$B176)</f>
        <v>0</v>
      </c>
      <c r="D55" s="4">
        <f ca="1">$B55*('Updated Population'!D$48/'Updated Population'!$B$48)*('Total Duration Tables Sup #1'!D176/'Total Duration Tables Sup #1'!$B176)</f>
        <v>0</v>
      </c>
      <c r="E55" s="4">
        <f ca="1">$B55*('Updated Population'!E$48/'Updated Population'!$B$48)*('Total Duration Tables Sup #1'!E176/'Total Duration Tables Sup #1'!$B176)</f>
        <v>0</v>
      </c>
      <c r="F55" s="4">
        <f ca="1">$B55*('Updated Population'!F$48/'Updated Population'!$B$48)*('Total Duration Tables Sup #1'!F176/'Total Duration Tables Sup #1'!$B176)</f>
        <v>0</v>
      </c>
      <c r="G55" s="4">
        <f ca="1">$B55*('Updated Population'!G$48/'Updated Population'!$B$48)*('Total Duration Tables Sup #1'!G176/'Total Duration Tables Sup #1'!$B176)</f>
        <v>0</v>
      </c>
      <c r="H55" s="4">
        <f ca="1">$B55*('Updated Population'!H$48/'Updated Population'!$B$48)*('Total Duration Tables Sup #1'!H176/'Total Duration Tables Sup #1'!$B176)</f>
        <v>0</v>
      </c>
      <c r="I55" s="1">
        <f ca="1">$B55*('Updated Population'!I$48/'Updated Population'!$B$48)*('Total Duration Tables Sup #1'!I176/'Total Duration Tables Sup #1'!$B176)</f>
        <v>0</v>
      </c>
      <c r="J55" s="1">
        <f ca="1">$B55*('Updated Population'!J$48/'Updated Population'!$B$48)*('Total Duration Tables Sup #1'!J176/'Total Duration Tables Sup #1'!$B176)</f>
        <v>0</v>
      </c>
      <c r="K55" s="1">
        <f ca="1">$B55*('Updated Population'!K$48/'Updated Population'!$B$48)*('Total Duration Tables Sup #1'!K176/'Total Duration Tables Sup #1'!$B176)</f>
        <v>0</v>
      </c>
    </row>
    <row r="56" spans="1:11" x14ac:dyDescent="0.25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$B56*('Updated Population'!C$48/'Updated Population'!$B$48)*('Total Duration Tables Sup #1'!C177/'Total Duration Tables Sup #1'!$B177)</f>
        <v>0.16796626621877908</v>
      </c>
      <c r="D56" s="4">
        <f ca="1">$B56*('Updated Population'!D$48/'Updated Population'!$B$48)*('Total Duration Tables Sup #1'!D177/'Total Duration Tables Sup #1'!$B177)</f>
        <v>0.16034227181819818</v>
      </c>
      <c r="E56" s="4">
        <f ca="1">$B56*('Updated Population'!E$48/'Updated Population'!$B$48)*('Total Duration Tables Sup #1'!E177/'Total Duration Tables Sup #1'!$B177)</f>
        <v>0.15491159520302505</v>
      </c>
      <c r="F56" s="4">
        <f ca="1">$B56*('Updated Population'!F$48/'Updated Population'!$B$48)*('Total Duration Tables Sup #1'!F177/'Total Duration Tables Sup #1'!$B177)</f>
        <v>0.14776230587073755</v>
      </c>
      <c r="G56" s="4">
        <f ca="1">$B56*('Updated Population'!G$48/'Updated Population'!$B$48)*('Total Duration Tables Sup #1'!G177/'Total Duration Tables Sup #1'!$B177)</f>
        <v>0.14148461995585582</v>
      </c>
      <c r="H56" s="4">
        <f ca="1">$B56*('Updated Population'!H$48/'Updated Population'!$B$48)*('Total Duration Tables Sup #1'!H177/'Total Duration Tables Sup #1'!$B177)</f>
        <v>0.1349179041137594</v>
      </c>
      <c r="I56" s="1">
        <f ca="1">$B56*('Updated Population'!I$48/'Updated Population'!$B$48)*('Total Duration Tables Sup #1'!I177/'Total Duration Tables Sup #1'!$B177)</f>
        <v>0.13365163253331291</v>
      </c>
      <c r="J56" s="1">
        <f ca="1">$B56*('Updated Population'!J$48/'Updated Population'!$B$48)*('Total Duration Tables Sup #1'!J177/'Total Duration Tables Sup #1'!$B177)</f>
        <v>0.13197580229577008</v>
      </c>
      <c r="K56" s="1">
        <f ca="1">$B56*('Updated Population'!K$48/'Updated Population'!$B$48)*('Total Duration Tables Sup #1'!K177/'Total Duration Tables Sup #1'!$B177)</f>
        <v>0.13004091673444579</v>
      </c>
    </row>
    <row r="57" spans="1:11" x14ac:dyDescent="0.25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$B57*('Updated Population'!C$48/'Updated Population'!$B$48)*('Total Duration Tables Sup #1'!C178/'Total Duration Tables Sup #1'!$B178)</f>
        <v>7.1903532160726901E-3</v>
      </c>
      <c r="D57" s="4">
        <f ca="1">$B57*('Updated Population'!D$48/'Updated Population'!$B$48)*('Total Duration Tables Sup #1'!D178/'Total Duration Tables Sup #1'!$B178)</f>
        <v>7.6214552201594706E-3</v>
      </c>
      <c r="E57" s="4">
        <f ca="1">$B57*('Updated Population'!E$48/'Updated Population'!$B$48)*('Total Duration Tables Sup #1'!E178/'Total Duration Tables Sup #1'!$B178)</f>
        <v>7.8616634427915097E-3</v>
      </c>
      <c r="F57" s="4">
        <f ca="1">$B57*('Updated Population'!F$48/'Updated Population'!$B$48)*('Total Duration Tables Sup #1'!F178/'Total Duration Tables Sup #1'!$B178)</f>
        <v>7.9765470201995821E-3</v>
      </c>
      <c r="G57" s="4">
        <f ca="1">$B57*('Updated Population'!G$48/'Updated Population'!$B$48)*('Total Duration Tables Sup #1'!G178/'Total Duration Tables Sup #1'!$B178)</f>
        <v>8.1847477152824245E-3</v>
      </c>
      <c r="H57" s="4">
        <f ca="1">$B57*('Updated Population'!H$48/'Updated Population'!$B$48)*('Total Duration Tables Sup #1'!H178/'Total Duration Tables Sup #1'!$B178)</f>
        <v>8.3115645952438061E-3</v>
      </c>
      <c r="I57" s="1">
        <f ca="1">$B57*('Updated Population'!I$48/'Updated Population'!$B$48)*('Total Duration Tables Sup #1'!I178/'Total Duration Tables Sup #1'!$B178)</f>
        <v>8.2335564309076043E-3</v>
      </c>
      <c r="J57" s="1">
        <f ca="1">$B57*('Updated Population'!J$48/'Updated Population'!$B$48)*('Total Duration Tables Sup #1'!J178/'Total Duration Tables Sup #1'!$B178)</f>
        <v>8.1303175660475645E-3</v>
      </c>
      <c r="K57" s="1">
        <f ca="1">$B57*('Updated Population'!K$48/'Updated Population'!$B$48)*('Total Duration Tables Sup #1'!K178/'Total Duration Tables Sup #1'!$B178)</f>
        <v>8.0111196995153993E-3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$B58*('Updated Population'!C$48/'Updated Population'!$B$48)*('Total Duration Tables Sup #1'!C179/'Total Duration Tables Sup #1'!$B179)</f>
        <v>5.4985797769247476E-3</v>
      </c>
      <c r="D58" s="4">
        <f ca="1">$B58*('Updated Population'!D$48/'Updated Population'!$B$48)*('Total Duration Tables Sup #1'!D179/'Total Duration Tables Sup #1'!$B179)</f>
        <v>5.6701072677008144E-3</v>
      </c>
      <c r="E58" s="4">
        <f ca="1">$B58*('Updated Population'!E$48/'Updated Population'!$B$48)*('Total Duration Tables Sup #1'!E179/'Total Duration Tables Sup #1'!$B179)</f>
        <v>5.7043491027041534E-3</v>
      </c>
      <c r="F58" s="4">
        <f ca="1">$B58*('Updated Population'!F$48/'Updated Population'!$B$48)*('Total Duration Tables Sup #1'!F179/'Total Duration Tables Sup #1'!$B179)</f>
        <v>5.6883278002803472E-3</v>
      </c>
      <c r="G58" s="4">
        <f ca="1">$B58*('Updated Population'!G$48/'Updated Population'!$B$48)*('Total Duration Tables Sup #1'!G179/'Total Duration Tables Sup #1'!$B179)</f>
        <v>5.6756816027047465E-3</v>
      </c>
      <c r="H58" s="4">
        <f ca="1">$B58*('Updated Population'!H$48/'Updated Population'!$B$48)*('Total Duration Tables Sup #1'!H179/'Total Duration Tables Sup #1'!$B179)</f>
        <v>5.6208918799843773E-3</v>
      </c>
      <c r="I58" s="1">
        <f ca="1">$B58*('Updated Population'!I$48/'Updated Population'!$B$48)*('Total Duration Tables Sup #1'!I179/'Total Duration Tables Sup #1'!$B179)</f>
        <v>5.5681370162682532E-3</v>
      </c>
      <c r="J58" s="1">
        <f ca="1">$B58*('Updated Population'!J$48/'Updated Population'!$B$48)*('Total Duration Tables Sup #1'!J179/'Total Duration Tables Sup #1'!$B179)</f>
        <v>5.4983192953637358E-3</v>
      </c>
      <c r="K58" s="1">
        <f ca="1">$B58*('Updated Population'!K$48/'Updated Population'!$B$48)*('Total Duration Tables Sup #1'!K179/'Total Duration Tables Sup #1'!$B179)</f>
        <v>5.4177089226204967E-3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$B60*('Updated Population'!C$59/'Updated Population'!$B$59)*('Total Duration Tables Sup #1'!C170/'Total Duration Tables Sup #1'!$B170)</f>
        <v>6.0754738124104115</v>
      </c>
      <c r="D60" s="4">
        <f ca="1">$B60*('Updated Population'!D$59/'Updated Population'!$B$59)*('Total Duration Tables Sup #1'!D170/'Total Duration Tables Sup #1'!$B170)</f>
        <v>6.0858650877958222</v>
      </c>
      <c r="E60" s="4">
        <f ca="1">$B60*('Updated Population'!E$59/'Updated Population'!$B$59)*('Total Duration Tables Sup #1'!E170/'Total Duration Tables Sup #1'!$B170)</f>
        <v>6.0357408252370881</v>
      </c>
      <c r="F60" s="4">
        <f ca="1">$B60*('Updated Population'!F$59/'Updated Population'!$B$59)*('Total Duration Tables Sup #1'!F170/'Total Duration Tables Sup #1'!$B170)</f>
        <v>5.9205420648069556</v>
      </c>
      <c r="G60" s="4">
        <f ca="1">$B60*('Updated Population'!G$59/'Updated Population'!$B$59)*('Total Duration Tables Sup #1'!G170/'Total Duration Tables Sup #1'!$B170)</f>
        <v>5.7803356804291672</v>
      </c>
      <c r="H60" s="4">
        <f ca="1">$B60*('Updated Population'!H$59/'Updated Population'!$B$59)*('Total Duration Tables Sup #1'!H170/'Total Duration Tables Sup #1'!$B170)</f>
        <v>5.6191797958816707</v>
      </c>
      <c r="I60" s="1">
        <f ca="1">$B60*('Updated Population'!I$59/'Updated Population'!$B$59)*('Total Duration Tables Sup #1'!I170/'Total Duration Tables Sup #1'!$B170)</f>
        <v>5.580303637905585</v>
      </c>
      <c r="J60" s="1">
        <f ca="1">$B60*('Updated Population'!J$59/'Updated Population'!$B$59)*('Total Duration Tables Sup #1'!J170/'Total Duration Tables Sup #1'!$B170)</f>
        <v>5.5240562690388781</v>
      </c>
      <c r="K60" s="1">
        <f ca="1">$B60*('Updated Population'!K$59/'Updated Population'!$B$59)*('Total Duration Tables Sup #1'!K170/'Total Duration Tables Sup #1'!$B170)</f>
        <v>5.4566239596901847</v>
      </c>
    </row>
    <row r="61" spans="1:11" x14ac:dyDescent="0.25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$B61*('Updated Population'!C$59/'Updated Population'!$B$59)*('Total Duration Tables Sup #1'!C171/'Total Duration Tables Sup #1'!$B171)</f>
        <v>0.91984424820496435</v>
      </c>
      <c r="D61" s="4">
        <f ca="1">$B61*('Updated Population'!D$59/'Updated Population'!$B$59)*('Total Duration Tables Sup #1'!D171/'Total Duration Tables Sup #1'!$B171)</f>
        <v>0.92470232142678288</v>
      </c>
      <c r="E61" s="4">
        <f ca="1">$B61*('Updated Population'!E$59/'Updated Population'!$B$59)*('Total Duration Tables Sup #1'!E171/'Total Duration Tables Sup #1'!$B171)</f>
        <v>0.91611993500363986</v>
      </c>
      <c r="F61" s="4">
        <f ca="1">$B61*('Updated Population'!F$59/'Updated Population'!$B$59)*('Total Duration Tables Sup #1'!F171/'Total Duration Tables Sup #1'!$B171)</f>
        <v>0.91327785872301104</v>
      </c>
      <c r="G61" s="4">
        <f ca="1">$B61*('Updated Population'!G$59/'Updated Population'!$B$59)*('Total Duration Tables Sup #1'!G171/'Total Duration Tables Sup #1'!$B171)</f>
        <v>0.91889737859090459</v>
      </c>
      <c r="H61" s="4">
        <f ca="1">$B61*('Updated Population'!H$59/'Updated Population'!$B$59)*('Total Duration Tables Sup #1'!H171/'Total Duration Tables Sup #1'!$B171)</f>
        <v>0.92399773711330013</v>
      </c>
      <c r="I61" s="1">
        <f ca="1">$B61*('Updated Population'!I$59/'Updated Population'!$B$59)*('Total Duration Tables Sup #1'!I171/'Total Duration Tables Sup #1'!$B171)</f>
        <v>0.9176050813695048</v>
      </c>
      <c r="J61" s="1">
        <f ca="1">$B61*('Updated Population'!J$59/'Updated Population'!$B$59)*('Total Duration Tables Sup #1'!J171/'Total Duration Tables Sup #1'!$B171)</f>
        <v>0.90835596611793279</v>
      </c>
      <c r="K61" s="1">
        <f ca="1">$B61*('Updated Population'!K$59/'Updated Population'!$B$59)*('Total Duration Tables Sup #1'!K171/'Total Duration Tables Sup #1'!$B171)</f>
        <v>0.8972676394386222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$B62*('Updated Population'!C$59/'Updated Population'!$B$59)*('Total Duration Tables Sup #1'!C172/'Total Duration Tables Sup #1'!$B172)</f>
        <v>26.850177338013957</v>
      </c>
      <c r="D62" s="4">
        <f ca="1">$B62*('Updated Population'!D$59/'Updated Population'!$B$59)*('Total Duration Tables Sup #1'!D172/'Total Duration Tables Sup #1'!$B172)</f>
        <v>27.445961055837728</v>
      </c>
      <c r="E62" s="4">
        <f ca="1">$B62*('Updated Population'!E$59/'Updated Population'!$B$59)*('Total Duration Tables Sup #1'!E172/'Total Duration Tables Sup #1'!$B172)</f>
        <v>27.993065581539117</v>
      </c>
      <c r="F62" s="4">
        <f ca="1">$B62*('Updated Population'!F$59/'Updated Population'!$B$59)*('Total Duration Tables Sup #1'!F172/'Total Duration Tables Sup #1'!$B172)</f>
        <v>28.355136019238241</v>
      </c>
      <c r="G62" s="4">
        <f ca="1">$B62*('Updated Population'!G$59/'Updated Population'!$B$59)*('Total Duration Tables Sup #1'!G172/'Total Duration Tables Sup #1'!$B172)</f>
        <v>28.405310762615759</v>
      </c>
      <c r="H62" s="4">
        <f ca="1">$B62*('Updated Population'!H$59/'Updated Population'!$B$59)*('Total Duration Tables Sup #1'!H172/'Total Duration Tables Sup #1'!$B172)</f>
        <v>28.299716004760374</v>
      </c>
      <c r="I62" s="1">
        <f ca="1">$B62*('Updated Population'!I$59/'Updated Population'!$B$59)*('Total Duration Tables Sup #1'!I172/'Total Duration Tables Sup #1'!$B172)</f>
        <v>28.10392511177529</v>
      </c>
      <c r="J62" s="1">
        <f ca="1">$B62*('Updated Population'!J$59/'Updated Population'!$B$59)*('Total Duration Tables Sup #1'!J172/'Total Duration Tables Sup #1'!$B172)</f>
        <v>27.820648081538696</v>
      </c>
      <c r="K62" s="1">
        <f ca="1">$B62*('Updated Population'!K$59/'Updated Population'!$B$59)*('Total Duration Tables Sup #1'!K172/'Total Duration Tables Sup #1'!$B172)</f>
        <v>27.481040652441695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$B63*('Updated Population'!C$59/'Updated Population'!$B$59)*('Total Duration Tables Sup #1'!C173/'Total Duration Tables Sup #1'!$B173)</f>
        <v>15.413499483834569</v>
      </c>
      <c r="D63" s="4">
        <f ca="1">$B63*('Updated Population'!D$59/'Updated Population'!$B$59)*('Total Duration Tables Sup #1'!D173/'Total Duration Tables Sup #1'!$B173)</f>
        <v>15.36552385225083</v>
      </c>
      <c r="E63" s="4">
        <f ca="1">$B63*('Updated Population'!E$59/'Updated Population'!$B$59)*('Total Duration Tables Sup #1'!E173/'Total Duration Tables Sup #1'!$B173)</f>
        <v>15.293895385309074</v>
      </c>
      <c r="F63" s="4">
        <f ca="1">$B63*('Updated Population'!F$59/'Updated Population'!$B$59)*('Total Duration Tables Sup #1'!F173/'Total Duration Tables Sup #1'!$B173)</f>
        <v>15.106327625991312</v>
      </c>
      <c r="G63" s="4">
        <f ca="1">$B63*('Updated Population'!G$59/'Updated Population'!$B$59)*('Total Duration Tables Sup #1'!G173/'Total Duration Tables Sup #1'!$B173)</f>
        <v>14.819539330261096</v>
      </c>
      <c r="H63" s="4">
        <f ca="1">$B63*('Updated Population'!H$59/'Updated Population'!$B$59)*('Total Duration Tables Sup #1'!H173/'Total Duration Tables Sup #1'!$B173)</f>
        <v>14.460029782242282</v>
      </c>
      <c r="I63" s="1">
        <f ca="1">$B63*('Updated Population'!I$59/'Updated Population'!$B$59)*('Total Duration Tables Sup #1'!I173/'Total Duration Tables Sup #1'!$B173)</f>
        <v>14.35998841987738</v>
      </c>
      <c r="J63" s="1">
        <f ca="1">$B63*('Updated Population'!J$59/'Updated Population'!$B$59)*('Total Duration Tables Sup #1'!J173/'Total Duration Tables Sup #1'!$B173)</f>
        <v>14.215245119515028</v>
      </c>
      <c r="K63" s="1">
        <f ca="1">$B63*('Updated Population'!K$59/'Updated Population'!$B$59)*('Total Duration Tables Sup #1'!K173/'Total Duration Tables Sup #1'!$B173)</f>
        <v>14.041719224831585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$B64*('Updated Population'!C$59/'Updated Population'!$B$59)*('Total Duration Tables Sup #1'!C174/'Total Duration Tables Sup #1'!$B174)</f>
        <v>5.0527111050455292E-2</v>
      </c>
      <c r="D64" s="4">
        <f ca="1">$B64*('Updated Population'!D$59/'Updated Population'!$B$59)*('Total Duration Tables Sup #1'!D174/'Total Duration Tables Sup #1'!$B174)</f>
        <v>5.3947357873670922E-2</v>
      </c>
      <c r="E64" s="4">
        <f ca="1">$B64*('Updated Population'!E$59/'Updated Population'!$B$59)*('Total Duration Tables Sup #1'!E174/'Total Duration Tables Sup #1'!$B174)</f>
        <v>5.6711170406061905E-2</v>
      </c>
      <c r="F64" s="4">
        <f ca="1">$B64*('Updated Population'!F$59/'Updated Population'!$B$59)*('Total Duration Tables Sup #1'!F174/'Total Duration Tables Sup #1'!$B174)</f>
        <v>5.8707656187438596E-2</v>
      </c>
      <c r="G64" s="4">
        <f ca="1">$B64*('Updated Population'!G$59/'Updated Population'!$B$59)*('Total Duration Tables Sup #1'!G174/'Total Duration Tables Sup #1'!$B174)</f>
        <v>5.9536846627441867E-2</v>
      </c>
      <c r="H64" s="4">
        <f ca="1">$B64*('Updated Population'!H$59/'Updated Population'!$B$59)*('Total Duration Tables Sup #1'!H174/'Total Duration Tables Sup #1'!$B174)</f>
        <v>6.002842824684905E-2</v>
      </c>
      <c r="I64" s="1">
        <f ca="1">$B64*('Updated Population'!I$59/'Updated Population'!$B$59)*('Total Duration Tables Sup #1'!I174/'Total Duration Tables Sup #1'!$B174)</f>
        <v>5.9613123034282088E-2</v>
      </c>
      <c r="J64" s="1">
        <f ca="1">$B64*('Updated Population'!J$59/'Updated Population'!$B$59)*('Total Duration Tables Sup #1'!J174/'Total Duration Tables Sup #1'!$B174)</f>
        <v>5.9012245100359455E-2</v>
      </c>
      <c r="K64" s="1">
        <f ca="1">$B64*('Updated Population'!K$59/'Updated Population'!$B$59)*('Total Duration Tables Sup #1'!K174/'Total Duration Tables Sup #1'!$B174)</f>
        <v>5.8291880974224164E-2</v>
      </c>
    </row>
    <row r="65" spans="1:11" x14ac:dyDescent="0.25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$B65*('Updated Population'!C$59/'Updated Population'!$B$59)*('Total Duration Tables Sup #1'!C175/'Total Duration Tables Sup #1'!$B175)</f>
        <v>0.12215318609948941</v>
      </c>
      <c r="D65" s="4">
        <f ca="1">$B65*('Updated Population'!D$59/'Updated Population'!$B$59)*('Total Duration Tables Sup #1'!D175/'Total Duration Tables Sup #1'!$B175)</f>
        <v>0.12313778570669236</v>
      </c>
      <c r="E65" s="4">
        <f ca="1">$B65*('Updated Population'!E$59/'Updated Population'!$B$59)*('Total Duration Tables Sup #1'!E175/'Total Duration Tables Sup #1'!$B175)</f>
        <v>0.12328019971492876</v>
      </c>
      <c r="F65" s="4">
        <f ca="1">$B65*('Updated Population'!F$59/'Updated Population'!$B$59)*('Total Duration Tables Sup #1'!F175/'Total Duration Tables Sup #1'!$B175)</f>
        <v>0.12264608406503145</v>
      </c>
      <c r="G65" s="4">
        <f ca="1">$B65*('Updated Population'!G$59/'Updated Population'!$B$59)*('Total Duration Tables Sup #1'!G175/'Total Duration Tables Sup #1'!$B175)</f>
        <v>0.1201433911053377</v>
      </c>
      <c r="H65" s="4">
        <f ca="1">$B65*('Updated Population'!H$59/'Updated Population'!$B$59)*('Total Duration Tables Sup #1'!H175/'Total Duration Tables Sup #1'!$B175)</f>
        <v>0.11696911869615854</v>
      </c>
      <c r="I65" s="1">
        <f ca="1">$B65*('Updated Population'!I$59/'Updated Population'!$B$59)*('Total Duration Tables Sup #1'!I175/'Total Duration Tables Sup #1'!$B175)</f>
        <v>0.11615987070945273</v>
      </c>
      <c r="J65" s="1">
        <f ca="1">$B65*('Updated Population'!J$59/'Updated Population'!$B$59)*('Total Duration Tables Sup #1'!J175/'Total Duration Tables Sup #1'!$B175)</f>
        <v>0.11498902275578189</v>
      </c>
      <c r="K65" s="1">
        <f ca="1">$B65*('Updated Population'!K$59/'Updated Population'!$B$59)*('Total Duration Tables Sup #1'!K175/'Total Duration Tables Sup #1'!$B175)</f>
        <v>0.11358534853949427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Duration Tables Sup #1'!C176/'Total Duration Tables Sup #1'!$B176)</f>
        <v>0</v>
      </c>
      <c r="D66" s="4">
        <f ca="1">$B66*('Updated Population'!D$59/'Updated Population'!$B$59)*('Total Duration Tables Sup #1'!D176/'Total Duration Tables Sup #1'!$B176)</f>
        <v>0</v>
      </c>
      <c r="E66" s="4">
        <f ca="1">$B66*('Updated Population'!E$59/'Updated Population'!$B$59)*('Total Duration Tables Sup #1'!E176/'Total Duration Tables Sup #1'!$B176)</f>
        <v>0</v>
      </c>
      <c r="F66" s="4">
        <f ca="1">$B66*('Updated Population'!F$59/'Updated Population'!$B$59)*('Total Duration Tables Sup #1'!F176/'Total Duration Tables Sup #1'!$B176)</f>
        <v>0</v>
      </c>
      <c r="G66" s="4">
        <f ca="1">$B66*('Updated Population'!G$59/'Updated Population'!$B$59)*('Total Duration Tables Sup #1'!G176/'Total Duration Tables Sup #1'!$B176)</f>
        <v>0</v>
      </c>
      <c r="H66" s="4">
        <f ca="1">$B66*('Updated Population'!H$59/'Updated Population'!$B$59)*('Total Duration Tables Sup #1'!H176/'Total Duration Tables Sup #1'!$B176)</f>
        <v>0</v>
      </c>
      <c r="I66" s="1">
        <f ca="1">$B66*('Updated Population'!I$59/'Updated Population'!$B$59)*('Total Duration Tables Sup #1'!I176/'Total Duration Tables Sup #1'!$B176)</f>
        <v>0</v>
      </c>
      <c r="J66" s="1">
        <f ca="1">$B66*('Updated Population'!J$59/'Updated Population'!$B$59)*('Total Duration Tables Sup #1'!J176/'Total Duration Tables Sup #1'!$B176)</f>
        <v>0</v>
      </c>
      <c r="K66" s="1">
        <f ca="1">$B66*('Updated Population'!K$59/'Updated Population'!$B$59)*('Total Duration Tables Sup #1'!K176/'Total Duration Tables Sup #1'!$B176)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$B67*('Updated Population'!C$59/'Updated Population'!$B$59)*('Total Duration Tables Sup #1'!C177/'Total Duration Tables Sup #1'!$B177)</f>
        <v>1.2964718625401908</v>
      </c>
      <c r="D67" s="4">
        <f ca="1">$B67*('Updated Population'!D$59/'Updated Population'!$B$59)*('Total Duration Tables Sup #1'!D177/'Total Duration Tables Sup #1'!$B177)</f>
        <v>1.2395119620907318</v>
      </c>
      <c r="E67" s="4">
        <f ca="1">$B67*('Updated Population'!E$59/'Updated Population'!$B$59)*('Total Duration Tables Sup #1'!E177/'Total Duration Tables Sup #1'!$B177)</f>
        <v>1.2008298794504424</v>
      </c>
      <c r="F67" s="4">
        <f ca="1">$B67*('Updated Population'!F$59/'Updated Population'!$B$59)*('Total Duration Tables Sup #1'!F177/'Total Duration Tables Sup #1'!$B177)</f>
        <v>1.1472910879417622</v>
      </c>
      <c r="G67" s="4">
        <f ca="1">$B67*('Updated Population'!G$59/'Updated Population'!$B$59)*('Total Duration Tables Sup #1'!G177/'Total Duration Tables Sup #1'!$B177)</f>
        <v>1.1020226431080136</v>
      </c>
      <c r="H67" s="4">
        <f ca="1">$B67*('Updated Population'!H$59/'Updated Population'!$B$59)*('Total Duration Tables Sup #1'!H177/'Total Duration Tables Sup #1'!$B177)</f>
        <v>1.0534916354256545</v>
      </c>
      <c r="I67" s="1">
        <f ca="1">$B67*('Updated Population'!I$59/'Updated Population'!$B$59)*('Total Duration Tables Sup #1'!I177/'Total Duration Tables Sup #1'!$B177)</f>
        <v>1.0462030793137269</v>
      </c>
      <c r="J67" s="1">
        <f ca="1">$B67*('Updated Population'!J$59/'Updated Population'!$B$59)*('Total Duration Tables Sup #1'!J177/'Total Duration Tables Sup #1'!$B177)</f>
        <v>1.0356577444484489</v>
      </c>
      <c r="K67" s="1">
        <f ca="1">$B67*('Updated Population'!K$59/'Updated Population'!$B$59)*('Total Duration Tables Sup #1'!K177/'Total Duration Tables Sup #1'!$B177)</f>
        <v>1.0230154414012409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Duration Tables Sup #1'!C178/'Total Duration Tables Sup #1'!$B178)</f>
        <v>0</v>
      </c>
      <c r="D68" s="4">
        <f ca="1">$B68*('Updated Population'!D$59/'Updated Population'!$B$59)*('Total Duration Tables Sup #1'!D178/'Total Duration Tables Sup #1'!$B178)</f>
        <v>0</v>
      </c>
      <c r="E68" s="4">
        <f ca="1">$B68*('Updated Population'!E$59/'Updated Population'!$B$59)*('Total Duration Tables Sup #1'!E178/'Total Duration Tables Sup #1'!$B178)</f>
        <v>0</v>
      </c>
      <c r="F68" s="4">
        <f ca="1">$B68*('Updated Population'!F$59/'Updated Population'!$B$59)*('Total Duration Tables Sup #1'!F178/'Total Duration Tables Sup #1'!$B178)</f>
        <v>0</v>
      </c>
      <c r="G68" s="4">
        <f ca="1">$B68*('Updated Population'!G$59/'Updated Population'!$B$59)*('Total Duration Tables Sup #1'!G178/'Total Duration Tables Sup #1'!$B178)</f>
        <v>0</v>
      </c>
      <c r="H68" s="4">
        <f ca="1">$B68*('Updated Population'!H$59/'Updated Population'!$B$59)*('Total Duration Tables Sup #1'!H178/'Total Duration Tables Sup #1'!$B178)</f>
        <v>0</v>
      </c>
      <c r="I68" s="1">
        <f ca="1">$B68*('Updated Population'!I$59/'Updated Population'!$B$59)*('Total Duration Tables Sup #1'!I178/'Total Duration Tables Sup #1'!$B178)</f>
        <v>0</v>
      </c>
      <c r="J68" s="1">
        <f ca="1">$B68*('Updated Population'!J$59/'Updated Population'!$B$59)*('Total Duration Tables Sup #1'!J178/'Total Duration Tables Sup #1'!$B178)</f>
        <v>0</v>
      </c>
      <c r="K68" s="1">
        <f ca="1">$B68*('Updated Population'!K$59/'Updated Population'!$B$59)*('Total Duration Tables Sup #1'!K178/'Total Duration Tables Sup #1'!$B178)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$B69*('Updated Population'!C$59/'Updated Population'!$B$59)*('Total Duration Tables Sup #1'!C179/'Total Duration Tables Sup #1'!$B179)</f>
        <v>0.16719503261199015</v>
      </c>
      <c r="D69" s="4">
        <f ca="1">$B69*('Updated Population'!D$59/'Updated Population'!$B$59)*('Total Duration Tables Sup #1'!D179/'Total Duration Tables Sup #1'!$B179)</f>
        <v>0.1726735338565033</v>
      </c>
      <c r="E69" s="4">
        <f ca="1">$B69*('Updated Population'!E$59/'Updated Population'!$B$59)*('Total Duration Tables Sup #1'!E179/'Total Duration Tables Sup #1'!$B179)</f>
        <v>0.1741949129973204</v>
      </c>
      <c r="F69" s="4">
        <f ca="1">$B69*('Updated Population'!F$59/'Updated Population'!$B$59)*('Total Duration Tables Sup #1'!F179/'Total Duration Tables Sup #1'!$B179)</f>
        <v>0.17399084134350484</v>
      </c>
      <c r="G69" s="4">
        <f ca="1">$B69*('Updated Population'!G$59/'Updated Population'!$B$59)*('Total Duration Tables Sup #1'!G179/'Total Duration Tables Sup #1'!$B179)</f>
        <v>0.17415306494419869</v>
      </c>
      <c r="H69" s="4">
        <f ca="1">$B69*('Updated Population'!H$59/'Updated Population'!$B$59)*('Total Duration Tables Sup #1'!H179/'Total Duration Tables Sup #1'!$B179)</f>
        <v>0.17290141588573282</v>
      </c>
      <c r="I69" s="1">
        <f ca="1">$B69*('Updated Population'!I$59/'Updated Population'!$B$59)*('Total Duration Tables Sup #1'!I179/'Total Duration Tables Sup #1'!$B179)</f>
        <v>0.17170520166899092</v>
      </c>
      <c r="J69" s="1">
        <f ca="1">$B69*('Updated Population'!J$59/'Updated Population'!$B$59)*('Total Duration Tables Sup #1'!J179/'Total Duration Tables Sup #1'!$B179)</f>
        <v>0.16997447760067963</v>
      </c>
      <c r="K69" s="1">
        <f ca="1">$B69*('Updated Population'!K$59/'Updated Population'!$B$59)*('Total Duration Tables Sup #1'!K179/'Total Duration Tables Sup #1'!$B179)</f>
        <v>0.16789959439950872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$B71*('Updated Population'!C$70/'Updated Population'!$B$70)*('Total Duration Tables Sup #1'!C170/'Total Duration Tables Sup #1'!$B170)</f>
        <v>4.9039379561015259</v>
      </c>
      <c r="D71" s="4">
        <f ca="1">$B71*('Updated Population'!D$70/'Updated Population'!$B$70)*('Total Duration Tables Sup #1'!D170/'Total Duration Tables Sup #1'!$B170)</f>
        <v>4.9529573574285424</v>
      </c>
      <c r="E71" s="4">
        <f ca="1">$B71*('Updated Population'!E$70/'Updated Population'!$B$70)*('Total Duration Tables Sup #1'!E170/'Total Duration Tables Sup #1'!$B170)</f>
        <v>4.9584114651248523</v>
      </c>
      <c r="F71" s="4">
        <f ca="1">$B71*('Updated Population'!F$70/'Updated Population'!$B$70)*('Total Duration Tables Sup #1'!F170/'Total Duration Tables Sup #1'!$B170)</f>
        <v>4.9153019030255765</v>
      </c>
      <c r="G71" s="4">
        <f ca="1">$B71*('Updated Population'!G$70/'Updated Population'!$B$70)*('Total Duration Tables Sup #1'!G170/'Total Duration Tables Sup #1'!$B170)</f>
        <v>4.8570619631252612</v>
      </c>
      <c r="H71" s="4">
        <f ca="1">$B71*('Updated Population'!H$70/'Updated Population'!$B$70)*('Total Duration Tables Sup #1'!H170/'Total Duration Tables Sup #1'!$B170)</f>
        <v>4.7857988306657093</v>
      </c>
      <c r="I71" s="1">
        <f ca="1">$B71*('Updated Population'!I$70/'Updated Population'!$B$70)*('Total Duration Tables Sup #1'!I170/'Total Duration Tables Sup #1'!$B170)</f>
        <v>4.8172620115595706</v>
      </c>
      <c r="J71" s="1">
        <f ca="1">$B71*('Updated Population'!J$70/'Updated Population'!$B$70)*('Total Duration Tables Sup #1'!J170/'Total Duration Tables Sup #1'!$B170)</f>
        <v>4.8334970540339679</v>
      </c>
      <c r="K71" s="1">
        <f ca="1">$B71*('Updated Population'!K$70/'Updated Population'!$B$70)*('Total Duration Tables Sup #1'!K170/'Total Duration Tables Sup #1'!$B170)</f>
        <v>4.8393643064562921</v>
      </c>
    </row>
    <row r="72" spans="1:11" x14ac:dyDescent="0.25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$B72*('Updated Population'!C$70/'Updated Population'!$B$70)*('Total Duration Tables Sup #1'!C171/'Total Duration Tables Sup #1'!$B171)</f>
        <v>0.53927083444691726</v>
      </c>
      <c r="D72" s="4">
        <f ca="1">$B72*('Updated Population'!D$70/'Updated Population'!$B$70)*('Total Duration Tables Sup #1'!D171/'Total Duration Tables Sup #1'!$B171)</f>
        <v>0.54660303441838443</v>
      </c>
      <c r="E72" s="4">
        <f ca="1">$B72*('Updated Population'!E$70/'Updated Population'!$B$70)*('Total Duration Tables Sup #1'!E171/'Total Duration Tables Sup #1'!$B171)</f>
        <v>0.54662832984210286</v>
      </c>
      <c r="F72" s="4">
        <f ca="1">$B72*('Updated Population'!F$70/'Updated Population'!$B$70)*('Total Duration Tables Sup #1'!F171/'Total Duration Tables Sup #1'!$B171)</f>
        <v>0.55070558090938104</v>
      </c>
      <c r="G72" s="4">
        <f ca="1">$B72*('Updated Population'!G$70/'Updated Population'!$B$70)*('Total Duration Tables Sup #1'!G171/'Total Duration Tables Sup #1'!$B171)</f>
        <v>0.56080957346259064</v>
      </c>
      <c r="H72" s="4">
        <f ca="1">$B72*('Updated Population'!H$70/'Updated Population'!$B$70)*('Total Duration Tables Sup #1'!H171/'Total Duration Tables Sup #1'!$B171)</f>
        <v>0.57158423330953911</v>
      </c>
      <c r="I72" s="1">
        <f ca="1">$B72*('Updated Population'!I$70/'Updated Population'!$B$70)*('Total Duration Tables Sup #1'!I171/'Total Duration Tables Sup #1'!$B171)</f>
        <v>0.57534198802615255</v>
      </c>
      <c r="J72" s="1">
        <f ca="1">$B72*('Updated Population'!J$70/'Updated Population'!$B$70)*('Total Duration Tables Sup #1'!J171/'Total Duration Tables Sup #1'!$B171)</f>
        <v>0.57728099437259894</v>
      </c>
      <c r="K72" s="1">
        <f ca="1">$B72*('Updated Population'!K$70/'Updated Population'!$B$70)*('Total Duration Tables Sup #1'!K171/'Total Duration Tables Sup #1'!$B171)</f>
        <v>0.57798174028694005</v>
      </c>
    </row>
    <row r="73" spans="1:11" x14ac:dyDescent="0.25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$B73*('Updated Population'!C$70/'Updated Population'!$B$70)*('Total Duration Tables Sup #1'!C172/'Total Duration Tables Sup #1'!$B172)</f>
        <v>22.647434213754988</v>
      </c>
      <c r="D73" s="4">
        <f ca="1">$B73*('Updated Population'!D$70/'Updated Population'!$B$70)*('Total Duration Tables Sup #1'!D172/'Total Duration Tables Sup #1'!$B172)</f>
        <v>23.341445392464639</v>
      </c>
      <c r="E73" s="4">
        <f ca="1">$B73*('Updated Population'!E$70/'Updated Population'!$B$70)*('Total Duration Tables Sup #1'!E172/'Total Duration Tables Sup #1'!$B172)</f>
        <v>24.030869028146629</v>
      </c>
      <c r="F73" s="4">
        <f ca="1">$B73*('Updated Population'!F$70/'Updated Population'!$B$70)*('Total Duration Tables Sup #1'!F172/'Total Duration Tables Sup #1'!$B172)</f>
        <v>24.599568902630384</v>
      </c>
      <c r="G73" s="4">
        <f ca="1">$B73*('Updated Population'!G$70/'Updated Population'!$B$70)*('Total Duration Tables Sup #1'!G172/'Total Duration Tables Sup #1'!$B172)</f>
        <v>24.941763891330325</v>
      </c>
      <c r="H73" s="4">
        <f ca="1">$B73*('Updated Population'!H$70/'Updated Population'!$B$70)*('Total Duration Tables Sup #1'!H172/'Total Duration Tables Sup #1'!$B172)</f>
        <v>25.186662509236562</v>
      </c>
      <c r="I73" s="1">
        <f ca="1">$B73*('Updated Population'!I$70/'Updated Population'!$B$70)*('Total Duration Tables Sup #1'!I172/'Total Duration Tables Sup #1'!$B172)</f>
        <v>25.352246677455874</v>
      </c>
      <c r="J73" s="1">
        <f ca="1">$B73*('Updated Population'!J$70/'Updated Population'!$B$70)*('Total Duration Tables Sup #1'!J172/'Total Duration Tables Sup #1'!$B172)</f>
        <v>25.437688324732321</v>
      </c>
      <c r="K73" s="1">
        <f ca="1">$B73*('Updated Population'!K$70/'Updated Population'!$B$70)*('Total Duration Tables Sup #1'!K172/'Total Duration Tables Sup #1'!$B172)</f>
        <v>25.468566452260514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$B74*('Updated Population'!C$70/'Updated Population'!$B$70)*('Total Duration Tables Sup #1'!C173/'Total Duration Tables Sup #1'!$B173)</f>
        <v>13.408112120245454</v>
      </c>
      <c r="D74" s="4">
        <f ca="1">$B74*('Updated Population'!D$70/'Updated Population'!$B$70)*('Total Duration Tables Sup #1'!D173/'Total Duration Tables Sup #1'!$B173)</f>
        <v>13.476937255827998</v>
      </c>
      <c r="E74" s="4">
        <f ca="1">$B74*('Updated Population'!E$70/'Updated Population'!$B$70)*('Total Duration Tables Sup #1'!E173/'Total Duration Tables Sup #1'!$B173)</f>
        <v>13.540405246020814</v>
      </c>
      <c r="F74" s="4">
        <f ca="1">$B74*('Updated Population'!F$70/'Updated Population'!$B$70)*('Total Duration Tables Sup #1'!F173/'Total Duration Tables Sup #1'!$B173)</f>
        <v>13.516031436071575</v>
      </c>
      <c r="G74" s="4">
        <f ca="1">$B74*('Updated Population'!G$70/'Updated Population'!$B$70)*('Total Duration Tables Sup #1'!G173/'Total Duration Tables Sup #1'!$B173)</f>
        <v>13.420134077481807</v>
      </c>
      <c r="H74" s="4">
        <f ca="1">$B74*('Updated Population'!H$70/'Updated Population'!$B$70)*('Total Duration Tables Sup #1'!H173/'Total Duration Tables Sup #1'!$B173)</f>
        <v>13.272485677416153</v>
      </c>
      <c r="I74" s="1">
        <f ca="1">$B74*('Updated Population'!I$70/'Updated Population'!$B$70)*('Total Duration Tables Sup #1'!I173/'Total Duration Tables Sup #1'!$B173)</f>
        <v>13.359742712773329</v>
      </c>
      <c r="J74" s="1">
        <f ca="1">$B74*('Updated Population'!J$70/'Updated Population'!$B$70)*('Total Duration Tables Sup #1'!J173/'Total Duration Tables Sup #1'!$B173)</f>
        <v>13.404767457092493</v>
      </c>
      <c r="K74" s="1">
        <f ca="1">$B74*('Updated Population'!K$70/'Updated Population'!$B$70)*('Total Duration Tables Sup #1'!K173/'Total Duration Tables Sup #1'!$B173)</f>
        <v>13.421039144745158</v>
      </c>
    </row>
    <row r="75" spans="1:11" x14ac:dyDescent="0.25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$B75*('Updated Population'!C$70/'Updated Population'!$B$70)*('Total Duration Tables Sup #1'!C174/'Total Duration Tables Sup #1'!$B174)</f>
        <v>0.11133855200099384</v>
      </c>
      <c r="D75" s="4">
        <f ca="1">$B75*('Updated Population'!D$70/'Updated Population'!$B$70)*('Total Duration Tables Sup #1'!D174/'Total Duration Tables Sup #1'!$B174)</f>
        <v>0.11985847158935034</v>
      </c>
      <c r="E75" s="4">
        <f ca="1">$B75*('Updated Population'!E$70/'Updated Population'!$B$70)*('Total Duration Tables Sup #1'!E174/'Total Duration Tables Sup #1'!$B174)</f>
        <v>0.12718528810214516</v>
      </c>
      <c r="F75" s="4">
        <f ca="1">$B75*('Updated Population'!F$70/'Updated Population'!$B$70)*('Total Duration Tables Sup #1'!F174/'Total Duration Tables Sup #1'!$B174)</f>
        <v>0.13305762168444951</v>
      </c>
      <c r="G75" s="4">
        <f ca="1">$B75*('Updated Population'!G$70/'Updated Population'!$B$70)*('Total Duration Tables Sup #1'!G174/'Total Duration Tables Sup #1'!$B174)</f>
        <v>0.13657232412854242</v>
      </c>
      <c r="H75" s="4">
        <f ca="1">$B75*('Updated Population'!H$70/'Updated Population'!$B$70)*('Total Duration Tables Sup #1'!H174/'Total Duration Tables Sup #1'!$B174)</f>
        <v>0.13957086516473186</v>
      </c>
      <c r="I75" s="1">
        <f ca="1">$B75*('Updated Population'!I$70/'Updated Population'!$B$70)*('Total Duration Tables Sup #1'!I174/'Total Duration Tables Sup #1'!$B174)</f>
        <v>0.14048844309342634</v>
      </c>
      <c r="J75" s="1">
        <f ca="1">$B75*('Updated Population'!J$70/'Updated Population'!$B$70)*('Total Duration Tables Sup #1'!J174/'Total Duration Tables Sup #1'!$B174)</f>
        <v>0.14096191450422163</v>
      </c>
      <c r="K75" s="1">
        <f ca="1">$B75*('Updated Population'!K$70/'Updated Population'!$B$70)*('Total Duration Tables Sup #1'!K174/'Total Duration Tables Sup #1'!$B174)</f>
        <v>0.14113302439113884</v>
      </c>
    </row>
    <row r="76" spans="1:11" x14ac:dyDescent="0.25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$B76*('Updated Population'!C$70/'Updated Population'!$B$70)*('Total Duration Tables Sup #1'!C175/'Total Duration Tables Sup #1'!$B175)</f>
        <v>0.26207938920363771</v>
      </c>
      <c r="D76" s="4">
        <f ca="1">$B76*('Updated Population'!D$70/'Updated Population'!$B$70)*('Total Duration Tables Sup #1'!D175/'Total Duration Tables Sup #1'!$B175)</f>
        <v>0.26637708569136098</v>
      </c>
      <c r="E76" s="4">
        <f ca="1">$B76*('Updated Population'!E$70/'Updated Population'!$B$70)*('Total Duration Tables Sup #1'!E175/'Total Duration Tables Sup #1'!$B175)</f>
        <v>0.26919597659540079</v>
      </c>
      <c r="F76" s="4">
        <f ca="1">$B76*('Updated Population'!F$70/'Updated Population'!$B$70)*('Total Duration Tables Sup #1'!F175/'Total Duration Tables Sup #1'!$B175)</f>
        <v>0.27064852724254307</v>
      </c>
      <c r="G76" s="4">
        <f ca="1">$B76*('Updated Population'!G$70/'Updated Population'!$B$70)*('Total Duration Tables Sup #1'!G175/'Total Duration Tables Sup #1'!$B175)</f>
        <v>0.26833895564395788</v>
      </c>
      <c r="H76" s="4">
        <f ca="1">$B76*('Updated Population'!H$70/'Updated Population'!$B$70)*('Total Duration Tables Sup #1'!H175/'Total Duration Tables Sup #1'!$B175)</f>
        <v>0.2647987823882974</v>
      </c>
      <c r="I76" s="1">
        <f ca="1">$B76*('Updated Population'!I$70/'Updated Population'!$B$70)*('Total Duration Tables Sup #1'!I175/'Total Duration Tables Sup #1'!$B175)</f>
        <v>0.26653964369182159</v>
      </c>
      <c r="J76" s="1">
        <f ca="1">$B76*('Updated Population'!J$70/'Updated Population'!$B$70)*('Total Duration Tables Sup #1'!J175/'Total Duration Tables Sup #1'!$B175)</f>
        <v>0.26743793040034264</v>
      </c>
      <c r="K76" s="1">
        <f ca="1">$B76*('Updated Population'!K$70/'Updated Population'!$B$70)*('Total Duration Tables Sup #1'!K175/'Total Duration Tables Sup #1'!$B175)</f>
        <v>0.26776256613041993</v>
      </c>
    </row>
    <row r="77" spans="1:11" x14ac:dyDescent="0.25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Duration Tables Sup #1'!C176/'Total Duration Tables Sup #1'!$B176)</f>
        <v>0</v>
      </c>
      <c r="D77" s="4">
        <f ca="1">$B77*('Updated Population'!D$70/'Updated Population'!$B$70)*('Total Duration Tables Sup #1'!D176/'Total Duration Tables Sup #1'!$B176)</f>
        <v>0</v>
      </c>
      <c r="E77" s="4">
        <f ca="1">$B77*('Updated Population'!E$70/'Updated Population'!$B$70)*('Total Duration Tables Sup #1'!E176/'Total Duration Tables Sup #1'!$B176)</f>
        <v>0</v>
      </c>
      <c r="F77" s="4">
        <f ca="1">$B77*('Updated Population'!F$70/'Updated Population'!$B$70)*('Total Duration Tables Sup #1'!F176/'Total Duration Tables Sup #1'!$B176)</f>
        <v>0</v>
      </c>
      <c r="G77" s="4">
        <f ca="1">$B77*('Updated Population'!G$70/'Updated Population'!$B$70)*('Total Duration Tables Sup #1'!G176/'Total Duration Tables Sup #1'!$B176)</f>
        <v>0</v>
      </c>
      <c r="H77" s="4">
        <f ca="1">$B77*('Updated Population'!H$70/'Updated Population'!$B$70)*('Total Duration Tables Sup #1'!H176/'Total Duration Tables Sup #1'!$B176)</f>
        <v>0</v>
      </c>
      <c r="I77" s="1">
        <f ca="1">$B77*('Updated Population'!I$70/'Updated Population'!$B$70)*('Total Duration Tables Sup #1'!I176/'Total Duration Tables Sup #1'!$B176)</f>
        <v>0</v>
      </c>
      <c r="J77" s="1">
        <f ca="1">$B77*('Updated Population'!J$70/'Updated Population'!$B$70)*('Total Duration Tables Sup #1'!J176/'Total Duration Tables Sup #1'!$B176)</f>
        <v>0</v>
      </c>
      <c r="K77" s="1">
        <f ca="1">$B77*('Updated Population'!K$70/'Updated Population'!$B$70)*('Total Duration Tables Sup #1'!K176/'Total Duration Tables Sup #1'!$B176)</f>
        <v>0</v>
      </c>
    </row>
    <row r="78" spans="1:11" x14ac:dyDescent="0.25">
      <c r="A78" t="str">
        <f ca="1">OFFSET(Taranaki_Reference,49,2)</f>
        <v>Local Bus</v>
      </c>
      <c r="B78" s="4">
        <f ca="1">OFFSET(Taranaki_Reference,49,7)</f>
        <v>0.4632962336</v>
      </c>
      <c r="C78" s="4">
        <f ca="1">$B78*('Updated Population'!C$70/'Updated Population'!$B$70)*('Total Duration Tables Sup #1'!C177/'Total Duration Tables Sup #1'!$B177)</f>
        <v>0.44386244644977224</v>
      </c>
      <c r="D78" s="4">
        <f ca="1">$B78*('Updated Population'!D$70/'Updated Population'!$B$70)*('Total Duration Tables Sup #1'!D177/'Total Duration Tables Sup #1'!$B177)</f>
        <v>0.42787162237127307</v>
      </c>
      <c r="E78" s="4">
        <f ca="1">$B78*('Updated Population'!E$70/'Updated Population'!$B$70)*('Total Duration Tables Sup #1'!E177/'Total Duration Tables Sup #1'!$B177)</f>
        <v>0.41842146818080622</v>
      </c>
      <c r="F78" s="4">
        <f ca="1">$B78*('Updated Population'!F$70/'Updated Population'!$B$70)*('Total Duration Tables Sup #1'!F177/'Total Duration Tables Sup #1'!$B177)</f>
        <v>0.40400137196898805</v>
      </c>
      <c r="G78" s="4">
        <f ca="1">$B78*('Updated Population'!G$70/'Updated Population'!$B$70)*('Total Duration Tables Sup #1'!G177/'Total Duration Tables Sup #1'!$B177)</f>
        <v>0.39276392849254527</v>
      </c>
      <c r="H78" s="4">
        <f ca="1">$B78*('Updated Population'!H$70/'Updated Population'!$B$70)*('Total Duration Tables Sup #1'!H177/'Total Duration Tables Sup #1'!$B177)</f>
        <v>0.38056872547427772</v>
      </c>
      <c r="I78" s="1">
        <f ca="1">$B78*('Updated Population'!I$70/'Updated Population'!$B$70)*('Total Duration Tables Sup #1'!I177/'Total Duration Tables Sup #1'!$B177)</f>
        <v>0.38307069078368838</v>
      </c>
      <c r="J78" s="1">
        <f ca="1">$B78*('Updated Population'!J$70/'Updated Population'!$B$70)*('Total Duration Tables Sup #1'!J177/'Total Duration Tables Sup #1'!$B177)</f>
        <v>0.38436170815427073</v>
      </c>
      <c r="K78" s="1">
        <f ca="1">$B78*('Updated Population'!K$70/'Updated Population'!$B$70)*('Total Duration Tables Sup #1'!K177/'Total Duration Tables Sup #1'!$B177)</f>
        <v>0.38482827452185225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Duration Tables Sup #1'!C178/'Total Duration Tables Sup #1'!$B178)</f>
        <v>0</v>
      </c>
      <c r="D79" s="4">
        <f ca="1">$B79*('Updated Population'!D$70/'Updated Population'!$B$70)*('Total Duration Tables Sup #1'!D178/'Total Duration Tables Sup #1'!$B178)</f>
        <v>0</v>
      </c>
      <c r="E79" s="4">
        <f ca="1">$B79*('Updated Population'!E$70/'Updated Population'!$B$70)*('Total Duration Tables Sup #1'!E178/'Total Duration Tables Sup #1'!$B178)</f>
        <v>0</v>
      </c>
      <c r="F79" s="4">
        <f ca="1">$B79*('Updated Population'!F$70/'Updated Population'!$B$70)*('Total Duration Tables Sup #1'!F178/'Total Duration Tables Sup #1'!$B178)</f>
        <v>0</v>
      </c>
      <c r="G79" s="4">
        <f ca="1">$B79*('Updated Population'!G$70/'Updated Population'!$B$70)*('Total Duration Tables Sup #1'!G178/'Total Duration Tables Sup #1'!$B178)</f>
        <v>0</v>
      </c>
      <c r="H79" s="4">
        <f ca="1">$B79*('Updated Population'!H$70/'Updated Population'!$B$70)*('Total Duration Tables Sup #1'!H178/'Total Duration Tables Sup #1'!$B178)</f>
        <v>0</v>
      </c>
      <c r="I79" s="1">
        <f ca="1">$B79*('Updated Population'!I$70/'Updated Population'!$B$70)*('Total Duration Tables Sup #1'!I178/'Total Duration Tables Sup #1'!$B178)</f>
        <v>0</v>
      </c>
      <c r="J79" s="1">
        <f ca="1">$B79*('Updated Population'!J$70/'Updated Population'!$B$70)*('Total Duration Tables Sup #1'!J178/'Total Duration Tables Sup #1'!$B178)</f>
        <v>0</v>
      </c>
      <c r="K79" s="1">
        <f ca="1">$B79*('Updated Population'!K$70/'Updated Population'!$B$70)*('Total Duration Tables Sup #1'!K178/'Total Duration Tables Sup #1'!$B178)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$B80*('Updated Population'!C$70/'Updated Population'!$B$70)*('Total Duration Tables Sup #1'!C179/'Total Duration Tables Sup #1'!$B179)</f>
        <v>6.028017541635871E-2</v>
      </c>
      <c r="D80" s="4">
        <f ca="1">$B80*('Updated Population'!D$70/'Updated Population'!$B$70)*('Total Duration Tables Sup #1'!D179/'Total Duration Tables Sup #1'!$B179)</f>
        <v>6.2770323789463969E-2</v>
      </c>
      <c r="E80" s="4">
        <f ca="1">$B80*('Updated Population'!E$70/'Updated Population'!$B$70)*('Total Duration Tables Sup #1'!E179/'Total Duration Tables Sup #1'!$B179)</f>
        <v>6.3919559267356582E-2</v>
      </c>
      <c r="F80" s="4">
        <f ca="1">$B80*('Updated Population'!F$70/'Updated Population'!$B$70)*('Total Duration Tables Sup #1'!F179/'Total Duration Tables Sup #1'!$B179)</f>
        <v>6.452105177586806E-2</v>
      </c>
      <c r="G80" s="4">
        <f ca="1">$B80*('Updated Population'!G$70/'Updated Population'!$B$70)*('Total Duration Tables Sup #1'!G179/'Total Duration Tables Sup #1'!$B179)</f>
        <v>6.5363910938818173E-2</v>
      </c>
      <c r="H80" s="4">
        <f ca="1">$B80*('Updated Population'!H$70/'Updated Population'!$B$70)*('Total Duration Tables Sup #1'!H179/'Total Duration Tables Sup #1'!$B179)</f>
        <v>6.5775837124146794E-2</v>
      </c>
      <c r="I80" s="1">
        <f ca="1">$B80*('Updated Population'!I$70/'Updated Population'!$B$70)*('Total Duration Tables Sup #1'!I179/'Total Duration Tables Sup #1'!$B179)</f>
        <v>6.620826588580335E-2</v>
      </c>
      <c r="J80" s="1">
        <f ca="1">$B80*('Updated Population'!J$70/'Updated Population'!$B$70)*('Total Duration Tables Sup #1'!J179/'Total Duration Tables Sup #1'!$B179)</f>
        <v>6.6431399692150783E-2</v>
      </c>
      <c r="K80" s="1">
        <f ca="1">$B80*('Updated Population'!K$70/'Updated Population'!$B$70)*('Total Duration Tables Sup #1'!K179/'Total Duration Tables Sup #1'!$B179)</f>
        <v>6.6512038986310876E-2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$B82*('Updated Population'!C$81/'Updated Population'!$B$81)*('Total Duration Tables Sup #1'!C170/'Total Duration Tables Sup #1'!$B170)</f>
        <v>8.535376819359092</v>
      </c>
      <c r="D82" s="4">
        <f ca="1">$B82*('Updated Population'!D$81/'Updated Population'!$B$81)*('Total Duration Tables Sup #1'!D170/'Total Duration Tables Sup #1'!$B170)</f>
        <v>8.5243125661415782</v>
      </c>
      <c r="E82" s="4">
        <f ca="1">$B82*('Updated Population'!E$81/'Updated Population'!$B$81)*('Total Duration Tables Sup #1'!E170/'Total Duration Tables Sup #1'!$B170)</f>
        <v>8.4284643359864138</v>
      </c>
      <c r="F82" s="4">
        <f ca="1">$B82*('Updated Population'!F$81/'Updated Population'!$B$81)*('Total Duration Tables Sup #1'!F170/'Total Duration Tables Sup #1'!$B170)</f>
        <v>8.2512292487127183</v>
      </c>
      <c r="G82" s="4">
        <f ca="1">$B82*('Updated Population'!G$81/'Updated Population'!$B$81)*('Total Duration Tables Sup #1'!G170/'Total Duration Tables Sup #1'!$B170)</f>
        <v>8.0431962330640729</v>
      </c>
      <c r="H82" s="4">
        <f ca="1">$B82*('Updated Population'!H$81/'Updated Population'!$B$81)*('Total Duration Tables Sup #1'!H170/'Total Duration Tables Sup #1'!$B170)</f>
        <v>7.808574327057773</v>
      </c>
      <c r="I82" s="1">
        <f ca="1">$B82*('Updated Population'!I$81/'Updated Population'!$B$81)*('Total Duration Tables Sup #1'!I170/'Total Duration Tables Sup #1'!$B170)</f>
        <v>7.7442589502485282</v>
      </c>
      <c r="J82" s="1">
        <f ca="1">$B82*('Updated Population'!J$81/'Updated Population'!$B$81)*('Total Duration Tables Sup #1'!J170/'Total Duration Tables Sup #1'!$B170)</f>
        <v>7.6560250375713652</v>
      </c>
      <c r="K82" s="1">
        <f ca="1">$B82*('Updated Population'!K$81/'Updated Population'!$B$81)*('Total Duration Tables Sup #1'!K170/'Total Duration Tables Sup #1'!$B170)</f>
        <v>7.5525305822248319</v>
      </c>
    </row>
    <row r="83" spans="1:11" x14ac:dyDescent="0.25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$B83*('Updated Population'!C$81/'Updated Population'!$B$81)*('Total Duration Tables Sup #1'!C171/'Total Duration Tables Sup #1'!$B171)</f>
        <v>1.830676745845931</v>
      </c>
      <c r="D83" s="4">
        <f ca="1">$B83*('Updated Population'!D$81/'Updated Population'!$B$81)*('Total Duration Tables Sup #1'!D171/'Total Duration Tables Sup #1'!$B171)</f>
        <v>1.8348214778094105</v>
      </c>
      <c r="E83" s="4">
        <f ca="1">$B83*('Updated Population'!E$81/'Updated Population'!$B$81)*('Total Duration Tables Sup #1'!E171/'Total Duration Tables Sup #1'!$B171)</f>
        <v>1.8122788673404615</v>
      </c>
      <c r="F83" s="4">
        <f ca="1">$B83*('Updated Population'!F$81/'Updated Population'!$B$81)*('Total Duration Tables Sup #1'!F171/'Total Duration Tables Sup #1'!$B171)</f>
        <v>1.8030797392997473</v>
      </c>
      <c r="G83" s="4">
        <f ca="1">$B83*('Updated Population'!G$81/'Updated Population'!$B$81)*('Total Duration Tables Sup #1'!G171/'Total Duration Tables Sup #1'!$B171)</f>
        <v>1.8113294124041051</v>
      </c>
      <c r="H83" s="4">
        <f ca="1">$B83*('Updated Population'!H$81/'Updated Population'!$B$81)*('Total Duration Tables Sup #1'!H171/'Total Duration Tables Sup #1'!$B171)</f>
        <v>1.8189658682052605</v>
      </c>
      <c r="I83" s="1">
        <f ca="1">$B83*('Updated Population'!I$81/'Updated Population'!$B$81)*('Total Duration Tables Sup #1'!I171/'Total Duration Tables Sup #1'!$B171)</f>
        <v>1.8039839431678819</v>
      </c>
      <c r="J83" s="1">
        <f ca="1">$B83*('Updated Population'!J$81/'Updated Population'!$B$81)*('Total Duration Tables Sup #1'!J171/'Total Duration Tables Sup #1'!$B171)</f>
        <v>1.7834303223844024</v>
      </c>
      <c r="K83" s="1">
        <f ca="1">$B83*('Updated Population'!K$81/'Updated Population'!$B$81)*('Total Duration Tables Sup #1'!K171/'Total Duration Tables Sup #1'!$B171)</f>
        <v>1.7593218393324428</v>
      </c>
    </row>
    <row r="84" spans="1:11" x14ac:dyDescent="0.25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$B84*('Updated Population'!C$81/'Updated Population'!$B$81)*('Total Duration Tables Sup #1'!C172/'Total Duration Tables Sup #1'!$B172)</f>
        <v>44.603174315390568</v>
      </c>
      <c r="D84" s="4">
        <f ca="1">$B84*('Updated Population'!D$81/'Updated Population'!$B$81)*('Total Duration Tables Sup #1'!D172/'Total Duration Tables Sup #1'!$B172)</f>
        <v>45.456035061510448</v>
      </c>
      <c r="E84" s="4">
        <f ca="1">$B84*('Updated Population'!E$81/'Updated Population'!$B$81)*('Total Duration Tables Sup #1'!E172/'Total Duration Tables Sup #1'!$B172)</f>
        <v>46.221538343627046</v>
      </c>
      <c r="F84" s="4">
        <f ca="1">$B84*('Updated Population'!F$81/'Updated Population'!$B$81)*('Total Duration Tables Sup #1'!F172/'Total Duration Tables Sup #1'!$B172)</f>
        <v>46.726686014342256</v>
      </c>
      <c r="G84" s="4">
        <f ca="1">$B84*('Updated Population'!G$81/'Updated Population'!$B$81)*('Total Duration Tables Sup #1'!G172/'Total Duration Tables Sup #1'!$B172)</f>
        <v>46.735964843244304</v>
      </c>
      <c r="H84" s="4">
        <f ca="1">$B84*('Updated Population'!H$81/'Updated Population'!$B$81)*('Total Duration Tables Sup #1'!H172/'Total Duration Tables Sup #1'!$B172)</f>
        <v>46.500429133163806</v>
      </c>
      <c r="I84" s="1">
        <f ca="1">$B84*('Updated Population'!I$81/'Updated Population'!$B$81)*('Total Duration Tables Sup #1'!I172/'Total Duration Tables Sup #1'!$B172)</f>
        <v>46.117428024865731</v>
      </c>
      <c r="J84" s="1">
        <f ca="1">$B84*('Updated Population'!J$81/'Updated Population'!$B$81)*('Total Duration Tables Sup #1'!J172/'Total Duration Tables Sup #1'!$B172)</f>
        <v>45.591990905138381</v>
      </c>
      <c r="K84" s="1">
        <f ca="1">$B84*('Updated Population'!K$81/'Updated Population'!$B$81)*('Total Duration Tables Sup #1'!K172/'Total Duration Tables Sup #1'!$B172)</f>
        <v>44.97567653263625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$B85*('Updated Population'!C$81/'Updated Population'!$B$81)*('Total Duration Tables Sup #1'!C173/'Total Duration Tables Sup #1'!$B173)</f>
        <v>20.561949066861292</v>
      </c>
      <c r="D85" s="4">
        <f ca="1">$B85*('Updated Population'!D$81/'Updated Population'!$B$81)*('Total Duration Tables Sup #1'!D173/'Total Duration Tables Sup #1'!$B173)</f>
        <v>20.436423661346705</v>
      </c>
      <c r="E85" s="4">
        <f ca="1">$B85*('Updated Population'!E$81/'Updated Population'!$B$81)*('Total Duration Tables Sup #1'!E173/'Total Duration Tables Sup #1'!$B173)</f>
        <v>20.279463748728734</v>
      </c>
      <c r="F85" s="4">
        <f ca="1">$B85*('Updated Population'!F$81/'Updated Population'!$B$81)*('Total Duration Tables Sup #1'!F173/'Total Duration Tables Sup #1'!$B173)</f>
        <v>19.99109407453675</v>
      </c>
      <c r="G85" s="4">
        <f ca="1">$B85*('Updated Population'!G$81/'Updated Population'!$B$81)*('Total Duration Tables Sup #1'!G173/'Total Duration Tables Sup #1'!$B173)</f>
        <v>19.580816130467237</v>
      </c>
      <c r="H85" s="4">
        <f ca="1">$B85*('Updated Population'!H$81/'Updated Population'!$B$81)*('Total Duration Tables Sup #1'!H173/'Total Duration Tables Sup #1'!$B173)</f>
        <v>19.080444533141158</v>
      </c>
      <c r="I85" s="1">
        <f ca="1">$B85*('Updated Population'!I$81/'Updated Population'!$B$81)*('Total Duration Tables Sup #1'!I173/'Total Duration Tables Sup #1'!$B173)</f>
        <v>18.923288318903101</v>
      </c>
      <c r="J85" s="1">
        <f ca="1">$B85*('Updated Population'!J$81/'Updated Population'!$B$81)*('Total Duration Tables Sup #1'!J173/'Total Duration Tables Sup #1'!$B173)</f>
        <v>18.707686570585885</v>
      </c>
      <c r="K85" s="1">
        <f ca="1">$B85*('Updated Population'!K$81/'Updated Population'!$B$81)*('Total Duration Tables Sup #1'!K173/'Total Duration Tables Sup #1'!$B173)</f>
        <v>18.454795308747663</v>
      </c>
    </row>
    <row r="86" spans="1:11" x14ac:dyDescent="0.25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$B86*('Updated Population'!C$81/'Updated Population'!$B$81)*('Total Duration Tables Sup #1'!C174/'Total Duration Tables Sup #1'!$B174)</f>
        <v>0.29611780770032264</v>
      </c>
      <c r="D86" s="4">
        <f ca="1">$B86*('Updated Population'!D$81/'Updated Population'!$B$81)*('Total Duration Tables Sup #1'!D174/'Total Duration Tables Sup #1'!$B174)</f>
        <v>0.31521344737352142</v>
      </c>
      <c r="E86" s="4">
        <f ca="1">$B86*('Updated Population'!E$81/'Updated Population'!$B$81)*('Total Duration Tables Sup #1'!E174/'Total Duration Tables Sup #1'!$B174)</f>
        <v>0.33035736460095361</v>
      </c>
      <c r="F86" s="4">
        <f ca="1">$B86*('Updated Population'!F$81/'Updated Population'!$B$81)*('Total Duration Tables Sup #1'!F174/'Total Duration Tables Sup #1'!$B174)</f>
        <v>0.34131033306140529</v>
      </c>
      <c r="G86" s="4">
        <f ca="1">$B86*('Updated Population'!G$81/'Updated Population'!$B$81)*('Total Duration Tables Sup #1'!G174/'Total Duration Tables Sup #1'!$B174)</f>
        <v>0.34558823171606262</v>
      </c>
      <c r="H86" s="4">
        <f ca="1">$B86*('Updated Population'!H$81/'Updated Population'!$B$81)*('Total Duration Tables Sup #1'!H174/'Total Duration Tables Sup #1'!$B174)</f>
        <v>0.34797921519928271</v>
      </c>
      <c r="I86" s="1">
        <f ca="1">$B86*('Updated Population'!I$81/'Updated Population'!$B$81)*('Total Duration Tables Sup #1'!I174/'Total Duration Tables Sup #1'!$B174)</f>
        <v>0.34511308197061163</v>
      </c>
      <c r="J86" s="1">
        <f ca="1">$B86*('Updated Population'!J$81/'Updated Population'!$B$81)*('Total Duration Tables Sup #1'!J174/'Total Duration Tables Sup #1'!$B174)</f>
        <v>0.3411810495148318</v>
      </c>
      <c r="K86" s="1">
        <f ca="1">$B86*('Updated Population'!K$81/'Updated Population'!$B$81)*('Total Duration Tables Sup #1'!K174/'Total Duration Tables Sup #1'!$B174)</f>
        <v>0.33656895032225953</v>
      </c>
    </row>
    <row r="87" spans="1:11" x14ac:dyDescent="0.25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$B87*('Updated Population'!C$81/'Updated Population'!$B$81)*('Total Duration Tables Sup #1'!C175/'Total Duration Tables Sup #1'!$B175)</f>
        <v>0.17089615534560851</v>
      </c>
      <c r="D87" s="4">
        <f ca="1">$B87*('Updated Population'!D$81/'Updated Population'!$B$81)*('Total Duration Tables Sup #1'!D175/'Total Duration Tables Sup #1'!$B175)</f>
        <v>0.17175655969397507</v>
      </c>
      <c r="E87" s="4">
        <f ca="1">$B87*('Updated Population'!E$81/'Updated Population'!$B$81)*('Total Duration Tables Sup #1'!E175/'Total Duration Tables Sup #1'!$B175)</f>
        <v>0.17143367984844946</v>
      </c>
      <c r="F87" s="4">
        <f ca="1">$B87*('Updated Population'!F$81/'Updated Population'!$B$81)*('Total Duration Tables Sup #1'!F175/'Total Duration Tables Sup #1'!$B175)</f>
        <v>0.17021421110884971</v>
      </c>
      <c r="G87" s="4">
        <f ca="1">$B87*('Updated Population'!G$81/'Updated Population'!$B$81)*('Total Duration Tables Sup #1'!G175/'Total Duration Tables Sup #1'!$B175)</f>
        <v>0.16647937552814485</v>
      </c>
      <c r="H87" s="4">
        <f ca="1">$B87*('Updated Population'!H$81/'Updated Population'!$B$81)*('Total Duration Tables Sup #1'!H175/'Total Duration Tables Sup #1'!$B175)</f>
        <v>0.16186575804852352</v>
      </c>
      <c r="I87" s="1">
        <f ca="1">$B87*('Updated Population'!I$81/'Updated Population'!$B$81)*('Total Duration Tables Sup #1'!I175/'Total Duration Tables Sup #1'!$B175)</f>
        <v>0.16053254960542382</v>
      </c>
      <c r="J87" s="1">
        <f ca="1">$B87*('Updated Population'!J$81/'Updated Population'!$B$81)*('Total Duration Tables Sup #1'!J175/'Total Duration Tables Sup #1'!$B175)</f>
        <v>0.15870352825493389</v>
      </c>
      <c r="K87" s="1">
        <f ca="1">$B87*('Updated Population'!K$81/'Updated Population'!$B$81)*('Total Duration Tables Sup #1'!K175/'Total Duration Tables Sup #1'!$B175)</f>
        <v>0.15655816755695898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Duration Tables Sup #1'!C176/'Total Duration Tables Sup #1'!$B176)</f>
        <v>0</v>
      </c>
      <c r="D88" s="4">
        <f ca="1">$B88*('Updated Population'!D$81/'Updated Population'!$B$81)*('Total Duration Tables Sup #1'!D176/'Total Duration Tables Sup #1'!$B176)</f>
        <v>0</v>
      </c>
      <c r="E88" s="4">
        <f ca="1">$B88*('Updated Population'!E$81/'Updated Population'!$B$81)*('Total Duration Tables Sup #1'!E176/'Total Duration Tables Sup #1'!$B176)</f>
        <v>0</v>
      </c>
      <c r="F88" s="4">
        <f ca="1">$B88*('Updated Population'!F$81/'Updated Population'!$B$81)*('Total Duration Tables Sup #1'!F176/'Total Duration Tables Sup #1'!$B176)</f>
        <v>0</v>
      </c>
      <c r="G88" s="4">
        <f ca="1">$B88*('Updated Population'!G$81/'Updated Population'!$B$81)*('Total Duration Tables Sup #1'!G176/'Total Duration Tables Sup #1'!$B176)</f>
        <v>0</v>
      </c>
      <c r="H88" s="4">
        <f ca="1">$B88*('Updated Population'!H$81/'Updated Population'!$B$81)*('Total Duration Tables Sup #1'!H176/'Total Duration Tables Sup #1'!$B176)</f>
        <v>0</v>
      </c>
      <c r="I88" s="1">
        <f ca="1">$B88*('Updated Population'!I$81/'Updated Population'!$B$81)*('Total Duration Tables Sup #1'!I176/'Total Duration Tables Sup #1'!$B176)</f>
        <v>0</v>
      </c>
      <c r="J88" s="1">
        <f ca="1">$B88*('Updated Population'!J$81/'Updated Population'!$B$81)*('Total Duration Tables Sup #1'!J176/'Total Duration Tables Sup #1'!$B176)</f>
        <v>0</v>
      </c>
      <c r="K88" s="1">
        <f ca="1">$B88*('Updated Population'!K$81/'Updated Population'!$B$81)*('Total Duration Tables Sup #1'!K176/'Total Duration Tables Sup #1'!$B176)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$B89*('Updated Population'!C$81/'Updated Population'!$B$81)*('Total Duration Tables Sup #1'!C177/'Total Duration Tables Sup #1'!$B177)</f>
        <v>1.6492000462007796</v>
      </c>
      <c r="D89" s="4">
        <f ca="1">$B89*('Updated Population'!D$81/'Updated Population'!$B$81)*('Total Duration Tables Sup #1'!D177/'Total Duration Tables Sup #1'!$B177)</f>
        <v>1.5720105790608654</v>
      </c>
      <c r="E89" s="4">
        <f ca="1">$B89*('Updated Population'!E$81/'Updated Population'!$B$81)*('Total Duration Tables Sup #1'!E177/'Total Duration Tables Sup #1'!$B177)</f>
        <v>1.5183330760545237</v>
      </c>
      <c r="F89" s="4">
        <f ca="1">$B89*('Updated Population'!F$81/'Updated Population'!$B$81)*('Total Duration Tables Sup #1'!F177/'Total Duration Tables Sup #1'!$B177)</f>
        <v>1.4477664201338749</v>
      </c>
      <c r="G89" s="4">
        <f ca="1">$B89*('Updated Population'!G$81/'Updated Population'!$B$81)*('Total Duration Tables Sup #1'!G177/'Total Duration Tables Sup #1'!$B177)</f>
        <v>1.388461428040525</v>
      </c>
      <c r="H89" s="4">
        <f ca="1">$B89*('Updated Population'!H$81/'Updated Population'!$B$81)*('Total Duration Tables Sup #1'!H177/'Total Duration Tables Sup #1'!$B177)</f>
        <v>1.3255545619214477</v>
      </c>
      <c r="I89" s="1">
        <f ca="1">$B89*('Updated Population'!I$81/'Updated Population'!$B$81)*('Total Duration Tables Sup #1'!I177/'Total Duration Tables Sup #1'!$B177)</f>
        <v>1.3146366225434774</v>
      </c>
      <c r="J89" s="1">
        <f ca="1">$B89*('Updated Population'!J$81/'Updated Population'!$B$81)*('Total Duration Tables Sup #1'!J177/'Total Duration Tables Sup #1'!$B177)</f>
        <v>1.2996583613953299</v>
      </c>
      <c r="K89" s="1">
        <f ca="1">$B89*('Updated Population'!K$81/'Updated Population'!$B$81)*('Total Duration Tables Sup #1'!K177/'Total Duration Tables Sup #1'!$B177)</f>
        <v>1.2820895272301995</v>
      </c>
    </row>
    <row r="90" spans="1:11" x14ac:dyDescent="0.25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$B90*('Updated Population'!C$81/'Updated Population'!$B$81)*('Total Duration Tables Sup #1'!C178/'Total Duration Tables Sup #1'!$B178)</f>
        <v>1.4846751636104508E-2</v>
      </c>
      <c r="D90" s="4">
        <f ca="1">$B90*('Updated Population'!D$81/'Updated Population'!$B$81)*('Total Duration Tables Sup #1'!D178/'Total Duration Tables Sup #1'!$B178)</f>
        <v>1.5713585119342961E-2</v>
      </c>
      <c r="E90" s="4">
        <f ca="1">$B90*('Updated Population'!E$81/'Updated Population'!$B$81)*('Total Duration Tables Sup #1'!E178/'Total Duration Tables Sup #1'!$B178)</f>
        <v>1.6204197323188504E-2</v>
      </c>
      <c r="F90" s="4">
        <f ca="1">$B90*('Updated Population'!F$81/'Updated Population'!$B$81)*('Total Duration Tables Sup #1'!F178/'Total Duration Tables Sup #1'!$B178)</f>
        <v>1.6435378779577351E-2</v>
      </c>
      <c r="G90" s="4">
        <f ca="1">$B90*('Updated Population'!G$81/'Updated Population'!$B$81)*('Total Duration Tables Sup #1'!G178/'Total Duration Tables Sup #1'!$B178)</f>
        <v>1.689117387912828E-2</v>
      </c>
      <c r="H90" s="4">
        <f ca="1">$B90*('Updated Population'!H$81/'Updated Population'!$B$81)*('Total Duration Tables Sup #1'!H178/'Total Duration Tables Sup #1'!$B178)</f>
        <v>1.7172785904439002E-2</v>
      </c>
      <c r="I90" s="1">
        <f ca="1">$B90*('Updated Population'!I$81/'Updated Population'!$B$81)*('Total Duration Tables Sup #1'!I178/'Total Duration Tables Sup #1'!$B178)</f>
        <v>1.7031342133777647E-2</v>
      </c>
      <c r="J90" s="1">
        <f ca="1">$B90*('Updated Population'!J$81/'Updated Population'!$B$81)*('Total Duration Tables Sup #1'!J178/'Total Duration Tables Sup #1'!$B178)</f>
        <v>1.6837296200621139E-2</v>
      </c>
      <c r="K90" s="1">
        <f ca="1">$B90*('Updated Population'!K$81/'Updated Population'!$B$81)*('Total Duration Tables Sup #1'!K178/'Total Duration Tables Sup #1'!$B178)</f>
        <v>1.6609688951266546E-2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$B91*('Updated Population'!C$81/'Updated Population'!$B$81)*('Total Duration Tables Sup #1'!C179/'Total Duration Tables Sup #1'!$B179)</f>
        <v>4.217148298657724E-2</v>
      </c>
      <c r="D91" s="4">
        <f ca="1">$B91*('Updated Population'!D$81/'Updated Population'!$B$81)*('Total Duration Tables Sup #1'!D179/'Total Duration Tables Sup #1'!$B179)</f>
        <v>4.3422595574051003E-2</v>
      </c>
      <c r="E91" s="4">
        <f ca="1">$B91*('Updated Population'!E$81/'Updated Population'!$B$81)*('Total Duration Tables Sup #1'!E179/'Total Duration Tables Sup #1'!$B179)</f>
        <v>4.3672323277198666E-2</v>
      </c>
      <c r="F91" s="4">
        <f ca="1">$B91*('Updated Population'!F$81/'Updated Population'!$B$81)*('Total Duration Tables Sup #1'!F179/'Total Duration Tables Sup #1'!$B179)</f>
        <v>4.3534797425992762E-2</v>
      </c>
      <c r="G91" s="4">
        <f ca="1">$B91*('Updated Population'!G$81/'Updated Population'!$B$81)*('Total Duration Tables Sup #1'!G179/'Total Duration Tables Sup #1'!$B179)</f>
        <v>4.3507054719717081E-2</v>
      </c>
      <c r="H91" s="4">
        <f ca="1">$B91*('Updated Population'!H$81/'Updated Population'!$B$81)*('Total Duration Tables Sup #1'!H179/'Total Duration Tables Sup #1'!$B179)</f>
        <v>4.3137038618148889E-2</v>
      </c>
      <c r="I91" s="1">
        <f ca="1">$B91*('Updated Population'!I$81/'Updated Population'!$B$81)*('Total Duration Tables Sup #1'!I179/'Total Duration Tables Sup #1'!$B179)</f>
        <v>4.2781740099244146E-2</v>
      </c>
      <c r="J91" s="1">
        <f ca="1">$B91*('Updated Population'!J$81/'Updated Population'!$B$81)*('Total Duration Tables Sup #1'!J179/'Total Duration Tables Sup #1'!$B179)</f>
        <v>4.229430800995785E-2</v>
      </c>
      <c r="K91" s="1">
        <f ca="1">$B91*('Updated Population'!K$81/'Updated Population'!$B$81)*('Total Duration Tables Sup #1'!K179/'Total Duration Tables Sup #1'!$B179)</f>
        <v>4.1722571847880502E-2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$B93*('Updated Population'!C$92/'Updated Population'!$B$92)*('Total Duration Tables Sup #1'!C170/'Total Duration Tables Sup #1'!$B170)</f>
        <v>34.349855901748469</v>
      </c>
      <c r="D93" s="4">
        <f ca="1">$B93*('Updated Population'!D$92/'Updated Population'!$B$92)*('Total Duration Tables Sup #1'!D170/'Total Duration Tables Sup #1'!$B170)</f>
        <v>34.862937078786842</v>
      </c>
      <c r="E93" s="4">
        <f ca="1">$B93*('Updated Population'!E$92/'Updated Population'!$B$92)*('Total Duration Tables Sup #1'!E170/'Total Duration Tables Sup #1'!$B170)</f>
        <v>34.943499222030482</v>
      </c>
      <c r="F93" s="4">
        <f ca="1">$B93*('Updated Population'!F$92/'Updated Population'!$B$92)*('Total Duration Tables Sup #1'!F170/'Total Duration Tables Sup #1'!$B170)</f>
        <v>34.713800888514449</v>
      </c>
      <c r="G93" s="4">
        <f ca="1">$B93*('Updated Population'!G$92/'Updated Population'!$B$92)*('Total Duration Tables Sup #1'!G170/'Total Duration Tables Sup #1'!$B170)</f>
        <v>34.350189403496309</v>
      </c>
      <c r="H93" s="4">
        <f ca="1">$B93*('Updated Population'!H$92/'Updated Population'!$B$92)*('Total Duration Tables Sup #1'!H170/'Total Duration Tables Sup #1'!$B170)</f>
        <v>33.847514196255062</v>
      </c>
      <c r="I93" s="1">
        <f ca="1">$B93*('Updated Population'!I$92/'Updated Population'!$B$92)*('Total Duration Tables Sup #1'!I170/'Total Duration Tables Sup #1'!$B170)</f>
        <v>34.071358940944322</v>
      </c>
      <c r="J93" s="1">
        <f ca="1">$B93*('Updated Population'!J$92/'Updated Population'!$B$92)*('Total Duration Tables Sup #1'!J170/'Total Duration Tables Sup #1'!$B170)</f>
        <v>34.187511789776394</v>
      </c>
      <c r="K93" s="1">
        <f ca="1">$B93*('Updated Population'!K$92/'Updated Population'!$B$92)*('Total Duration Tables Sup #1'!K170/'Total Duration Tables Sup #1'!$B170)</f>
        <v>34.230338974146257</v>
      </c>
    </row>
    <row r="94" spans="1:11" x14ac:dyDescent="0.25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$B94*('Updated Population'!C$92/'Updated Population'!$B$92)*('Total Duration Tables Sup #1'!C171/'Total Duration Tables Sup #1'!$B171)</f>
        <v>3.921625273049024</v>
      </c>
      <c r="D94" s="4">
        <f ca="1">$B94*('Updated Population'!D$92/'Updated Population'!$B$92)*('Total Duration Tables Sup #1'!D171/'Total Duration Tables Sup #1'!$B171)</f>
        <v>3.9943914988886822</v>
      </c>
      <c r="E94" s="4">
        <f ca="1">$B94*('Updated Population'!E$92/'Updated Population'!$B$92)*('Total Duration Tables Sup #1'!E171/'Total Duration Tables Sup #1'!$B171)</f>
        <v>3.9994030450536115</v>
      </c>
      <c r="F94" s="4">
        <f ca="1">$B94*('Updated Population'!F$92/'Updated Population'!$B$92)*('Total Duration Tables Sup #1'!F171/'Total Duration Tables Sup #1'!$B171)</f>
        <v>4.0378544047239346</v>
      </c>
      <c r="G94" s="4">
        <f ca="1">$B94*('Updated Population'!G$92/'Updated Population'!$B$92)*('Total Duration Tables Sup #1'!G171/'Total Duration Tables Sup #1'!$B171)</f>
        <v>4.1176565357262094</v>
      </c>
      <c r="H94" s="4">
        <f ca="1">$B94*('Updated Population'!H$92/'Updated Population'!$B$92)*('Total Duration Tables Sup #1'!H171/'Total Duration Tables Sup #1'!$B171)</f>
        <v>4.1969305990774117</v>
      </c>
      <c r="I94" s="1">
        <f ca="1">$B94*('Updated Population'!I$92/'Updated Population'!$B$92)*('Total Duration Tables Sup #1'!I171/'Total Duration Tables Sup #1'!$B171)</f>
        <v>4.224686281606469</v>
      </c>
      <c r="J94" s="1">
        <f ca="1">$B94*('Updated Population'!J$92/'Updated Population'!$B$92)*('Total Duration Tables Sup #1'!J171/'Total Duration Tables Sup #1'!$B171)</f>
        <v>4.2390886818124862</v>
      </c>
      <c r="K94" s="1">
        <f ca="1">$B94*('Updated Population'!K$92/'Updated Population'!$B$92)*('Total Duration Tables Sup #1'!K171/'Total Duration Tables Sup #1'!$B171)</f>
        <v>4.2443990487573684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$B95*('Updated Population'!C$92/'Updated Population'!$B$92)*('Total Duration Tables Sup #1'!C172/'Total Duration Tables Sup #1'!$B172)</f>
        <v>99.346519681365123</v>
      </c>
      <c r="D95" s="4">
        <f ca="1">$B95*('Updated Population'!D$92/'Updated Population'!$B$92)*('Total Duration Tables Sup #1'!D172/'Total Duration Tables Sup #1'!$B172)</f>
        <v>102.89181470252056</v>
      </c>
      <c r="E95" s="4">
        <f ca="1">$B95*('Updated Population'!E$92/'Updated Population'!$B$92)*('Total Duration Tables Sup #1'!E172/'Total Duration Tables Sup #1'!$B172)</f>
        <v>106.05887210623047</v>
      </c>
      <c r="F95" s="4">
        <f ca="1">$B95*('Updated Population'!F$92/'Updated Population'!$B$92)*('Total Duration Tables Sup #1'!F172/'Total Duration Tables Sup #1'!$B172)</f>
        <v>108.80106956210706</v>
      </c>
      <c r="G95" s="4">
        <f ca="1">$B95*('Updated Population'!G$92/'Updated Population'!$B$92)*('Total Duration Tables Sup #1'!G172/'Total Duration Tables Sup #1'!$B172)</f>
        <v>110.46796505147479</v>
      </c>
      <c r="H95" s="4">
        <f ca="1">$B95*('Updated Population'!H$92/'Updated Population'!$B$92)*('Total Duration Tables Sup #1'!H172/'Total Duration Tables Sup #1'!$B172)</f>
        <v>111.55695737081187</v>
      </c>
      <c r="I95" s="1">
        <f ca="1">$B95*('Updated Population'!I$92/'Updated Population'!$B$92)*('Total Duration Tables Sup #1'!I172/'Total Duration Tables Sup #1'!$B172)</f>
        <v>112.2947202238294</v>
      </c>
      <c r="J95" s="1">
        <f ca="1">$B95*('Updated Population'!J$92/'Updated Population'!$B$92)*('Total Duration Tables Sup #1'!J172/'Total Duration Tables Sup #1'!$B172)</f>
        <v>112.67754474472407</v>
      </c>
      <c r="K95" s="1">
        <f ca="1">$B95*('Updated Population'!K$92/'Updated Population'!$B$92)*('Total Duration Tables Sup #1'!K172/'Total Duration Tables Sup #1'!$B172)</f>
        <v>112.81869751456588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$B96*('Updated Population'!C$92/'Updated Population'!$B$92)*('Total Duration Tables Sup #1'!C173/'Total Duration Tables Sup #1'!$B173)</f>
        <v>50.505801794477676</v>
      </c>
      <c r="D96" s="4">
        <f ca="1">$B96*('Updated Population'!D$92/'Updated Population'!$B$92)*('Total Duration Tables Sup #1'!D173/'Total Duration Tables Sup #1'!$B173)</f>
        <v>51.013400499607116</v>
      </c>
      <c r="E96" s="4">
        <f ca="1">$B96*('Updated Population'!E$92/'Updated Population'!$B$92)*('Total Duration Tables Sup #1'!E173/'Total Duration Tables Sup #1'!$B173)</f>
        <v>51.315572284894266</v>
      </c>
      <c r="F96" s="4">
        <f ca="1">$B96*('Updated Population'!F$92/'Updated Population'!$B$92)*('Total Duration Tables Sup #1'!F173/'Total Duration Tables Sup #1'!$B173)</f>
        <v>51.332787479510905</v>
      </c>
      <c r="G96" s="4">
        <f ca="1">$B96*('Updated Population'!G$92/'Updated Population'!$B$92)*('Total Duration Tables Sup #1'!G173/'Total Duration Tables Sup #1'!$B173)</f>
        <v>51.039455362630463</v>
      </c>
      <c r="H96" s="4">
        <f ca="1">$B96*('Updated Population'!H$92/'Updated Population'!$B$92)*('Total Duration Tables Sup #1'!H173/'Total Duration Tables Sup #1'!$B173)</f>
        <v>50.479877192913975</v>
      </c>
      <c r="I96" s="1">
        <f ca="1">$B96*('Updated Population'!I$92/'Updated Population'!$B$92)*('Total Duration Tables Sup #1'!I173/'Total Duration Tables Sup #1'!$B173)</f>
        <v>50.813717224907911</v>
      </c>
      <c r="J96" s="1">
        <f ca="1">$B96*('Updated Population'!J$92/'Updated Population'!$B$92)*('Total Duration Tables Sup #1'!J173/'Total Duration Tables Sup #1'!$B173)</f>
        <v>50.986946535357497</v>
      </c>
      <c r="K96" s="1">
        <f ca="1">$B96*('Updated Population'!K$92/'Updated Population'!$B$92)*('Total Duration Tables Sup #1'!K173/'Total Duration Tables Sup #1'!$B173)</f>
        <v>51.050818611604335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$B97*('Updated Population'!C$92/'Updated Population'!$B$92)*('Total Duration Tables Sup #1'!C174/'Total Duration Tables Sup #1'!$B174)</f>
        <v>0.856423590567162</v>
      </c>
      <c r="D97" s="4">
        <f ca="1">$B97*('Updated Population'!D$92/'Updated Population'!$B$92)*('Total Duration Tables Sup #1'!D174/'Total Duration Tables Sup #1'!$B174)</f>
        <v>0.92646969637453935</v>
      </c>
      <c r="E97" s="4">
        <f ca="1">$B97*('Updated Population'!E$92/'Updated Population'!$B$92)*('Total Duration Tables Sup #1'!E174/'Total Duration Tables Sup #1'!$B174)</f>
        <v>0.98429166607913154</v>
      </c>
      <c r="F97" s="4">
        <f ca="1">$B97*('Updated Population'!F$92/'Updated Population'!$B$92)*('Total Duration Tables Sup #1'!F174/'Total Duration Tables Sup #1'!$B174)</f>
        <v>1.0319409030223388</v>
      </c>
      <c r="G97" s="4">
        <f ca="1">$B97*('Updated Population'!G$92/'Updated Population'!$B$92)*('Total Duration Tables Sup #1'!G174/'Total Duration Tables Sup #1'!$B174)</f>
        <v>1.0606724592513199</v>
      </c>
      <c r="H97" s="4">
        <f ca="1">$B97*('Updated Population'!H$92/'Updated Population'!$B$92)*('Total Duration Tables Sup #1'!H174/'Total Duration Tables Sup #1'!$B174)</f>
        <v>1.084002317198614</v>
      </c>
      <c r="I97" s="1">
        <f ca="1">$B97*('Updated Population'!I$92/'Updated Population'!$B$92)*('Total Duration Tables Sup #1'!I174/'Total Duration Tables Sup #1'!$B174)</f>
        <v>1.0911711810782174</v>
      </c>
      <c r="J97" s="1">
        <f ca="1">$B97*('Updated Population'!J$92/'Updated Population'!$B$92)*('Total Duration Tables Sup #1'!J174/'Total Duration Tables Sup #1'!$B174)</f>
        <v>1.0948910984864244</v>
      </c>
      <c r="K97" s="1">
        <f ca="1">$B97*('Updated Population'!K$92/'Updated Population'!$B$92)*('Total Duration Tables Sup #1'!K174/'Total Duration Tables Sup #1'!$B174)</f>
        <v>1.0962626842054477</v>
      </c>
    </row>
    <row r="98" spans="1:11" x14ac:dyDescent="0.25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$B98*('Updated Population'!C$92/'Updated Population'!$B$92)*('Total Duration Tables Sup #1'!C175/'Total Duration Tables Sup #1'!$B175)</f>
        <v>0.75222485097025926</v>
      </c>
      <c r="D98" s="4">
        <f ca="1">$B98*('Updated Population'!D$92/'Updated Population'!$B$92)*('Total Duration Tables Sup #1'!D175/'Total Duration Tables Sup #1'!$B175)</f>
        <v>0.76830047689018399</v>
      </c>
      <c r="E98" s="4">
        <f ca="1">$B98*('Updated Population'!E$92/'Updated Population'!$B$92)*('Total Duration Tables Sup #1'!E175/'Total Duration Tables Sup #1'!$B175)</f>
        <v>0.77736905901859676</v>
      </c>
      <c r="F98" s="4">
        <f ca="1">$B98*('Updated Population'!F$92/'Updated Population'!$B$92)*('Total Duration Tables Sup #1'!F175/'Total Duration Tables Sup #1'!$B175)</f>
        <v>0.78323573685857972</v>
      </c>
      <c r="G98" s="4">
        <f ca="1">$B98*('Updated Population'!G$92/'Updated Population'!$B$92)*('Total Duration Tables Sup #1'!G175/'Total Duration Tables Sup #1'!$B175)</f>
        <v>0.77763191042414848</v>
      </c>
      <c r="H98" s="4">
        <f ca="1">$B98*('Updated Population'!H$92/'Updated Population'!$B$92)*('Total Duration Tables Sup #1'!H175/'Total Duration Tables Sup #1'!$B175)</f>
        <v>0.76740244755210696</v>
      </c>
      <c r="I98" s="1">
        <f ca="1">$B98*('Updated Population'!I$92/'Updated Population'!$B$92)*('Total Duration Tables Sup #1'!I175/'Total Duration Tables Sup #1'!$B175)</f>
        <v>0.77247753235597783</v>
      </c>
      <c r="J98" s="1">
        <f ca="1">$B98*('Updated Population'!J$92/'Updated Population'!$B$92)*('Total Duration Tables Sup #1'!J175/'Total Duration Tables Sup #1'!$B175)</f>
        <v>0.77511098957138946</v>
      </c>
      <c r="K98" s="1">
        <f ca="1">$B98*('Updated Population'!K$92/'Updated Population'!$B$92)*('Total Duration Tables Sup #1'!K175/'Total Duration Tables Sup #1'!$B175)</f>
        <v>0.77608198218008262</v>
      </c>
    </row>
    <row r="99" spans="1:11" x14ac:dyDescent="0.25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5.8119776274000001</v>
      </c>
      <c r="D99" s="4">
        <f ca="1">OFFSET(Wellington_Reference,44,7)</f>
        <v>6.0056745876999997</v>
      </c>
      <c r="E99" s="4">
        <f ca="1">OFFSET(Wellington_Reference,45,7)</f>
        <v>6.1237727758</v>
      </c>
      <c r="F99" s="4">
        <f ca="1">OFFSET(Wellington_Reference,46,7)</f>
        <v>6.1345499878999998</v>
      </c>
      <c r="G99" s="4">
        <f ca="1">OFFSET(Wellington_Reference,47,7)</f>
        <v>6.1617167924</v>
      </c>
      <c r="H99" s="4">
        <f ca="1">OFFSET(Wellington_Reference,48,7)</f>
        <v>6.1591517609000004</v>
      </c>
      <c r="I99" s="1">
        <f ca="1">OFFSET(Wellington_Reference,48,7)*('Updated Population'!I92/'Updated Population'!H92)</f>
        <v>6.199884257396703</v>
      </c>
      <c r="J99" s="1">
        <f ca="1">OFFSET(Wellington_Reference,48,7)*('Updated Population'!J92/'Updated Population'!H92)</f>
        <v>6.2210203154028996</v>
      </c>
      <c r="K99" s="1">
        <f ca="1">OFFSET(Wellington_Reference,48,7)*('Updated Population'!K92/'Updated Population'!H92)</f>
        <v>6.2288134764160414</v>
      </c>
    </row>
    <row r="100" spans="1:11" x14ac:dyDescent="0.25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9.6849274415999993</v>
      </c>
      <c r="D100" s="4">
        <f ca="1">OFFSET(Wellington_Reference,51,7)</f>
        <v>9.7519610038</v>
      </c>
      <c r="E100" s="4">
        <f ca="1">OFFSET(Wellington_Reference,52,7)</f>
        <v>9.6209603155999996</v>
      </c>
      <c r="F100" s="4">
        <f ca="1">OFFSET(Wellington_Reference,53,7)</f>
        <v>9.3692021358000002</v>
      </c>
      <c r="G100" s="4">
        <f ca="1">OFFSET(Wellington_Reference,54,7)</f>
        <v>9.0822456122999995</v>
      </c>
      <c r="H100" s="4">
        <f ca="1">OFFSET(Wellington_Reference,55,7)</f>
        <v>8.7596172426999992</v>
      </c>
      <c r="I100" s="1">
        <f ca="1">OFFSET(Wellington_Reference,55,7)*('Updated Population'!I92/'Updated Population'!H92)</f>
        <v>8.8175474727871688</v>
      </c>
      <c r="J100" s="1">
        <f ca="1">OFFSET(Wellington_Reference,55,7)*('Updated Population'!J92/'Updated Population'!H92)</f>
        <v>8.8476074202184254</v>
      </c>
      <c r="K100" s="1">
        <f ca="1">OFFSET(Wellington_Reference,55,7)*('Updated Population'!K92/'Updated Population'!H92)</f>
        <v>8.8586909444171997</v>
      </c>
    </row>
    <row r="101" spans="1:11" x14ac:dyDescent="0.25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$B101*('Updated Population'!C$92/'Updated Population'!$B$92)*('Total Duration Tables Sup #1'!C178/'Total Duration Tables Sup #1'!$B178)</f>
        <v>6.3947335244914263E-2</v>
      </c>
      <c r="D101" s="4">
        <f ca="1">$B101*('Updated Population'!D$92/'Updated Population'!$B$92)*('Total Duration Tables Sup #1'!D178/'Total Duration Tables Sup #1'!$B178)</f>
        <v>6.8781030197166568E-2</v>
      </c>
      <c r="E101" s="4">
        <f ca="1">$B101*('Updated Population'!E$92/'Updated Population'!$B$92)*('Total Duration Tables Sup #1'!E178/'Total Duration Tables Sup #1'!$B178)</f>
        <v>7.1900887344226463E-2</v>
      </c>
      <c r="F101" s="4">
        <f ca="1">$B101*('Updated Population'!F$92/'Updated Population'!$B$92)*('Total Duration Tables Sup #1'!F178/'Total Duration Tables Sup #1'!$B178)</f>
        <v>7.4003459043110523E-2</v>
      </c>
      <c r="G101" s="4">
        <f ca="1">$B101*('Updated Population'!G$92/'Updated Population'!$B$92)*('Total Duration Tables Sup #1'!G178/'Total Duration Tables Sup #1'!$B178)</f>
        <v>7.7205651463212732E-2</v>
      </c>
      <c r="H101" s="4">
        <f ca="1">$B101*('Updated Population'!H$92/'Updated Population'!$B$92)*('Total Duration Tables Sup #1'!H178/'Total Duration Tables Sup #1'!$B178)</f>
        <v>7.9668120905462603E-2</v>
      </c>
      <c r="I101" s="1">
        <f ca="1">$B101*('Updated Population'!I$92/'Updated Population'!$B$92)*('Total Duration Tables Sup #1'!I178/'Total Duration Tables Sup #1'!$B178)</f>
        <v>8.0194992393884321E-2</v>
      </c>
      <c r="J101" s="1">
        <f ca="1">$B101*('Updated Population'!J$92/'Updated Population'!$B$92)*('Total Duration Tables Sup #1'!J178/'Total Duration Tables Sup #1'!$B178)</f>
        <v>8.0468385563929615E-2</v>
      </c>
      <c r="K101" s="1">
        <f ca="1">$B101*('Updated Population'!K$92/'Updated Population'!$B$92)*('Total Duration Tables Sup #1'!K178/'Total Duration Tables Sup #1'!$B178)</f>
        <v>8.0569189459974558E-2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$B102*('Updated Population'!C$92/'Updated Population'!$B$92)*('Total Duration Tables Sup #1'!C179/'Total Duration Tables Sup #1'!$B179)</f>
        <v>0.3946228255110949</v>
      </c>
      <c r="D102" s="4">
        <f ca="1">$B102*('Updated Population'!D$92/'Updated Population'!$B$92)*('Total Duration Tables Sup #1'!D179/'Total Duration Tables Sup #1'!$B179)</f>
        <v>0.41293480883722555</v>
      </c>
      <c r="E102" s="4">
        <f ca="1">$B102*('Updated Population'!E$92/'Updated Population'!$B$92)*('Total Duration Tables Sup #1'!E179/'Total Duration Tables Sup #1'!$B179)</f>
        <v>0.4210031480565074</v>
      </c>
      <c r="F102" s="4">
        <f ca="1">$B102*('Updated Population'!F$92/'Updated Population'!$B$92)*('Total Duration Tables Sup #1'!F179/'Total Duration Tables Sup #1'!$B179)</f>
        <v>0.42587402312179784</v>
      </c>
      <c r="G102" s="4">
        <f ca="1">$B102*('Updated Population'!G$92/'Updated Population'!$B$92)*('Total Duration Tables Sup #1'!G179/'Total Duration Tables Sup #1'!$B179)</f>
        <v>0.43203732003265771</v>
      </c>
      <c r="H102" s="4">
        <f ca="1">$B102*('Updated Population'!H$92/'Updated Population'!$B$92)*('Total Duration Tables Sup #1'!H179/'Total Duration Tables Sup #1'!$B179)</f>
        <v>0.43477690394192253</v>
      </c>
      <c r="I102" s="1">
        <f ca="1">$B102*('Updated Population'!I$92/'Updated Population'!$B$92)*('Total Duration Tables Sup #1'!I179/'Total Duration Tables Sup #1'!$B179)</f>
        <v>0.4376522266168868</v>
      </c>
      <c r="J102" s="1">
        <f ca="1">$B102*('Updated Population'!J$92/'Updated Population'!$B$92)*('Total Duration Tables Sup #1'!J179/'Total Duration Tables Sup #1'!$B179)</f>
        <v>0.43914422912278506</v>
      </c>
      <c r="K102" s="1">
        <f ca="1">$B102*('Updated Population'!K$92/'Updated Population'!$B$92)*('Total Duration Tables Sup #1'!K179/'Total Duration Tables Sup #1'!$B179)</f>
        <v>0.43969435137155388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OFFSET(Nelson_Reference,0,7)</f>
        <v>7.2640217022</v>
      </c>
      <c r="C104" s="4">
        <f ca="1">$B104*('Updated Population'!C$103/'Updated Population'!$B$103)*('Total Duration Tables Sup #1'!C170/'Total Duration Tables Sup #1'!$B170)</f>
        <v>7.4927385580034169</v>
      </c>
      <c r="D104" s="4">
        <f ca="1">$B104*('Updated Population'!D$103/'Updated Population'!$B$103)*('Total Duration Tables Sup #1'!D170/'Total Duration Tables Sup #1'!$B170)</f>
        <v>7.579655134555761</v>
      </c>
      <c r="E104" s="4">
        <f ca="1">$B104*('Updated Population'!E$103/'Updated Population'!$B$103)*('Total Duration Tables Sup #1'!E170/'Total Duration Tables Sup #1'!$B170)</f>
        <v>7.5705637334756251</v>
      </c>
      <c r="F104" s="4">
        <f ca="1">$B104*('Updated Population'!F$103/'Updated Population'!$B$103)*('Total Duration Tables Sup #1'!F170/'Total Duration Tables Sup #1'!$B170)</f>
        <v>7.4823391819411702</v>
      </c>
      <c r="G104" s="4">
        <f ca="1">$B104*('Updated Population'!G$103/'Updated Population'!$B$103)*('Total Duration Tables Sup #1'!G170/'Total Duration Tables Sup #1'!$B170)</f>
        <v>7.3561314722950071</v>
      </c>
      <c r="H104" s="4">
        <f ca="1">$B104*('Updated Population'!H$103/'Updated Population'!$B$103)*('Total Duration Tables Sup #1'!H170/'Total Duration Tables Sup #1'!$B170)</f>
        <v>7.1895598198269743</v>
      </c>
      <c r="I104" s="1">
        <f ca="1">$B104*('Updated Population'!I$103/'Updated Population'!$B$103)*('Total Duration Tables Sup #1'!I170/'Total Duration Tables Sup #1'!$B170)</f>
        <v>7.1786145337206388</v>
      </c>
      <c r="J104" s="1">
        <f ca="1">$B104*('Updated Population'!J$103/'Updated Population'!$B$103)*('Total Duration Tables Sup #1'!J170/'Total Duration Tables Sup #1'!$B170)</f>
        <v>7.1452072545747951</v>
      </c>
      <c r="K104" s="1">
        <f ca="1">$B104*('Updated Population'!K$103/'Updated Population'!$B$103)*('Total Duration Tables Sup #1'!K170/'Total Duration Tables Sup #1'!$B170)</f>
        <v>7.0970068046805315</v>
      </c>
    </row>
    <row r="105" spans="1:11" x14ac:dyDescent="0.25">
      <c r="A105" t="str">
        <f ca="1">OFFSET(Nelson_Reference,7,2)</f>
        <v>Cyclist</v>
      </c>
      <c r="B105" s="4">
        <f ca="1">OFFSET(Nelson_Reference,7,7)</f>
        <v>1.0417220854</v>
      </c>
      <c r="C105" s="4">
        <f ca="1">$B105*('Updated Population'!C$103/'Updated Population'!$B$103)*('Total Duration Tables Sup #1'!C171/'Total Duration Tables Sup #1'!$B171)</f>
        <v>1.0942965244248295</v>
      </c>
      <c r="D105" s="4">
        <f ca="1">$B105*('Updated Population'!D$103/'Updated Population'!$B$103)*('Total Duration Tables Sup #1'!D171/'Total Duration Tables Sup #1'!$B171)</f>
        <v>1.1109368441729464</v>
      </c>
      <c r="E105" s="4">
        <f ca="1">$B105*('Updated Population'!E$103/'Updated Population'!$B$103)*('Total Duration Tables Sup #1'!E171/'Total Duration Tables Sup #1'!$B171)</f>
        <v>1.1084350942577816</v>
      </c>
      <c r="F105" s="4">
        <f ca="1">$B105*('Updated Population'!F$103/'Updated Population'!$B$103)*('Total Duration Tables Sup #1'!F171/'Total Duration Tables Sup #1'!$B171)</f>
        <v>1.1133690540732291</v>
      </c>
      <c r="G105" s="4">
        <f ca="1">$B105*('Updated Population'!G$103/'Updated Population'!$B$103)*('Total Duration Tables Sup #1'!G171/'Total Duration Tables Sup #1'!$B171)</f>
        <v>1.1280380059465245</v>
      </c>
      <c r="H105" s="4">
        <f ca="1">$B105*('Updated Population'!H$103/'Updated Population'!$B$103)*('Total Duration Tables Sup #1'!H171/'Total Duration Tables Sup #1'!$B171)</f>
        <v>1.1404088468128279</v>
      </c>
      <c r="I105" s="1">
        <f ca="1">$B105*('Updated Population'!I$103/'Updated Population'!$B$103)*('Total Duration Tables Sup #1'!I171/'Total Duration Tables Sup #1'!$B171)</f>
        <v>1.138672704208918</v>
      </c>
      <c r="J105" s="1">
        <f ca="1">$B105*('Updated Population'!J$103/'Updated Population'!$B$103)*('Total Duration Tables Sup #1'!J171/'Total Duration Tables Sup #1'!$B171)</f>
        <v>1.133373637556631</v>
      </c>
      <c r="K105" s="1">
        <f ca="1">$B105*('Updated Population'!K$103/'Updated Population'!$B$103)*('Total Duration Tables Sup #1'!K171/'Total Duration Tables Sup #1'!$B171)</f>
        <v>1.1257280763738464</v>
      </c>
    </row>
    <row r="106" spans="1:11" x14ac:dyDescent="0.25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$B106*('Updated Population'!C$103/'Updated Population'!$B$103)*('Total Duration Tables Sup #1'!C172/'Total Duration Tables Sup #1'!$B172)</f>
        <v>25.24527775991757</v>
      </c>
      <c r="D106" s="4">
        <f ca="1">$B106*('Updated Population'!D$103/'Updated Population'!$B$103)*('Total Duration Tables Sup #1'!D172/'Total Duration Tables Sup #1'!$B172)</f>
        <v>26.060223577952215</v>
      </c>
      <c r="E106" s="4">
        <f ca="1">$B106*('Updated Population'!E$103/'Updated Population'!$B$103)*('Total Duration Tables Sup #1'!E172/'Total Duration Tables Sup #1'!$B172)</f>
        <v>26.76829240380242</v>
      </c>
      <c r="F106" s="4">
        <f ca="1">$B106*('Updated Population'!F$103/'Updated Population'!$B$103)*('Total Duration Tables Sup #1'!F172/'Total Duration Tables Sup #1'!$B172)</f>
        <v>27.319970381241919</v>
      </c>
      <c r="G106" s="4">
        <f ca="1">$B106*('Updated Population'!G$103/'Updated Population'!$B$103)*('Total Duration Tables Sup #1'!G172/'Total Duration Tables Sup #1'!$B172)</f>
        <v>27.559322480163338</v>
      </c>
      <c r="H106" s="4">
        <f ca="1">$B106*('Updated Population'!H$103/'Updated Population'!$B$103)*('Total Duration Tables Sup #1'!H172/'Total Duration Tables Sup #1'!$B172)</f>
        <v>27.604762784953248</v>
      </c>
      <c r="I106" s="1">
        <f ca="1">$B106*('Updated Population'!I$103/'Updated Population'!$B$103)*('Total Duration Tables Sup #1'!I172/'Total Duration Tables Sup #1'!$B172)</f>
        <v>27.562737677137104</v>
      </c>
      <c r="J106" s="1">
        <f ca="1">$B106*('Updated Population'!J$103/'Updated Population'!$B$103)*('Total Duration Tables Sup #1'!J172/'Total Duration Tables Sup #1'!$B172)</f>
        <v>27.434468347828719</v>
      </c>
      <c r="K106" s="1">
        <f ca="1">$B106*('Updated Population'!K$103/'Updated Population'!$B$103)*('Total Duration Tables Sup #1'!K172/'Total Duration Tables Sup #1'!$B172)</f>
        <v>27.249399717925979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$B107*('Updated Population'!C$103/'Updated Population'!$B$103)*('Total Duration Tables Sup #1'!C173/'Total Duration Tables Sup #1'!$B173)</f>
        <v>12.168347877624743</v>
      </c>
      <c r="D107" s="4">
        <f ca="1">$B107*('Updated Population'!D$103/'Updated Population'!$B$103)*('Total Duration Tables Sup #1'!D173/'Total Duration Tables Sup #1'!$B173)</f>
        <v>12.250235443076795</v>
      </c>
      <c r="E107" s="4">
        <f ca="1">$B107*('Updated Population'!E$103/'Updated Population'!$B$103)*('Total Duration Tables Sup #1'!E173/'Total Duration Tables Sup #1'!$B173)</f>
        <v>12.27964159414722</v>
      </c>
      <c r="F107" s="4">
        <f ca="1">$B107*('Updated Population'!F$103/'Updated Population'!$B$103)*('Total Duration Tables Sup #1'!F173/'Total Duration Tables Sup #1'!$B173)</f>
        <v>12.22094413109115</v>
      </c>
      <c r="G107" s="4">
        <f ca="1">$B107*('Updated Population'!G$103/'Updated Population'!$B$103)*('Total Duration Tables Sup #1'!G173/'Total Duration Tables Sup #1'!$B173)</f>
        <v>12.072607059341625</v>
      </c>
      <c r="H107" s="4">
        <f ca="1">$B107*('Updated Population'!H$103/'Updated Population'!$B$103)*('Total Duration Tables Sup #1'!H173/'Total Duration Tables Sup #1'!$B173)</f>
        <v>11.843184626374173</v>
      </c>
      <c r="I107" s="1">
        <f ca="1">$B107*('Updated Population'!I$103/'Updated Population'!$B$103)*('Total Duration Tables Sup #1'!I173/'Total Duration Tables Sup #1'!$B173)</f>
        <v>11.825154726436718</v>
      </c>
      <c r="J107" s="1">
        <f ca="1">$B107*('Updated Population'!J$103/'Updated Population'!$B$103)*('Total Duration Tables Sup #1'!J173/'Total Duration Tables Sup #1'!$B173)</f>
        <v>11.770123739185184</v>
      </c>
      <c r="K107" s="1">
        <f ca="1">$B107*('Updated Population'!K$103/'Updated Population'!$B$103)*('Total Duration Tables Sup #1'!K173/'Total Duration Tables Sup #1'!$B173)</f>
        <v>11.690724326498218</v>
      </c>
    </row>
    <row r="108" spans="1:11" x14ac:dyDescent="0.25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$B108*('Updated Population'!C$103/'Updated Population'!$B$103)*('Total Duration Tables Sup #1'!C174/'Total Duration Tables Sup #1'!$B174)</f>
        <v>9.0725148989752022E-2</v>
      </c>
      <c r="D108" s="4">
        <f ca="1">$B108*('Updated Population'!D$103/'Updated Population'!$B$103)*('Total Duration Tables Sup #1'!D174/'Total Duration Tables Sup #1'!$B174)</f>
        <v>9.7822802716640386E-2</v>
      </c>
      <c r="E108" s="4">
        <f ca="1">$B108*('Updated Population'!E$103/'Updated Population'!$B$103)*('Total Duration Tables Sup #1'!E174/'Total Duration Tables Sup #1'!$B174)</f>
        <v>0.10356405434632049</v>
      </c>
      <c r="F108" s="4">
        <f ca="1">$B108*('Updated Population'!F$103/'Updated Population'!$B$103)*('Total Duration Tables Sup #1'!F174/'Total Duration Tables Sup #1'!$B174)</f>
        <v>0.10802230968934684</v>
      </c>
      <c r="G108" s="4">
        <f ca="1">$B108*('Updated Population'!G$103/'Updated Population'!$B$103)*('Total Duration Tables Sup #1'!G174/'Total Duration Tables Sup #1'!$B174)</f>
        <v>0.11031258144463819</v>
      </c>
      <c r="H108" s="4">
        <f ca="1">$B108*('Updated Population'!H$103/'Updated Population'!$B$103)*('Total Duration Tables Sup #1'!H174/'Total Duration Tables Sup #1'!$B174)</f>
        <v>0.11182248568358449</v>
      </c>
      <c r="I108" s="1">
        <f ca="1">$B108*('Updated Population'!I$103/'Updated Population'!$B$103)*('Total Duration Tables Sup #1'!I174/'Total Duration Tables Sup #1'!$B174)</f>
        <v>0.11165224868304473</v>
      </c>
      <c r="J108" s="1">
        <f ca="1">$B108*('Updated Population'!J$103/'Updated Population'!$B$103)*('Total Duration Tables Sup #1'!J174/'Total Duration Tables Sup #1'!$B174)</f>
        <v>0.11113265011405982</v>
      </c>
      <c r="K108" s="1">
        <f ca="1">$B108*('Updated Population'!K$103/'Updated Population'!$B$103)*('Total Duration Tables Sup #1'!K174/'Total Duration Tables Sup #1'!$B174)</f>
        <v>0.11038296664896369</v>
      </c>
    </row>
    <row r="109" spans="1:11" x14ac:dyDescent="0.25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$B109*('Updated Population'!C$103/'Updated Population'!$B$103)*('Total Duration Tables Sup #1'!C175/'Total Duration Tables Sup #1'!$B175)</f>
        <v>0.63707391286483228</v>
      </c>
      <c r="D109" s="4">
        <f ca="1">$B109*('Updated Population'!D$103/'Updated Population'!$B$103)*('Total Duration Tables Sup #1'!D175/'Total Duration Tables Sup #1'!$B175)</f>
        <v>0.64854940030768626</v>
      </c>
      <c r="E109" s="4">
        <f ca="1">$B109*('Updated Population'!E$103/'Updated Population'!$B$103)*('Total Duration Tables Sup #1'!E175/'Total Duration Tables Sup #1'!$B175)</f>
        <v>0.65390636259716306</v>
      </c>
      <c r="F109" s="4">
        <f ca="1">$B109*('Updated Population'!F$103/'Updated Population'!$B$103)*('Total Duration Tables Sup #1'!F175/'Total Duration Tables Sup #1'!$B175)</f>
        <v>0.65547208873328</v>
      </c>
      <c r="G109" s="4">
        <f ca="1">$B109*('Updated Population'!G$103/'Updated Population'!$B$103)*('Total Duration Tables Sup #1'!G175/'Total Duration Tables Sup #1'!$B175)</f>
        <v>0.64657797307353193</v>
      </c>
      <c r="H109" s="4">
        <f ca="1">$B109*('Updated Population'!H$103/'Updated Population'!$B$103)*('Total Duration Tables Sup #1'!H175/'Total Duration Tables Sup #1'!$B175)</f>
        <v>0.63288556124573281</v>
      </c>
      <c r="I109" s="1">
        <f ca="1">$B109*('Updated Population'!I$103/'Updated Population'!$B$103)*('Total Duration Tables Sup #1'!I175/'Total Duration Tables Sup #1'!$B175)</f>
        <v>0.63192206504930371</v>
      </c>
      <c r="J109" s="1">
        <f ca="1">$B109*('Updated Population'!J$103/'Updated Population'!$B$103)*('Total Duration Tables Sup #1'!J175/'Total Duration Tables Sup #1'!$B175)</f>
        <v>0.62898127518987401</v>
      </c>
      <c r="K109" s="1">
        <f ca="1">$B109*('Updated Population'!K$103/'Updated Population'!$B$103)*('Total Duration Tables Sup #1'!K175/'Total Duration Tables Sup #1'!$B175)</f>
        <v>0.62473826594478754</v>
      </c>
    </row>
    <row r="110" spans="1:11" x14ac:dyDescent="0.25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Duration Tables Sup #1'!C176/'Total Duration Tables Sup #1'!$B176)</f>
        <v>0</v>
      </c>
      <c r="D110" s="4">
        <f ca="1">$B110*('Updated Population'!D$103/'Updated Population'!$B$103)*('Total Duration Tables Sup #1'!D176/'Total Duration Tables Sup #1'!$B176)</f>
        <v>0</v>
      </c>
      <c r="E110" s="4">
        <f ca="1">$B110*('Updated Population'!E$103/'Updated Population'!$B$103)*('Total Duration Tables Sup #1'!E176/'Total Duration Tables Sup #1'!$B176)</f>
        <v>0</v>
      </c>
      <c r="F110" s="4">
        <f ca="1">$B110*('Updated Population'!F$103/'Updated Population'!$B$103)*('Total Duration Tables Sup #1'!F176/'Total Duration Tables Sup #1'!$B176)</f>
        <v>0</v>
      </c>
      <c r="G110" s="4">
        <f ca="1">$B110*('Updated Population'!G$103/'Updated Population'!$B$103)*('Total Duration Tables Sup #1'!G176/'Total Duration Tables Sup #1'!$B176)</f>
        <v>0</v>
      </c>
      <c r="H110" s="4">
        <f ca="1">$B110*('Updated Population'!H$103/'Updated Population'!$B$103)*('Total Duration Tables Sup #1'!H176/'Total Duration Tables Sup #1'!$B176)</f>
        <v>0</v>
      </c>
      <c r="I110" s="1">
        <f ca="1">$B110*('Updated Population'!I$103/'Updated Population'!$B$103)*('Total Duration Tables Sup #1'!I176/'Total Duration Tables Sup #1'!$B176)</f>
        <v>0</v>
      </c>
      <c r="J110" s="1">
        <f ca="1">$B110*('Updated Population'!J$103/'Updated Population'!$B$103)*('Total Duration Tables Sup #1'!J176/'Total Duration Tables Sup #1'!$B176)</f>
        <v>0</v>
      </c>
      <c r="K110" s="1">
        <f ca="1">$B110*('Updated Population'!K$103/'Updated Population'!$B$103)*('Total Duration Tables Sup #1'!K176/'Total Duration Tables Sup #1'!$B176)</f>
        <v>0</v>
      </c>
    </row>
    <row r="111" spans="1:11" x14ac:dyDescent="0.25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$B111*('Updated Population'!C$103/'Updated Population'!$B$103)*('Total Duration Tables Sup #1'!C177/'Total Duration Tables Sup #1'!$B177)</f>
        <v>0.90536901856700147</v>
      </c>
      <c r="D111" s="4">
        <f ca="1">$B111*('Updated Population'!D$103/'Updated Population'!$B$103)*('Total Duration Tables Sup #1'!D177/'Total Duration Tables Sup #1'!$B177)</f>
        <v>0.87413790998343166</v>
      </c>
      <c r="E111" s="4">
        <f ca="1">$B111*('Updated Population'!E$103/'Updated Population'!$B$103)*('Total Duration Tables Sup #1'!E177/'Total Duration Tables Sup #1'!$B177)</f>
        <v>0.852866841968134</v>
      </c>
      <c r="F111" s="4">
        <f ca="1">$B111*('Updated Population'!F$103/'Updated Population'!$B$103)*('Total Duration Tables Sup #1'!F177/'Total Duration Tables Sup #1'!$B177)</f>
        <v>0.82101605090612606</v>
      </c>
      <c r="G111" s="4">
        <f ca="1">$B111*('Updated Population'!G$103/'Updated Population'!$B$103)*('Total Duration Tables Sup #1'!G177/'Total Duration Tables Sup #1'!$B177)</f>
        <v>0.79412532869231711</v>
      </c>
      <c r="H111" s="4">
        <f ca="1">$B111*('Updated Population'!H$103/'Updated Population'!$B$103)*('Total Duration Tables Sup #1'!H177/'Total Duration Tables Sup #1'!$B177)</f>
        <v>0.76324254732568708</v>
      </c>
      <c r="I111" s="1">
        <f ca="1">$B111*('Updated Population'!I$103/'Updated Population'!$B$103)*('Total Duration Tables Sup #1'!I177/'Total Duration Tables Sup #1'!$B177)</f>
        <v>0.76208059746250223</v>
      </c>
      <c r="J111" s="1">
        <f ca="1">$B111*('Updated Population'!J$103/'Updated Population'!$B$103)*('Total Duration Tables Sup #1'!J177/'Total Duration Tables Sup #1'!$B177)</f>
        <v>0.75853408592723714</v>
      </c>
      <c r="K111" s="1">
        <f ca="1">$B111*('Updated Population'!K$103/'Updated Population'!$B$103)*('Total Duration Tables Sup #1'!K177/'Total Duration Tables Sup #1'!$B177)</f>
        <v>0.75341713369629693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Duration Tables Sup #1'!C178/'Total Duration Tables Sup #1'!$B178)</f>
        <v>0</v>
      </c>
      <c r="D112" s="4">
        <f ca="1">$B112*('Updated Population'!D$103/'Updated Population'!$B$103)*('Total Duration Tables Sup #1'!D178/'Total Duration Tables Sup #1'!$B178)</f>
        <v>0</v>
      </c>
      <c r="E112" s="4">
        <f ca="1">$B112*('Updated Population'!E$103/'Updated Population'!$B$103)*('Total Duration Tables Sup #1'!E178/'Total Duration Tables Sup #1'!$B178)</f>
        <v>0</v>
      </c>
      <c r="F112" s="4">
        <f ca="1">$B112*('Updated Population'!F$103/'Updated Population'!$B$103)*('Total Duration Tables Sup #1'!F178/'Total Duration Tables Sup #1'!$B178)</f>
        <v>0</v>
      </c>
      <c r="G112" s="4">
        <f ca="1">$B112*('Updated Population'!G$103/'Updated Population'!$B$103)*('Total Duration Tables Sup #1'!G178/'Total Duration Tables Sup #1'!$B178)</f>
        <v>0</v>
      </c>
      <c r="H112" s="4">
        <f ca="1">$B112*('Updated Population'!H$103/'Updated Population'!$B$103)*('Total Duration Tables Sup #1'!H178/'Total Duration Tables Sup #1'!$B178)</f>
        <v>0</v>
      </c>
      <c r="I112" s="1">
        <f ca="1">$B112*('Updated Population'!I$103/'Updated Population'!$B$103)*('Total Duration Tables Sup #1'!I178/'Total Duration Tables Sup #1'!$B178)</f>
        <v>0</v>
      </c>
      <c r="J112" s="1">
        <f ca="1">$B112*('Updated Population'!J$103/'Updated Population'!$B$103)*('Total Duration Tables Sup #1'!J178/'Total Duration Tables Sup #1'!$B178)</f>
        <v>0</v>
      </c>
      <c r="K112" s="1">
        <f ca="1">$B112*('Updated Population'!K$103/'Updated Population'!$B$103)*('Total Duration Tables Sup #1'!K178/'Total Duration Tables Sup #1'!$B178)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$B113*('Updated Population'!C$103/'Updated Population'!$B$103)*('Total Duration Tables Sup #1'!C179/'Total Duration Tables Sup #1'!$B179)</f>
        <v>0.54928848666310504</v>
      </c>
      <c r="D113" s="4">
        <f ca="1">$B113*('Updated Population'!D$103/'Updated Population'!$B$103)*('Total Duration Tables Sup #1'!D179/'Total Duration Tables Sup #1'!$B179)</f>
        <v>0.57288783797834508</v>
      </c>
      <c r="E113" s="4">
        <f ca="1">$B113*('Updated Population'!E$103/'Updated Population'!$B$103)*('Total Duration Tables Sup #1'!E179/'Total Duration Tables Sup #1'!$B179)</f>
        <v>0.58203594329755171</v>
      </c>
      <c r="F113" s="4">
        <f ca="1">$B113*('Updated Population'!F$103/'Updated Population'!$B$103)*('Total Duration Tables Sup #1'!F179/'Total Duration Tables Sup #1'!$B179)</f>
        <v>0.58575905144217932</v>
      </c>
      <c r="G113" s="4">
        <f ca="1">$B113*('Updated Population'!G$103/'Updated Population'!$B$103)*('Total Duration Tables Sup #1'!G179/'Total Duration Tables Sup #1'!$B179)</f>
        <v>0.5903971394526798</v>
      </c>
      <c r="H113" s="4">
        <f ca="1">$B113*('Updated Population'!H$103/'Updated Population'!$B$103)*('Total Duration Tables Sup #1'!H179/'Total Duration Tables Sup #1'!$B179)</f>
        <v>0.58931110191149005</v>
      </c>
      <c r="I113" s="1">
        <f ca="1">$B113*('Updated Population'!I$103/'Updated Population'!$B$103)*('Total Duration Tables Sup #1'!I179/'Total Duration Tables Sup #1'!$B179)</f>
        <v>0.58841394286730597</v>
      </c>
      <c r="J113" s="1">
        <f ca="1">$B113*('Updated Population'!J$103/'Updated Population'!$B$103)*('Total Duration Tables Sup #1'!J179/'Total Duration Tables Sup #1'!$B179)</f>
        <v>0.5856756277299856</v>
      </c>
      <c r="K113" s="1">
        <f ca="1">$B113*('Updated Population'!K$103/'Updated Population'!$B$103)*('Total Duration Tables Sup #1'!K179/'Total Duration Tables Sup #1'!$B179)</f>
        <v>0.58172475160520754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$B115*('Updated Population'!C$114/'Updated Population'!$B$114)*('Total Duration Tables Sup #1'!C170/'Total Duration Tables Sup #1'!$B170)</f>
        <v>1.1159383915324854</v>
      </c>
      <c r="D115" s="4">
        <f ca="1">$B115*('Updated Population'!D$114/'Updated Population'!$B$114)*('Total Duration Tables Sup #1'!D170/'Total Duration Tables Sup #1'!$B170)</f>
        <v>1.0958106416217492</v>
      </c>
      <c r="E115" s="4">
        <f ca="1">$B115*('Updated Population'!E$114/'Updated Population'!$B$114)*('Total Duration Tables Sup #1'!E170/'Total Duration Tables Sup #1'!$B170)</f>
        <v>1.0642043064722357</v>
      </c>
      <c r="F115" s="4">
        <f ca="1">$B115*('Updated Population'!F$114/'Updated Population'!$B$114)*('Total Duration Tables Sup #1'!F170/'Total Duration Tables Sup #1'!$B170)</f>
        <v>1.0231367385064509</v>
      </c>
      <c r="G115" s="4">
        <f ca="1">$B115*('Updated Population'!G$114/'Updated Population'!$B$114)*('Total Duration Tables Sup #1'!G170/'Total Duration Tables Sup #1'!$B170)</f>
        <v>0.9789755953112792</v>
      </c>
      <c r="H115" s="4">
        <f ca="1">$B115*('Updated Population'!H$114/'Updated Population'!$B$114)*('Total Duration Tables Sup #1'!H170/'Total Duration Tables Sup #1'!$B170)</f>
        <v>0.93366649480987973</v>
      </c>
      <c r="I115" s="1">
        <f ca="1">$B115*('Updated Population'!I$114/'Updated Population'!$B$114)*('Total Duration Tables Sup #1'!I170/'Total Duration Tables Sup #1'!$B170)</f>
        <v>0.90965501168556573</v>
      </c>
      <c r="J115" s="1">
        <f ca="1">$B115*('Updated Population'!J$114/'Updated Population'!$B$114)*('Total Duration Tables Sup #1'!J170/'Total Duration Tables Sup #1'!$B170)</f>
        <v>0.8834399200913009</v>
      </c>
      <c r="K115" s="1">
        <f ca="1">$B115*('Updated Population'!K$114/'Updated Population'!$B$114)*('Total Duration Tables Sup #1'!K170/'Total Duration Tables Sup #1'!$B170)</f>
        <v>0.85613645873264077</v>
      </c>
    </row>
    <row r="116" spans="1:11" x14ac:dyDescent="0.25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$B116*('Updated Population'!C$114/'Updated Population'!$B$114)*('Total Duration Tables Sup #1'!C171/'Total Duration Tables Sup #1'!$B171)</f>
        <v>0.17295297816473515</v>
      </c>
      <c r="D116" s="4">
        <f ca="1">$B116*('Updated Population'!D$114/'Updated Population'!$B$114)*('Total Duration Tables Sup #1'!D171/'Total Duration Tables Sup #1'!$B171)</f>
        <v>0.17043893939086491</v>
      </c>
      <c r="E116" s="4">
        <f ca="1">$B116*('Updated Population'!E$114/'Updated Population'!$B$114)*('Total Duration Tables Sup #1'!E171/'Total Duration Tables Sup #1'!$B171)</f>
        <v>0.16534857058050406</v>
      </c>
      <c r="F116" s="4">
        <f ca="1">$B116*('Updated Population'!F$114/'Updated Population'!$B$114)*('Total Duration Tables Sup #1'!F171/'Total Duration Tables Sup #1'!$B171)</f>
        <v>0.1615581306240286</v>
      </c>
      <c r="G116" s="4">
        <f ca="1">$B116*('Updated Population'!G$114/'Updated Population'!$B$114)*('Total Duration Tables Sup #1'!G171/'Total Duration Tables Sup #1'!$B171)</f>
        <v>0.15930870243287043</v>
      </c>
      <c r="H116" s="4">
        <f ca="1">$B116*('Updated Population'!H$114/'Updated Population'!$B$114)*('Total Duration Tables Sup #1'!H171/'Total Duration Tables Sup #1'!$B171)</f>
        <v>0.15716051219411542</v>
      </c>
      <c r="I116" s="1">
        <f ca="1">$B116*('Updated Population'!I$114/'Updated Population'!$B$114)*('Total Duration Tables Sup #1'!I171/'Total Duration Tables Sup #1'!$B171)</f>
        <v>0.15311875102207512</v>
      </c>
      <c r="J116" s="1">
        <f ca="1">$B116*('Updated Population'!J$114/'Updated Population'!$B$114)*('Total Duration Tables Sup #1'!J171/'Total Duration Tables Sup #1'!$B171)</f>
        <v>0.14870606485943283</v>
      </c>
      <c r="K116" s="1">
        <f ca="1">$B116*('Updated Population'!K$114/'Updated Population'!$B$114)*('Total Duration Tables Sup #1'!K171/'Total Duration Tables Sup #1'!$B171)</f>
        <v>0.14411017757456987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$B117*('Updated Population'!C$114/'Updated Population'!$B$114)*('Total Duration Tables Sup #1'!C172/'Total Duration Tables Sup #1'!$B172)</f>
        <v>5.1018042686130345</v>
      </c>
      <c r="D117" s="4">
        <f ca="1">$B117*('Updated Population'!D$114/'Updated Population'!$B$114)*('Total Duration Tables Sup #1'!D172/'Total Duration Tables Sup #1'!$B172)</f>
        <v>5.1122043383836075</v>
      </c>
      <c r="E117" s="4">
        <f ca="1">$B117*('Updated Population'!E$114/'Updated Population'!$B$114)*('Total Duration Tables Sup #1'!E172/'Total Duration Tables Sup #1'!$B172)</f>
        <v>5.1057724960906317</v>
      </c>
      <c r="F117" s="4">
        <f ca="1">$B117*('Updated Population'!F$114/'Updated Population'!$B$114)*('Total Duration Tables Sup #1'!F172/'Total Duration Tables Sup #1'!$B172)</f>
        <v>5.0689792345932352</v>
      </c>
      <c r="G117" s="4">
        <f ca="1">$B117*('Updated Population'!G$114/'Updated Population'!$B$114)*('Total Duration Tables Sup #1'!G172/'Total Duration Tables Sup #1'!$B172)</f>
        <v>4.9766250283283853</v>
      </c>
      <c r="H117" s="4">
        <f ca="1">$B117*('Updated Population'!H$114/'Updated Population'!$B$114)*('Total Duration Tables Sup #1'!H172/'Total Duration Tables Sup #1'!$B172)</f>
        <v>4.8642679688177761</v>
      </c>
      <c r="I117" s="1">
        <f ca="1">$B117*('Updated Population'!I$114/'Updated Population'!$B$114)*('Total Duration Tables Sup #1'!I172/'Total Duration Tables Sup #1'!$B172)</f>
        <v>4.7391715999380173</v>
      </c>
      <c r="J117" s="1">
        <f ca="1">$B117*('Updated Population'!J$114/'Updated Population'!$B$114)*('Total Duration Tables Sup #1'!J172/'Total Duration Tables Sup #1'!$B172)</f>
        <v>4.6025947482993894</v>
      </c>
      <c r="K117" s="1">
        <f ca="1">$B117*('Updated Population'!K$114/'Updated Population'!$B$114)*('Total Duration Tables Sup #1'!K172/'Total Duration Tables Sup #1'!$B172)</f>
        <v>4.4603476469381818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$B118*('Updated Population'!C$114/'Updated Population'!$B$114)*('Total Duration Tables Sup #1'!C173/'Total Duration Tables Sup #1'!$B173)</f>
        <v>3.2761493783470921</v>
      </c>
      <c r="D118" s="4">
        <f ca="1">$B118*('Updated Population'!D$114/'Updated Population'!$B$114)*('Total Duration Tables Sup #1'!D173/'Total Duration Tables Sup #1'!$B173)</f>
        <v>3.2015695577293708</v>
      </c>
      <c r="E118" s="4">
        <f ca="1">$B118*('Updated Population'!E$114/'Updated Population'!$B$114)*('Total Duration Tables Sup #1'!E173/'Total Duration Tables Sup #1'!$B173)</f>
        <v>3.1204334301869743</v>
      </c>
      <c r="F118" s="4">
        <f ca="1">$B118*('Updated Population'!F$114/'Updated Population'!$B$114)*('Total Duration Tables Sup #1'!F173/'Total Duration Tables Sup #1'!$B173)</f>
        <v>3.020880080768666</v>
      </c>
      <c r="G118" s="4">
        <f ca="1">$B118*('Updated Population'!G$114/'Updated Population'!$B$114)*('Total Duration Tables Sup #1'!G173/'Total Duration Tables Sup #1'!$B173)</f>
        <v>2.904396381452822</v>
      </c>
      <c r="H118" s="4">
        <f ca="1">$B118*('Updated Population'!H$114/'Updated Population'!$B$114)*('Total Duration Tables Sup #1'!H173/'Total Duration Tables Sup #1'!$B173)</f>
        <v>2.780292005569434</v>
      </c>
      <c r="I118" s="1">
        <f ca="1">$B118*('Updated Population'!I$114/'Updated Population'!$B$114)*('Total Duration Tables Sup #1'!I173/'Total Duration Tables Sup #1'!$B173)</f>
        <v>2.7087900988998697</v>
      </c>
      <c r="J118" s="1">
        <f ca="1">$B118*('Updated Population'!J$114/'Updated Population'!$B$114)*('Total Duration Tables Sup #1'!J173/'Total Duration Tables Sup #1'!$B173)</f>
        <v>2.6307262399202811</v>
      </c>
      <c r="K118" s="1">
        <f ca="1">$B118*('Updated Population'!K$114/'Updated Population'!$B$114)*('Total Duration Tables Sup #1'!K173/'Total Duration Tables Sup #1'!$B173)</f>
        <v>2.5494214102387636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$B119*('Updated Population'!C$114/'Updated Population'!$B$114)*('Total Duration Tables Sup #1'!C174/'Total Duration Tables Sup #1'!$B174)</f>
        <v>6.8472274777745604E-2</v>
      </c>
      <c r="D119" s="4">
        <f ca="1">$B119*('Updated Population'!D$114/'Updated Population'!$B$114)*('Total Duration Tables Sup #1'!D174/'Total Duration Tables Sup #1'!$B174)</f>
        <v>7.1666070999347201E-2</v>
      </c>
      <c r="E119" s="4">
        <f ca="1">$B119*('Updated Population'!E$114/'Updated Population'!$B$114)*('Total Duration Tables Sup #1'!E174/'Total Duration Tables Sup #1'!$B174)</f>
        <v>7.3772289599893764E-2</v>
      </c>
      <c r="F119" s="4">
        <f ca="1">$B119*('Updated Population'!F$114/'Updated Population'!$B$114)*('Total Duration Tables Sup #1'!F174/'Total Duration Tables Sup #1'!$B174)</f>
        <v>7.4850925319985884E-2</v>
      </c>
      <c r="G119" s="4">
        <f ca="1">$B119*('Updated Population'!G$114/'Updated Population'!$B$114)*('Total Duration Tables Sup #1'!G174/'Total Duration Tables Sup #1'!$B174)</f>
        <v>7.4393476975013223E-2</v>
      </c>
      <c r="H119" s="4">
        <f ca="1">$B119*('Updated Population'!H$114/'Updated Population'!$B$114)*('Total Duration Tables Sup #1'!H174/'Total Duration Tables Sup #1'!$B174)</f>
        <v>7.3587837545906781E-2</v>
      </c>
      <c r="I119" s="1">
        <f ca="1">$B119*('Updated Population'!I$114/'Updated Population'!$B$114)*('Total Duration Tables Sup #1'!I174/'Total Duration Tables Sup #1'!$B174)</f>
        <v>7.1695349029706895E-2</v>
      </c>
      <c r="J119" s="1">
        <f ca="1">$B119*('Updated Population'!J$114/'Updated Population'!$B$114)*('Total Duration Tables Sup #1'!J174/'Total Duration Tables Sup #1'!$B174)</f>
        <v>6.962918095768815E-2</v>
      </c>
      <c r="K119" s="1">
        <f ca="1">$B119*('Updated Population'!K$114/'Updated Population'!$B$114)*('Total Duration Tables Sup #1'!K174/'Total Duration Tables Sup #1'!$B174)</f>
        <v>6.7477231958692374E-2</v>
      </c>
    </row>
    <row r="120" spans="1:11" x14ac:dyDescent="0.25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$B120*('Updated Population'!C$114/'Updated Population'!$B$114)*('Total Duration Tables Sup #1'!C175/'Total Duration Tables Sup #1'!$B175)</f>
        <v>9.6489091694632219E-3</v>
      </c>
      <c r="D120" s="4">
        <f ca="1">$B120*('Updated Population'!D$114/'Updated Population'!$B$114)*('Total Duration Tables Sup #1'!D175/'Total Duration Tables Sup #1'!$B175)</f>
        <v>9.5349382806843106E-3</v>
      </c>
      <c r="E120" s="4">
        <f ca="1">$B120*('Updated Population'!E$114/'Updated Population'!$B$114)*('Total Duration Tables Sup #1'!E175/'Total Duration Tables Sup #1'!$B175)</f>
        <v>9.3476213512252194E-3</v>
      </c>
      <c r="F120" s="4">
        <f ca="1">$B120*('Updated Population'!F$114/'Updated Population'!$B$114)*('Total Duration Tables Sup #1'!F175/'Total Duration Tables Sup #1'!$B175)</f>
        <v>9.1146342939491393E-3</v>
      </c>
      <c r="G120" s="4">
        <f ca="1">$B120*('Updated Population'!G$114/'Updated Population'!$B$114)*('Total Duration Tables Sup #1'!G175/'Total Duration Tables Sup #1'!$B175)</f>
        <v>8.7504833960921485E-3</v>
      </c>
      <c r="H120" s="4">
        <f ca="1">$B120*('Updated Population'!H$114/'Updated Population'!$B$114)*('Total Duration Tables Sup #1'!H175/'Total Duration Tables Sup #1'!$B175)</f>
        <v>8.3580202112870199E-3</v>
      </c>
      <c r="I120" s="1">
        <f ca="1">$B120*('Updated Population'!I$114/'Updated Population'!$B$114)*('Total Duration Tables Sup #1'!I175/'Total Duration Tables Sup #1'!$B175)</f>
        <v>8.1430735870142296E-3</v>
      </c>
      <c r="J120" s="1">
        <f ca="1">$B120*('Updated Population'!J$114/'Updated Population'!$B$114)*('Total Duration Tables Sup #1'!J175/'Total Duration Tables Sup #1'!$B175)</f>
        <v>7.9084006426560598E-3</v>
      </c>
      <c r="K120" s="1">
        <f ca="1">$B120*('Updated Population'!K$114/'Updated Population'!$B$114)*('Total Duration Tables Sup #1'!K175/'Total Duration Tables Sup #1'!$B175)</f>
        <v>7.6639848013012263E-3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Duration Tables Sup #1'!C176/'Total Duration Tables Sup #1'!$B176)</f>
        <v>0</v>
      </c>
      <c r="D121" s="4">
        <f ca="1">$B121*('Updated Population'!D$114/'Updated Population'!$B$114)*('Total Duration Tables Sup #1'!D176/'Total Duration Tables Sup #1'!$B176)</f>
        <v>0</v>
      </c>
      <c r="E121" s="4">
        <f ca="1">$B121*('Updated Population'!E$114/'Updated Population'!$B$114)*('Total Duration Tables Sup #1'!E176/'Total Duration Tables Sup #1'!$B176)</f>
        <v>0</v>
      </c>
      <c r="F121" s="4">
        <f ca="1">$B121*('Updated Population'!F$114/'Updated Population'!$B$114)*('Total Duration Tables Sup #1'!F176/'Total Duration Tables Sup #1'!$B176)</f>
        <v>0</v>
      </c>
      <c r="G121" s="4">
        <f ca="1">$B121*('Updated Population'!G$114/'Updated Population'!$B$114)*('Total Duration Tables Sup #1'!G176/'Total Duration Tables Sup #1'!$B176)</f>
        <v>0</v>
      </c>
      <c r="H121" s="4">
        <f ca="1">$B121*('Updated Population'!H$114/'Updated Population'!$B$114)*('Total Duration Tables Sup #1'!H176/'Total Duration Tables Sup #1'!$B176)</f>
        <v>0</v>
      </c>
      <c r="I121" s="1">
        <f ca="1">$B121*('Updated Population'!I$114/'Updated Population'!$B$114)*('Total Duration Tables Sup #1'!I176/'Total Duration Tables Sup #1'!$B176)</f>
        <v>0</v>
      </c>
      <c r="J121" s="1">
        <f ca="1">$B121*('Updated Population'!J$114/'Updated Population'!$B$114)*('Total Duration Tables Sup #1'!J176/'Total Duration Tables Sup #1'!$B176)</f>
        <v>0</v>
      </c>
      <c r="K121" s="1">
        <f ca="1">$B121*('Updated Population'!K$114/'Updated Population'!$B$114)*('Total Duration Tables Sup #1'!K176/'Total Duration Tables Sup #1'!$B176)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$B122*('Updated Population'!C$114/'Updated Population'!$B$114)*('Total Duration Tables Sup #1'!C177/'Total Duration Tables Sup #1'!$B177)</f>
        <v>0.16423929267425902</v>
      </c>
      <c r="D122" s="4">
        <f ca="1">$B122*('Updated Population'!D$114/'Updated Population'!$B$114)*('Total Duration Tables Sup #1'!D177/'Total Duration Tables Sup #1'!$B177)</f>
        <v>0.1539280685777436</v>
      </c>
      <c r="E122" s="4">
        <f ca="1">$B122*('Updated Population'!E$114/'Updated Population'!$B$114)*('Total Duration Tables Sup #1'!E177/'Total Duration Tables Sup #1'!$B177)</f>
        <v>0.14602587575493811</v>
      </c>
      <c r="F122" s="4">
        <f ca="1">$B122*('Updated Population'!F$114/'Updated Population'!$B$114)*('Total Duration Tables Sup #1'!F177/'Total Duration Tables Sup #1'!$B177)</f>
        <v>0.1367413090467493</v>
      </c>
      <c r="G122" s="4">
        <f ca="1">$B122*('Updated Population'!G$114/'Updated Population'!$B$114)*('Total Duration Tables Sup #1'!G177/'Total Duration Tables Sup #1'!$B177)</f>
        <v>0.12872509717789729</v>
      </c>
      <c r="H122" s="4">
        <f ca="1">$B122*('Updated Population'!H$114/'Updated Population'!$B$114)*('Total Duration Tables Sup #1'!H177/'Total Duration Tables Sup #1'!$B177)</f>
        <v>0.12072684251307464</v>
      </c>
      <c r="I122" s="1">
        <f ca="1">$B122*('Updated Population'!I$114/'Updated Population'!$B$114)*('Total Duration Tables Sup #1'!I177/'Total Duration Tables Sup #1'!$B177)</f>
        <v>0.11762206092589272</v>
      </c>
      <c r="J122" s="1">
        <f ca="1">$B122*('Updated Population'!J$114/'Updated Population'!$B$114)*('Total Duration Tables Sup #1'!J177/'Total Duration Tables Sup #1'!$B177)</f>
        <v>0.11423234387814635</v>
      </c>
      <c r="K122" s="1">
        <f ca="1">$B122*('Updated Population'!K$114/'Updated Population'!$B$114)*('Total Duration Tables Sup #1'!K177/'Total Duration Tables Sup #1'!$B177)</f>
        <v>0.11070189623133432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Duration Tables Sup #1'!C178/'Total Duration Tables Sup #1'!$B178)</f>
        <v>0</v>
      </c>
      <c r="D123" s="4">
        <f ca="1">$B123*('Updated Population'!D$114/'Updated Population'!$B$114)*('Total Duration Tables Sup #1'!D178/'Total Duration Tables Sup #1'!$B178)</f>
        <v>0</v>
      </c>
      <c r="E123" s="4">
        <f ca="1">$B123*('Updated Population'!E$114/'Updated Population'!$B$114)*('Total Duration Tables Sup #1'!E178/'Total Duration Tables Sup #1'!$B178)</f>
        <v>0</v>
      </c>
      <c r="F123" s="4">
        <f ca="1">$B123*('Updated Population'!F$114/'Updated Population'!$B$114)*('Total Duration Tables Sup #1'!F178/'Total Duration Tables Sup #1'!$B178)</f>
        <v>0</v>
      </c>
      <c r="G123" s="4">
        <f ca="1">$B123*('Updated Population'!G$114/'Updated Population'!$B$114)*('Total Duration Tables Sup #1'!G178/'Total Duration Tables Sup #1'!$B178)</f>
        <v>0</v>
      </c>
      <c r="H123" s="4">
        <f ca="1">$B123*('Updated Population'!H$114/'Updated Population'!$B$114)*('Total Duration Tables Sup #1'!H178/'Total Duration Tables Sup #1'!$B178)</f>
        <v>0</v>
      </c>
      <c r="I123" s="1">
        <f ca="1">$B123*('Updated Population'!I$114/'Updated Population'!$B$114)*('Total Duration Tables Sup #1'!I178/'Total Duration Tables Sup #1'!$B178)</f>
        <v>0</v>
      </c>
      <c r="J123" s="1">
        <f ca="1">$B123*('Updated Population'!J$114/'Updated Population'!$B$114)*('Total Duration Tables Sup #1'!J178/'Total Duration Tables Sup #1'!$B178)</f>
        <v>0</v>
      </c>
      <c r="K123" s="1">
        <f ca="1">$B123*('Updated Population'!K$114/'Updated Population'!$B$114)*('Total Duration Tables Sup #1'!K178/'Total Duration Tables Sup #1'!$B178)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$B124*('Updated Population'!C$114/'Updated Population'!$B$114)*('Total Duration Tables Sup #1'!C179/'Total Duration Tables Sup #1'!$B179)</f>
        <v>3.6943058714376201E-3</v>
      </c>
      <c r="D124" s="4">
        <f ca="1">$B124*('Updated Population'!D$114/'Updated Population'!$B$114)*('Total Duration Tables Sup #1'!D179/'Total Duration Tables Sup #1'!$B179)</f>
        <v>3.7401445254160561E-3</v>
      </c>
      <c r="E124" s="4">
        <f ca="1">$B124*('Updated Population'!E$114/'Updated Population'!$B$114)*('Total Duration Tables Sup #1'!E179/'Total Duration Tables Sup #1'!$B179)</f>
        <v>3.6947011141139482E-3</v>
      </c>
      <c r="F124" s="4">
        <f ca="1">$B124*('Updated Population'!F$114/'Updated Population'!$B$114)*('Total Duration Tables Sup #1'!F179/'Total Duration Tables Sup #1'!$B179)</f>
        <v>3.6169958526567933E-3</v>
      </c>
      <c r="G124" s="4">
        <f ca="1">$B124*('Updated Population'!G$114/'Updated Population'!$B$114)*('Total Duration Tables Sup #1'!G179/'Total Duration Tables Sup #1'!$B179)</f>
        <v>3.5481285159638903E-3</v>
      </c>
      <c r="H124" s="4">
        <f ca="1">$B124*('Updated Population'!H$114/'Updated Population'!$B$114)*('Total Duration Tables Sup #1'!H179/'Total Duration Tables Sup #1'!$B179)</f>
        <v>3.4559449005691785E-3</v>
      </c>
      <c r="I124" s="1">
        <f ca="1">$B124*('Updated Population'!I$114/'Updated Population'!$B$114)*('Total Duration Tables Sup #1'!I179/'Total Duration Tables Sup #1'!$B179)</f>
        <v>3.3670669520513051E-3</v>
      </c>
      <c r="J124" s="1">
        <f ca="1">$B124*('Updated Population'!J$114/'Updated Population'!$B$114)*('Total Duration Tables Sup #1'!J179/'Total Duration Tables Sup #1'!$B179)</f>
        <v>3.2700323978322402E-3</v>
      </c>
      <c r="K124" s="1">
        <f ca="1">$B124*('Updated Population'!K$114/'Updated Population'!$B$114)*('Total Duration Tables Sup #1'!K179/'Total Duration Tables Sup #1'!$B179)</f>
        <v>3.1689692681441998E-3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$B126*('Updated Population'!C$125/'Updated Population'!$B$125)*('Total Duration Tables Sup #1'!C170/'Total Duration Tables Sup #1'!$B170)</f>
        <v>29.489976994094203</v>
      </c>
      <c r="D126" s="4">
        <f ca="1">$B126*('Updated Population'!D$125/'Updated Population'!$B$125)*('Total Duration Tables Sup #1'!D170/'Total Duration Tables Sup #1'!$B170)</f>
        <v>30.863214353444906</v>
      </c>
      <c r="E126" s="4">
        <f ca="1">$B126*('Updated Population'!E$125/'Updated Population'!$B$125)*('Total Duration Tables Sup #1'!E170/'Total Duration Tables Sup #1'!$B170)</f>
        <v>31.525340512579355</v>
      </c>
      <c r="F126" s="4">
        <f ca="1">$B126*('Updated Population'!F$125/'Updated Population'!$B$125)*('Total Duration Tables Sup #1'!F170/'Total Duration Tables Sup #1'!$B170)</f>
        <v>31.899937556707997</v>
      </c>
      <c r="G126" s="4">
        <f ca="1">$B126*('Updated Population'!G$125/'Updated Population'!$B$125)*('Total Duration Tables Sup #1'!G170/'Total Duration Tables Sup #1'!$B170)</f>
        <v>32.146969501779743</v>
      </c>
      <c r="H126" s="4">
        <f ca="1">$B126*('Updated Population'!H$125/'Updated Population'!$B$125)*('Total Duration Tables Sup #1'!H170/'Total Duration Tables Sup #1'!$B170)</f>
        <v>32.264554815307996</v>
      </c>
      <c r="I126" s="1">
        <f ca="1">$B126*('Updated Population'!I$125/'Updated Population'!$B$125)*('Total Duration Tables Sup #1'!I170/'Total Duration Tables Sup #1'!$B170)</f>
        <v>33.080826364363269</v>
      </c>
      <c r="J126" s="1">
        <f ca="1">$B126*('Updated Population'!J$125/'Updated Population'!$B$125)*('Total Duration Tables Sup #1'!J170/'Total Duration Tables Sup #1'!$B170)</f>
        <v>33.809782995569343</v>
      </c>
      <c r="K126" s="1">
        <f ca="1">$B126*('Updated Population'!K$125/'Updated Population'!$B$125)*('Total Duration Tables Sup #1'!K170/'Total Duration Tables Sup #1'!$B170)</f>
        <v>34.480542138014059</v>
      </c>
    </row>
    <row r="127" spans="1:11" x14ac:dyDescent="0.25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$B127*('Updated Population'!C$125/'Updated Population'!$B$125)*('Total Duration Tables Sup #1'!C171/'Total Duration Tables Sup #1'!$B171)</f>
        <v>8.0355405106937212</v>
      </c>
      <c r="D127" s="4">
        <f ca="1">$B127*('Updated Population'!D$125/'Updated Population'!$B$125)*('Total Duration Tables Sup #1'!D171/'Total Duration Tables Sup #1'!$B171)</f>
        <v>8.4397056436077786</v>
      </c>
      <c r="E127" s="4">
        <f ca="1">$B127*('Updated Population'!E$125/'Updated Population'!$B$125)*('Total Duration Tables Sup #1'!E171/'Total Duration Tables Sup #1'!$B171)</f>
        <v>8.6116833840022586</v>
      </c>
      <c r="F127" s="4">
        <f ca="1">$B127*('Updated Population'!F$125/'Updated Population'!$B$125)*('Total Duration Tables Sup #1'!F171/'Total Duration Tables Sup #1'!$B171)</f>
        <v>8.8560040819663772</v>
      </c>
      <c r="G127" s="4">
        <f ca="1">$B127*('Updated Population'!G$125/'Updated Population'!$B$125)*('Total Duration Tables Sup #1'!G171/'Total Duration Tables Sup #1'!$B171)</f>
        <v>9.1973032955000136</v>
      </c>
      <c r="H127" s="4">
        <f ca="1">$B127*('Updated Population'!H$125/'Updated Population'!$B$125)*('Total Duration Tables Sup #1'!H171/'Total Duration Tables Sup #1'!$B171)</f>
        <v>9.5483905373903006</v>
      </c>
      <c r="I127" s="1">
        <f ca="1">$B127*('Updated Population'!I$125/'Updated Population'!$B$125)*('Total Duration Tables Sup #1'!I171/'Total Duration Tables Sup #1'!$B171)</f>
        <v>9.7899583996948003</v>
      </c>
      <c r="J127" s="1">
        <f ca="1">$B127*('Updated Population'!J$125/'Updated Population'!$B$125)*('Total Duration Tables Sup #1'!J171/'Total Duration Tables Sup #1'!$B171)</f>
        <v>10.005686235997494</v>
      </c>
      <c r="K127" s="1">
        <f ca="1">$B127*('Updated Population'!K$125/'Updated Population'!$B$125)*('Total Duration Tables Sup #1'!K171/'Total Duration Tables Sup #1'!$B171)</f>
        <v>10.20419107467416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$B128*('Updated Population'!C$125/'Updated Population'!$B$125)*('Total Duration Tables Sup #1'!C172/'Total Duration Tables Sup #1'!$B172)</f>
        <v>125.26340454844508</v>
      </c>
      <c r="D128" s="4">
        <f ca="1">$B128*('Updated Population'!D$125/'Updated Population'!$B$125)*('Total Duration Tables Sup #1'!D172/'Total Duration Tables Sup #1'!$B172)</f>
        <v>133.77656785469864</v>
      </c>
      <c r="E128" s="4">
        <f ca="1">$B128*('Updated Population'!E$125/'Updated Population'!$B$125)*('Total Duration Tables Sup #1'!E172/'Total Duration Tables Sup #1'!$B172)</f>
        <v>140.52786144331324</v>
      </c>
      <c r="F128" s="4">
        <f ca="1">$B128*('Updated Population'!F$125/'Updated Population'!$B$125)*('Total Duration Tables Sup #1'!F172/'Total Duration Tables Sup #1'!$B172)</f>
        <v>146.83949055818152</v>
      </c>
      <c r="G128" s="4">
        <f ca="1">$B128*('Updated Population'!G$125/'Updated Population'!$B$125)*('Total Duration Tables Sup #1'!G172/'Total Duration Tables Sup #1'!$B172)</f>
        <v>151.83409164220458</v>
      </c>
      <c r="H128" s="4">
        <f ca="1">$B128*('Updated Population'!H$125/'Updated Population'!$B$125)*('Total Duration Tables Sup #1'!H172/'Total Duration Tables Sup #1'!$B172)</f>
        <v>156.17718776172322</v>
      </c>
      <c r="I128" s="1">
        <f ca="1">$B128*('Updated Population'!I$125/'Updated Population'!$B$125)*('Total Duration Tables Sup #1'!I172/'Total Duration Tables Sup #1'!$B172)</f>
        <v>160.12836563202421</v>
      </c>
      <c r="J128" s="1">
        <f ca="1">$B128*('Updated Population'!J$125/'Updated Population'!$B$125)*('Total Duration Tables Sup #1'!J172/'Total Duration Tables Sup #1'!$B172)</f>
        <v>163.65689399120092</v>
      </c>
      <c r="K128" s="1">
        <f ca="1">$B128*('Updated Population'!K$125/'Updated Population'!$B$125)*('Total Duration Tables Sup #1'!K172/'Total Duration Tables Sup #1'!$B172)</f>
        <v>166.90371630541361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$B129*('Updated Population'!C$125/'Updated Population'!$B$125)*('Total Duration Tables Sup #1'!C173/'Total Duration Tables Sup #1'!$B173)</f>
        <v>57.761470301939809</v>
      </c>
      <c r="D129" s="4">
        <f ca="1">$B129*('Updated Population'!D$125/'Updated Population'!$B$125)*('Total Duration Tables Sup #1'!D173/'Total Duration Tables Sup #1'!$B173)</f>
        <v>60.160150278698467</v>
      </c>
      <c r="E129" s="4">
        <f ca="1">$B129*('Updated Population'!E$125/'Updated Population'!$B$125)*('Total Duration Tables Sup #1'!E173/'Total Duration Tables Sup #1'!$B173)</f>
        <v>61.672282960832518</v>
      </c>
      <c r="F129" s="4">
        <f ca="1">$B129*('Updated Population'!F$125/'Updated Population'!$B$125)*('Total Duration Tables Sup #1'!F173/'Total Duration Tables Sup #1'!$B173)</f>
        <v>62.839101707014578</v>
      </c>
      <c r="G129" s="4">
        <f ca="1">$B129*('Updated Population'!G$125/'Updated Population'!$B$125)*('Total Duration Tables Sup #1'!G173/'Total Duration Tables Sup #1'!$B173)</f>
        <v>63.630361245137884</v>
      </c>
      <c r="H129" s="4">
        <f ca="1">$B129*('Updated Population'!H$125/'Updated Population'!$B$125)*('Total Duration Tables Sup #1'!H173/'Total Duration Tables Sup #1'!$B173)</f>
        <v>64.10097613044563</v>
      </c>
      <c r="I129" s="1">
        <f ca="1">$B129*('Updated Population'!I$125/'Updated Population'!$B$125)*('Total Duration Tables Sup #1'!I173/'Total Duration Tables Sup #1'!$B173)</f>
        <v>65.722687738787059</v>
      </c>
      <c r="J129" s="1">
        <f ca="1">$B129*('Updated Population'!J$125/'Updated Population'!$B$125)*('Total Duration Tables Sup #1'!J173/'Total Duration Tables Sup #1'!$B173)</f>
        <v>67.170928133999382</v>
      </c>
      <c r="K129" s="1">
        <f ca="1">$B129*('Updated Population'!K$125/'Updated Population'!$B$125)*('Total Duration Tables Sup #1'!K173/'Total Duration Tables Sup #1'!$B173)</f>
        <v>68.503545801444375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$B130*('Updated Population'!C$125/'Updated Population'!$B$125)*('Total Duration Tables Sup #1'!C174/'Total Duration Tables Sup #1'!$B174)</f>
        <v>1.0170435631700745</v>
      </c>
      <c r="D130" s="4">
        <f ca="1">$B130*('Updated Population'!D$125/'Updated Population'!$B$125)*('Total Duration Tables Sup #1'!D174/'Total Duration Tables Sup #1'!$B174)</f>
        <v>1.1345139005410885</v>
      </c>
      <c r="E130" s="4">
        <f ca="1">$B130*('Updated Population'!E$125/'Updated Population'!$B$125)*('Total Duration Tables Sup #1'!E174/'Total Duration Tables Sup #1'!$B174)</f>
        <v>1.2283400748328206</v>
      </c>
      <c r="F130" s="4">
        <f ca="1">$B130*('Updated Population'!F$125/'Updated Population'!$B$125)*('Total Duration Tables Sup #1'!F174/'Total Duration Tables Sup #1'!$B174)</f>
        <v>1.3117283696235731</v>
      </c>
      <c r="G130" s="4">
        <f ca="1">$B130*('Updated Population'!G$125/'Updated Population'!$B$125)*('Total Duration Tables Sup #1'!G174/'Total Duration Tables Sup #1'!$B174)</f>
        <v>1.3730729585989627</v>
      </c>
      <c r="H130" s="4">
        <f ca="1">$B130*('Updated Population'!H$125/'Updated Population'!$B$125)*('Total Duration Tables Sup #1'!H174/'Total Duration Tables Sup #1'!$B174)</f>
        <v>1.4293234806974429</v>
      </c>
      <c r="I130" s="1">
        <f ca="1">$B130*('Updated Population'!I$125/'Updated Population'!$B$125)*('Total Duration Tables Sup #1'!I174/'Total Duration Tables Sup #1'!$B174)</f>
        <v>1.465484403988299</v>
      </c>
      <c r="J130" s="1">
        <f ca="1">$B130*('Updated Population'!J$125/'Updated Population'!$B$125)*('Total Duration Tables Sup #1'!J174/'Total Duration Tables Sup #1'!$B174)</f>
        <v>1.4977772663989908</v>
      </c>
      <c r="K130" s="1">
        <f ca="1">$B130*('Updated Population'!K$125/'Updated Population'!$B$125)*('Total Duration Tables Sup #1'!K174/'Total Duration Tables Sup #1'!$B174)</f>
        <v>1.5274919733793531</v>
      </c>
    </row>
    <row r="131" spans="1:11" x14ac:dyDescent="0.25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$B131*('Updated Population'!C$125/'Updated Population'!$B$125)*('Total Duration Tables Sup #1'!C175/'Total Duration Tables Sup #1'!$B175)</f>
        <v>0.43489738415082296</v>
      </c>
      <c r="D131" s="4">
        <f ca="1">$B131*('Updated Population'!D$125/'Updated Population'!$B$125)*('Total Duration Tables Sup #1'!D175/'Total Duration Tables Sup #1'!$B175)</f>
        <v>0.45803418255277578</v>
      </c>
      <c r="E131" s="4">
        <f ca="1">$B131*('Updated Population'!E$125/'Updated Population'!$B$125)*('Total Duration Tables Sup #1'!E175/'Total Duration Tables Sup #1'!$B175)</f>
        <v>0.47229162932804541</v>
      </c>
      <c r="F131" s="4">
        <f ca="1">$B131*('Updated Population'!F$125/'Updated Population'!$B$125)*('Total Duration Tables Sup #1'!F175/'Total Duration Tables Sup #1'!$B175)</f>
        <v>0.4846963664240902</v>
      </c>
      <c r="G131" s="4">
        <f ca="1">$B131*('Updated Population'!G$125/'Updated Population'!$B$125)*('Total Duration Tables Sup #1'!G175/'Total Duration Tables Sup #1'!$B175)</f>
        <v>0.49008857707949055</v>
      </c>
      <c r="H131" s="4">
        <f ca="1">$B131*('Updated Population'!H$125/'Updated Population'!$B$125)*('Total Duration Tables Sup #1'!H175/'Total Duration Tables Sup #1'!$B175)</f>
        <v>0.49261959442472281</v>
      </c>
      <c r="I131" s="1">
        <f ca="1">$B131*('Updated Population'!I$125/'Updated Population'!$B$125)*('Total Duration Tables Sup #1'!I175/'Total Duration Tables Sup #1'!$B175)</f>
        <v>0.50508253903182665</v>
      </c>
      <c r="J131" s="1">
        <f ca="1">$B131*('Updated Population'!J$125/'Updated Population'!$B$125)*('Total Duration Tables Sup #1'!J175/'Total Duration Tables Sup #1'!$B175)</f>
        <v>0.51621234764296475</v>
      </c>
      <c r="K131" s="1">
        <f ca="1">$B131*('Updated Population'!K$125/'Updated Population'!$B$125)*('Total Duration Tables Sup #1'!K175/'Total Duration Tables Sup #1'!$B175)</f>
        <v>0.52645358911055251</v>
      </c>
    </row>
    <row r="132" spans="1:11" x14ac:dyDescent="0.25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7.2939090999999999E-3</v>
      </c>
      <c r="D132" s="4">
        <f ca="1">OFFSET(Canterbury_Reference,44,7)</f>
        <v>6.1357468000000004E-3</v>
      </c>
      <c r="E132" s="4">
        <f ca="1">OFFSET(Canterbury_Reference,45,7)</f>
        <v>5.6627932000000002E-3</v>
      </c>
      <c r="F132" s="4">
        <f ca="1">OFFSET(Canterbury_Reference,46,7)</f>
        <v>5.3311143999999998E-3</v>
      </c>
      <c r="G132" s="4">
        <f ca="1">OFFSET(Canterbury_Reference,47,7)</f>
        <v>4.4621642000000003E-3</v>
      </c>
      <c r="H132" s="4">
        <f ca="1">OFFSET(Canterbury_Reference,48,7)</f>
        <v>3.6613496000000001E-3</v>
      </c>
      <c r="I132" s="1">
        <f ca="1">OFFSET(Canterbury_Reference,48,7)</f>
        <v>3.6613496000000001E-3</v>
      </c>
      <c r="J132" s="1">
        <f ca="1">OFFSET(Canterbury_Reference,48,7)</f>
        <v>3.6613496000000001E-3</v>
      </c>
      <c r="K132" s="1">
        <f ca="1">OFFSET(Canterbury_Reference,48,7)</f>
        <v>3.6613496000000001E-3</v>
      </c>
    </row>
    <row r="133" spans="1:11" x14ac:dyDescent="0.25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8.0130594146000007</v>
      </c>
      <c r="D133" s="4">
        <f ca="1">OFFSET(Canterbury_Reference,51,7)</f>
        <v>7.8205246438999998</v>
      </c>
      <c r="E133" s="4">
        <f ca="1">OFFSET(Canterbury_Reference,52,7)</f>
        <v>7.6642940755</v>
      </c>
      <c r="F133" s="4">
        <f ca="1">OFFSET(Canterbury_Reference,53,7)</f>
        <v>7.3520729450999998</v>
      </c>
      <c r="G133" s="4">
        <f ca="1">OFFSET(Canterbury_Reference,54,7)</f>
        <v>7.0564301036000003</v>
      </c>
      <c r="H133" s="4">
        <f ca="1">OFFSET(Canterbury_Reference,55,7)</f>
        <v>6.7467374597000003</v>
      </c>
      <c r="I133" s="1">
        <f ca="1">OFFSET(Canterbury_Reference,55,7)</f>
        <v>6.7467374597000003</v>
      </c>
      <c r="J133" s="1">
        <f ca="1">OFFSET(Canterbury_Reference,55,7)</f>
        <v>6.7467374597000003</v>
      </c>
      <c r="K133" s="1">
        <f ca="1">OFFSET(Canterbury_Reference,55,7)</f>
        <v>6.7467374597000003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Duration Tables Sup #1'!C178/'Total Duration Tables Sup #1'!$B178)</f>
        <v>0</v>
      </c>
      <c r="D134" s="4">
        <f ca="1">$B134*('Updated Population'!D$125/'Updated Population'!$B$125)*('Total Duration Tables Sup #1'!D178/'Total Duration Tables Sup #1'!$B178)</f>
        <v>0</v>
      </c>
      <c r="E134" s="4">
        <f ca="1">$B134*('Updated Population'!E$125/'Updated Population'!$B$125)*('Total Duration Tables Sup #1'!E178/'Total Duration Tables Sup #1'!$B178)</f>
        <v>0</v>
      </c>
      <c r="F134" s="4">
        <f ca="1">$B134*('Updated Population'!F$125/'Updated Population'!$B$125)*('Total Duration Tables Sup #1'!F178/'Total Duration Tables Sup #1'!$B178)</f>
        <v>0</v>
      </c>
      <c r="G134" s="4">
        <f ca="1">$B134*('Updated Population'!G$125/'Updated Population'!$B$125)*('Total Duration Tables Sup #1'!G178/'Total Duration Tables Sup #1'!$B178)</f>
        <v>0</v>
      </c>
      <c r="H134" s="4">
        <f ca="1">$B134*('Updated Population'!H$125/'Updated Population'!$B$125)*('Total Duration Tables Sup #1'!H178/'Total Duration Tables Sup #1'!$B178)</f>
        <v>0</v>
      </c>
      <c r="I134" s="1">
        <f ca="1">$B134*('Updated Population'!I$125/'Updated Population'!$B$125)*('Total Duration Tables Sup #1'!I178/'Total Duration Tables Sup #1'!$B178)</f>
        <v>0</v>
      </c>
      <c r="J134" s="1">
        <f ca="1">$B134*('Updated Population'!J$125/'Updated Population'!$B$125)*('Total Duration Tables Sup #1'!J178/'Total Duration Tables Sup #1'!$B178)</f>
        <v>0</v>
      </c>
      <c r="K134" s="1">
        <f ca="1">$B134*('Updated Population'!K$125/'Updated Population'!$B$125)*('Total Duration Tables Sup #1'!K178/'Total Duration Tables Sup #1'!$B178)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$B135*('Updated Population'!C$125/'Updated Population'!$B$125)*('Total Duration Tables Sup #1'!C179/'Total Duration Tables Sup #1'!$B179)</f>
        <v>1.0350845072689974</v>
      </c>
      <c r="D135" s="4">
        <f ca="1">$B135*('Updated Population'!D$125/'Updated Population'!$B$125)*('Total Duration Tables Sup #1'!D179/'Total Duration Tables Sup #1'!$B179)</f>
        <v>1.1168703690371404</v>
      </c>
      <c r="E135" s="4">
        <f ca="1">$B135*('Updated Population'!E$125/'Updated Population'!$B$125)*('Total Duration Tables Sup #1'!E179/'Total Duration Tables Sup #1'!$B179)</f>
        <v>1.1604403701298052</v>
      </c>
      <c r="F135" s="4">
        <f ca="1">$B135*('Updated Population'!F$125/'Updated Population'!$B$125)*('Total Duration Tables Sup #1'!F179/'Total Duration Tables Sup #1'!$B179)</f>
        <v>1.1956743355406394</v>
      </c>
      <c r="G135" s="4">
        <f ca="1">$B135*('Updated Population'!G$125/'Updated Population'!$B$125)*('Total Duration Tables Sup #1'!G179/'Total Duration Tables Sup #1'!$B179)</f>
        <v>1.2353108554139083</v>
      </c>
      <c r="H135" s="4">
        <f ca="1">$B135*('Updated Population'!H$125/'Updated Population'!$B$125)*('Total Duration Tables Sup #1'!H179/'Total Duration Tables Sup #1'!$B179)</f>
        <v>1.266220836643724</v>
      </c>
      <c r="I135" s="1">
        <f ca="1">$B135*('Updated Population'!I$125/'Updated Population'!$B$125)*('Total Duration Tables Sup #1'!I179/'Total Duration Tables Sup #1'!$B179)</f>
        <v>1.2982553726752841</v>
      </c>
      <c r="J135" s="1">
        <f ca="1">$B135*('Updated Population'!J$125/'Updated Population'!$B$125)*('Total Duration Tables Sup #1'!J179/'Total Duration Tables Sup #1'!$B179)</f>
        <v>1.3268632391320321</v>
      </c>
      <c r="K135" s="1">
        <f ca="1">$B135*('Updated Population'!K$125/'Updated Population'!$B$125)*('Total Duration Tables Sup #1'!K179/'Total Duration Tables Sup #1'!$B179)</f>
        <v>1.3531871480591686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$B137*('Updated Population'!C$136/'Updated Population'!$B$136)*('Total Duration Tables Sup #1'!C170/'Total Duration Tables Sup #1'!$B170)</f>
        <v>12.395514452131584</v>
      </c>
      <c r="D137" s="4">
        <f ca="1">$B137*('Updated Population'!D$136/'Updated Population'!$B$136)*('Total Duration Tables Sup #1'!D170/'Total Duration Tables Sup #1'!$B170)</f>
        <v>12.721781032486893</v>
      </c>
      <c r="E137" s="4">
        <f ca="1">$B137*('Updated Population'!E$136/'Updated Population'!$B$136)*('Total Duration Tables Sup #1'!E170/'Total Duration Tables Sup #1'!$B170)</f>
        <v>12.784272719752765</v>
      </c>
      <c r="F137" s="4">
        <f ca="1">$B137*('Updated Population'!F$136/'Updated Population'!$B$136)*('Total Duration Tables Sup #1'!F170/'Total Duration Tables Sup #1'!$B170)</f>
        <v>12.732200720435539</v>
      </c>
      <c r="G137" s="4">
        <f ca="1">$B137*('Updated Population'!G$136/'Updated Population'!$B$136)*('Total Duration Tables Sup #1'!G170/'Total Duration Tables Sup #1'!$B170)</f>
        <v>12.636201145328018</v>
      </c>
      <c r="H137" s="4">
        <f ca="1">$B137*('Updated Population'!H$136/'Updated Population'!$B$136)*('Total Duration Tables Sup #1'!H170/'Total Duration Tables Sup #1'!$B170)</f>
        <v>12.492912170550929</v>
      </c>
      <c r="I137" s="1">
        <f ca="1">$B137*('Updated Population'!I$136/'Updated Population'!$B$136)*('Total Duration Tables Sup #1'!I170/'Total Duration Tables Sup #1'!$B170)</f>
        <v>12.617574473334159</v>
      </c>
      <c r="J137" s="1">
        <f ca="1">$B137*('Updated Population'!J$136/'Updated Population'!$B$136)*('Total Duration Tables Sup #1'!J170/'Total Duration Tables Sup #1'!$B170)</f>
        <v>12.702916041712536</v>
      </c>
      <c r="K137" s="1">
        <f ca="1">$B137*('Updated Population'!K$136/'Updated Population'!$B$136)*('Total Duration Tables Sup #1'!K170/'Total Duration Tables Sup #1'!$B170)</f>
        <v>12.761350803384847</v>
      </c>
    </row>
    <row r="138" spans="1:11" x14ac:dyDescent="0.25">
      <c r="A138" t="str">
        <f ca="1">OFFSET(Otago_Reference,7,2)</f>
        <v>Cyclist</v>
      </c>
      <c r="B138" s="4">
        <f ca="1">OFFSET(Otago_Reference,7,7)</f>
        <v>1.6089304994</v>
      </c>
      <c r="C138" s="4">
        <f ca="1">$B138*('Updated Population'!C$136/'Updated Population'!$B$136)*('Total Duration Tables Sup #1'!C171/'Total Duration Tables Sup #1'!$B171)</f>
        <v>1.7431542888530049</v>
      </c>
      <c r="D138" s="4">
        <f ca="1">$B138*('Updated Population'!D$136/'Updated Population'!$B$136)*('Total Duration Tables Sup #1'!D171/'Total Duration Tables Sup #1'!$B171)</f>
        <v>1.7954142690513055</v>
      </c>
      <c r="E138" s="4">
        <f ca="1">$B138*('Updated Population'!E$136/'Updated Population'!$B$136)*('Total Duration Tables Sup #1'!E171/'Total Duration Tables Sup #1'!$B171)</f>
        <v>1.8023324676560237</v>
      </c>
      <c r="F138" s="4">
        <f ca="1">$B138*('Updated Population'!F$136/'Updated Population'!$B$136)*('Total Duration Tables Sup #1'!F171/'Total Duration Tables Sup #1'!$B171)</f>
        <v>1.8242403739002699</v>
      </c>
      <c r="G138" s="4">
        <f ca="1">$B138*('Updated Population'!G$136/'Updated Population'!$B$136)*('Total Duration Tables Sup #1'!G171/'Total Duration Tables Sup #1'!$B171)</f>
        <v>1.8658108408415726</v>
      </c>
      <c r="H138" s="4">
        <f ca="1">$B138*('Updated Population'!H$136/'Updated Population'!$B$136)*('Total Duration Tables Sup #1'!H171/'Total Duration Tables Sup #1'!$B171)</f>
        <v>1.9080897340270251</v>
      </c>
      <c r="I138" s="1">
        <f ca="1">$B138*('Updated Population'!I$136/'Updated Population'!$B$136)*('Total Duration Tables Sup #1'!I171/'Total Duration Tables Sup #1'!$B171)</f>
        <v>1.9271298791039722</v>
      </c>
      <c r="J138" s="1">
        <f ca="1">$B138*('Updated Population'!J$136/'Updated Population'!$B$136)*('Total Duration Tables Sup #1'!J171/'Total Duration Tables Sup #1'!$B171)</f>
        <v>1.9401644196726961</v>
      </c>
      <c r="K138" s="1">
        <f ca="1">$B138*('Updated Population'!K$136/'Updated Population'!$B$136)*('Total Duration Tables Sup #1'!K171/'Total Duration Tables Sup #1'!$B171)</f>
        <v>1.9490893818700674</v>
      </c>
    </row>
    <row r="139" spans="1:11" x14ac:dyDescent="0.25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$B139*('Updated Population'!C$136/'Updated Population'!$B$136)*('Total Duration Tables Sup #1'!C172/'Total Duration Tables Sup #1'!$B172)</f>
        <v>35.82732355811725</v>
      </c>
      <c r="D139" s="4">
        <f ca="1">$B139*('Updated Population'!D$136/'Updated Population'!$B$136)*('Total Duration Tables Sup #1'!D172/'Total Duration Tables Sup #1'!$B172)</f>
        <v>37.522074635610963</v>
      </c>
      <c r="E139" s="4">
        <f ca="1">$B139*('Updated Population'!E$136/'Updated Population'!$B$136)*('Total Duration Tables Sup #1'!E172/'Total Duration Tables Sup #1'!$B172)</f>
        <v>38.777402090623355</v>
      </c>
      <c r="F139" s="4">
        <f ca="1">$B139*('Updated Population'!F$136/'Updated Population'!$B$136)*('Total Duration Tables Sup #1'!F172/'Total Duration Tables Sup #1'!$B172)</f>
        <v>39.880128136019188</v>
      </c>
      <c r="G139" s="4">
        <f ca="1">$B139*('Updated Population'!G$136/'Updated Population'!$B$136)*('Total Duration Tables Sup #1'!G172/'Total Duration Tables Sup #1'!$B172)</f>
        <v>40.611199789711755</v>
      </c>
      <c r="H139" s="4">
        <f ca="1">$B139*('Updated Population'!H$136/'Updated Population'!$B$136)*('Total Duration Tables Sup #1'!H172/'Total Duration Tables Sup #1'!$B172)</f>
        <v>41.148654623390016</v>
      </c>
      <c r="I139" s="1">
        <f ca="1">$B139*('Updated Population'!I$136/'Updated Population'!$B$136)*('Total Duration Tables Sup #1'!I172/'Total Duration Tables Sup #1'!$B172)</f>
        <v>41.559262332125499</v>
      </c>
      <c r="J139" s="1">
        <f ca="1">$B139*('Updated Population'!J$136/'Updated Population'!$B$136)*('Total Duration Tables Sup #1'!J172/'Total Duration Tables Sup #1'!$B172)</f>
        <v>41.84035697797583</v>
      </c>
      <c r="K139" s="1">
        <f ca="1">$B139*('Updated Population'!K$136/'Updated Population'!$B$136)*('Total Duration Tables Sup #1'!K172/'Total Duration Tables Sup #1'!$B172)</f>
        <v>42.032827059669202</v>
      </c>
    </row>
    <row r="140" spans="1:11" x14ac:dyDescent="0.25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$B140*('Updated Population'!C$136/'Updated Population'!$B$136)*('Total Duration Tables Sup #1'!C173/'Total Duration Tables Sup #1'!$B173)</f>
        <v>20.970754478549143</v>
      </c>
      <c r="D140" s="4">
        <f ca="1">$B140*('Updated Population'!D$136/'Updated Population'!$B$136)*('Total Duration Tables Sup #1'!D173/'Total Duration Tables Sup #1'!$B173)</f>
        <v>21.419107342563347</v>
      </c>
      <c r="E140" s="4">
        <f ca="1">$B140*('Updated Population'!E$136/'Updated Population'!$B$136)*('Total Duration Tables Sup #1'!E173/'Total Duration Tables Sup #1'!$B173)</f>
        <v>21.601900408748481</v>
      </c>
      <c r="F140" s="4">
        <f ca="1">$B140*('Updated Population'!F$136/'Updated Population'!$B$136)*('Total Duration Tables Sup #1'!F173/'Total Duration Tables Sup #1'!$B173)</f>
        <v>21.663534023145974</v>
      </c>
      <c r="G140" s="4">
        <f ca="1">$B140*('Updated Population'!G$136/'Updated Population'!$B$136)*('Total Duration Tables Sup #1'!G173/'Total Duration Tables Sup #1'!$B173)</f>
        <v>21.603622254205252</v>
      </c>
      <c r="H140" s="4">
        <f ca="1">$B140*('Updated Population'!H$136/'Updated Population'!$B$136)*('Total Duration Tables Sup #1'!H173/'Total Duration Tables Sup #1'!$B173)</f>
        <v>21.438201394593264</v>
      </c>
      <c r="I140" s="1">
        <f ca="1">$B140*('Updated Population'!I$136/'Updated Population'!$B$136)*('Total Duration Tables Sup #1'!I173/'Total Duration Tables Sup #1'!$B173)</f>
        <v>21.652125539492044</v>
      </c>
      <c r="J140" s="1">
        <f ca="1">$B140*('Updated Population'!J$136/'Updated Population'!$B$136)*('Total Duration Tables Sup #1'!J173/'Total Duration Tables Sup #1'!$B173)</f>
        <v>21.798574158136692</v>
      </c>
      <c r="K140" s="1">
        <f ca="1">$B140*('Updated Population'!K$136/'Updated Population'!$B$136)*('Total Duration Tables Sup #1'!K173/'Total Duration Tables Sup #1'!$B173)</f>
        <v>21.898849912266225</v>
      </c>
    </row>
    <row r="141" spans="1:11" x14ac:dyDescent="0.25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$B141*('Updated Population'!C$136/'Updated Population'!$B$136)*('Total Duration Tables Sup #1'!C174/'Total Duration Tables Sup #1'!$B174)</f>
        <v>0.26968212100593092</v>
      </c>
      <c r="D141" s="4">
        <f ca="1">$B141*('Updated Population'!D$136/'Updated Population'!$B$136)*('Total Duration Tables Sup #1'!D174/'Total Duration Tables Sup #1'!$B174)</f>
        <v>0.29501157749817469</v>
      </c>
      <c r="E141" s="4">
        <f ca="1">$B141*('Updated Population'!E$136/'Updated Population'!$B$136)*('Total Duration Tables Sup #1'!E174/'Total Duration Tables Sup #1'!$B174)</f>
        <v>0.31423701366773066</v>
      </c>
      <c r="F141" s="4">
        <f ca="1">$B141*('Updated Population'!F$136/'Updated Population'!$B$136)*('Total Duration Tables Sup #1'!F174/'Total Duration Tables Sup #1'!$B174)</f>
        <v>0.33027829382288315</v>
      </c>
      <c r="G141" s="4">
        <f ca="1">$B141*('Updated Population'!G$136/'Updated Population'!$B$136)*('Total Duration Tables Sup #1'!G174/'Total Duration Tables Sup #1'!$B174)</f>
        <v>0.34048076639120606</v>
      </c>
      <c r="H141" s="4">
        <f ca="1">$B141*('Updated Population'!H$136/'Updated Population'!$B$136)*('Total Duration Tables Sup #1'!H174/'Total Duration Tables Sup #1'!$B174)</f>
        <v>0.34913309252312114</v>
      </c>
      <c r="I141" s="1">
        <f ca="1">$B141*('Updated Population'!I$136/'Updated Population'!$B$136)*('Total Duration Tables Sup #1'!I174/'Total Duration Tables Sup #1'!$B174)</f>
        <v>0.3526169667949951</v>
      </c>
      <c r="J141" s="1">
        <f ca="1">$B141*('Updated Population'!J$136/'Updated Population'!$B$136)*('Total Duration Tables Sup #1'!J174/'Total Duration Tables Sup #1'!$B174)</f>
        <v>0.35500196440659698</v>
      </c>
      <c r="K141" s="1">
        <f ca="1">$B141*('Updated Population'!K$136/'Updated Population'!$B$136)*('Total Duration Tables Sup #1'!K174/'Total Duration Tables Sup #1'!$B174)</f>
        <v>0.3566350111113995</v>
      </c>
    </row>
    <row r="142" spans="1:11" x14ac:dyDescent="0.25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$B142*('Updated Population'!C$136/'Updated Population'!$B$136)*('Total Duration Tables Sup #1'!C175/'Total Duration Tables Sup #1'!$B175)</f>
        <v>0.46001625866890633</v>
      </c>
      <c r="D142" s="4">
        <f ca="1">$B142*('Updated Population'!D$136/'Updated Population'!$B$136)*('Total Duration Tables Sup #1'!D175/'Total Duration Tables Sup #1'!$B175)</f>
        <v>0.4751173773328411</v>
      </c>
      <c r="E142" s="4">
        <f ca="1">$B142*('Updated Population'!E$136/'Updated Population'!$B$136)*('Total Duration Tables Sup #1'!E175/'Total Duration Tables Sup #1'!$B175)</f>
        <v>0.48197304747435099</v>
      </c>
      <c r="F142" s="4">
        <f ca="1">$B142*('Updated Population'!F$136/'Updated Population'!$B$136)*('Total Duration Tables Sup #1'!F175/'Total Duration Tables Sup #1'!$B175)</f>
        <v>0.48683262130544741</v>
      </c>
      <c r="G142" s="4">
        <f ca="1">$B142*('Updated Population'!G$136/'Updated Population'!$B$136)*('Total Duration Tables Sup #1'!G175/'Total Duration Tables Sup #1'!$B175)</f>
        <v>0.48478294895674623</v>
      </c>
      <c r="H142" s="4">
        <f ca="1">$B142*('Updated Population'!H$136/'Updated Population'!$B$136)*('Total Duration Tables Sup #1'!H175/'Total Duration Tables Sup #1'!$B175)</f>
        <v>0.48000521496339449</v>
      </c>
      <c r="I142" s="1">
        <f ca="1">$B142*('Updated Population'!I$136/'Updated Population'!$B$136)*('Total Duration Tables Sup #1'!I175/'Total Duration Tables Sup #1'!$B175)</f>
        <v>0.48479501534207253</v>
      </c>
      <c r="J142" s="1">
        <f ca="1">$B142*('Updated Population'!J$136/'Updated Population'!$B$136)*('Total Duration Tables Sup #1'!J175/'Total Duration Tables Sup #1'!$B175)</f>
        <v>0.48807402645777864</v>
      </c>
      <c r="K142" s="1">
        <f ca="1">$B142*('Updated Population'!K$136/'Updated Population'!$B$136)*('Total Duration Tables Sup #1'!K175/'Total Duration Tables Sup #1'!$B175)</f>
        <v>0.49031921876802087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Duration Tables Sup #1'!C176/'Total Duration Tables Sup #1'!$B176)</f>
        <v>0</v>
      </c>
      <c r="D143" s="4">
        <f ca="1">$B143*('Updated Population'!D$136/'Updated Population'!$B$136)*('Total Duration Tables Sup #1'!D176/'Total Duration Tables Sup #1'!$B176)</f>
        <v>0</v>
      </c>
      <c r="E143" s="4">
        <f ca="1">$B143*('Updated Population'!E$136/'Updated Population'!$B$136)*('Total Duration Tables Sup #1'!E176/'Total Duration Tables Sup #1'!$B176)</f>
        <v>0</v>
      </c>
      <c r="F143" s="4">
        <f ca="1">$B143*('Updated Population'!F$136/'Updated Population'!$B$136)*('Total Duration Tables Sup #1'!F176/'Total Duration Tables Sup #1'!$B176)</f>
        <v>0</v>
      </c>
      <c r="G143" s="4">
        <f ca="1">$B143*('Updated Population'!G$136/'Updated Population'!$B$136)*('Total Duration Tables Sup #1'!G176/'Total Duration Tables Sup #1'!$B176)</f>
        <v>0</v>
      </c>
      <c r="H143" s="4">
        <f ca="1">$B143*('Updated Population'!H$136/'Updated Population'!$B$136)*('Total Duration Tables Sup #1'!H176/'Total Duration Tables Sup #1'!$B176)</f>
        <v>0</v>
      </c>
      <c r="I143" s="1">
        <f ca="1">$B143*('Updated Population'!I$136/'Updated Population'!$B$136)*('Total Duration Tables Sup #1'!I176/'Total Duration Tables Sup #1'!$B176)</f>
        <v>0</v>
      </c>
      <c r="J143" s="1">
        <f ca="1">$B143*('Updated Population'!J$136/'Updated Population'!$B$136)*('Total Duration Tables Sup #1'!J176/'Total Duration Tables Sup #1'!$B176)</f>
        <v>0</v>
      </c>
      <c r="K143" s="1">
        <f ca="1">$B143*('Updated Population'!K$136/'Updated Population'!$B$136)*('Total Duration Tables Sup #1'!K176/'Total Duration Tables Sup #1'!$B176)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OFFSET(Otago_Reference,42,7)</f>
        <v>1.347401772</v>
      </c>
      <c r="C144" s="4">
        <f ca="1">$B144*('Updated Population'!C$136/'Updated Population'!$B$136)*('Total Duration Tables Sup #1'!C177/'Total Duration Tables Sup #1'!$B177)</f>
        <v>1.3315171368954426</v>
      </c>
      <c r="D144" s="4">
        <f ca="1">$B144*('Updated Population'!D$136/'Updated Population'!$B$136)*('Total Duration Tables Sup #1'!D177/'Total Duration Tables Sup #1'!$B177)</f>
        <v>1.3042942500951427</v>
      </c>
      <c r="E144" s="4">
        <f ca="1">$B144*('Updated Population'!E$136/'Updated Population'!$B$136)*('Total Duration Tables Sup #1'!E177/'Total Duration Tables Sup #1'!$B177)</f>
        <v>1.2803425865236395</v>
      </c>
      <c r="F144" s="4">
        <f ca="1">$B144*('Updated Population'!F$136/'Updated Population'!$B$136)*('Total Duration Tables Sup #1'!F177/'Total Duration Tables Sup #1'!$B177)</f>
        <v>1.2419808150255176</v>
      </c>
      <c r="G144" s="4">
        <f ca="1">$B144*('Updated Population'!G$136/'Updated Population'!$B$136)*('Total Duration Tables Sup #1'!G177/'Total Duration Tables Sup #1'!$B177)</f>
        <v>1.2126996448744669</v>
      </c>
      <c r="H144" s="4">
        <f ca="1">$B144*('Updated Population'!H$136/'Updated Population'!$B$136)*('Total Duration Tables Sup #1'!H177/'Total Duration Tables Sup #1'!$B177)</f>
        <v>1.1790198362969919</v>
      </c>
      <c r="I144" s="1">
        <f ca="1">$B144*('Updated Population'!I$136/'Updated Population'!$B$136)*('Total Duration Tables Sup #1'!I177/'Total Duration Tables Sup #1'!$B177)</f>
        <v>1.1907848535974705</v>
      </c>
      <c r="J144" s="1">
        <f ca="1">$B144*('Updated Population'!J$136/'Updated Population'!$B$136)*('Total Duration Tables Sup #1'!J177/'Total Duration Tables Sup #1'!$B177)</f>
        <v>1.1988389726535531</v>
      </c>
      <c r="K144" s="1">
        <f ca="1">$B144*('Updated Population'!K$136/'Updated Population'!$B$136)*('Total Duration Tables Sup #1'!K177/'Total Duration Tables Sup #1'!$B177)</f>
        <v>1.2043537591341102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Duration Tables Sup #1'!C178/'Total Duration Tables Sup #1'!$B178)</f>
        <v>0</v>
      </c>
      <c r="D145" s="4">
        <f ca="1">$B145*('Updated Population'!D$136/'Updated Population'!$B$136)*('Total Duration Tables Sup #1'!D178/'Total Duration Tables Sup #1'!$B178)</f>
        <v>0</v>
      </c>
      <c r="E145" s="4">
        <f ca="1">$B145*('Updated Population'!E$136/'Updated Population'!$B$136)*('Total Duration Tables Sup #1'!E178/'Total Duration Tables Sup #1'!$B178)</f>
        <v>0</v>
      </c>
      <c r="F145" s="4">
        <f ca="1">$B145*('Updated Population'!F$136/'Updated Population'!$B$136)*('Total Duration Tables Sup #1'!F178/'Total Duration Tables Sup #1'!$B178)</f>
        <v>0</v>
      </c>
      <c r="G145" s="4">
        <f ca="1">$B145*('Updated Population'!G$136/'Updated Population'!$B$136)*('Total Duration Tables Sup #1'!G178/'Total Duration Tables Sup #1'!$B178)</f>
        <v>0</v>
      </c>
      <c r="H145" s="4">
        <f ca="1">$B145*('Updated Population'!H$136/'Updated Population'!$B$136)*('Total Duration Tables Sup #1'!H178/'Total Duration Tables Sup #1'!$B178)</f>
        <v>0</v>
      </c>
      <c r="I145" s="1">
        <f ca="1">$B145*('Updated Population'!I$136/'Updated Population'!$B$136)*('Total Duration Tables Sup #1'!I178/'Total Duration Tables Sup #1'!$B178)</f>
        <v>0</v>
      </c>
      <c r="J145" s="1">
        <f ca="1">$B145*('Updated Population'!J$136/'Updated Population'!$B$136)*('Total Duration Tables Sup #1'!J178/'Total Duration Tables Sup #1'!$B178)</f>
        <v>0</v>
      </c>
      <c r="K145" s="1">
        <f ca="1">$B145*('Updated Population'!K$136/'Updated Population'!$B$136)*('Total Duration Tables Sup #1'!K178/'Total Duration Tables Sup #1'!$B178)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$B146*('Updated Population'!C$136/'Updated Population'!$B$136)*('Total Duration Tables Sup #1'!C179/'Total Duration Tables Sup #1'!$B179)</f>
        <v>0.27753934961793714</v>
      </c>
      <c r="D146" s="4">
        <f ca="1">$B146*('Updated Population'!D$136/'Updated Population'!$B$136)*('Total Duration Tables Sup #1'!D179/'Total Duration Tables Sup #1'!$B179)</f>
        <v>0.29367580361892298</v>
      </c>
      <c r="E146" s="4">
        <f ca="1">$B146*('Updated Population'!E$136/'Updated Population'!$B$136)*('Total Duration Tables Sup #1'!E179/'Total Duration Tables Sup #1'!$B179)</f>
        <v>0.30019102588141366</v>
      </c>
      <c r="F146" s="4">
        <f ca="1">$B146*('Updated Population'!F$136/'Updated Population'!$B$136)*('Total Duration Tables Sup #1'!F179/'Total Duration Tables Sup #1'!$B179)</f>
        <v>0.30442841514226382</v>
      </c>
      <c r="G146" s="4">
        <f ca="1">$B146*('Updated Population'!G$136/'Updated Population'!$B$136)*('Total Duration Tables Sup #1'!G179/'Total Duration Tables Sup #1'!$B179)</f>
        <v>0.30975005043246212</v>
      </c>
      <c r="H146" s="4">
        <f ca="1">$B146*('Updated Population'!H$136/'Updated Population'!$B$136)*('Total Duration Tables Sup #1'!H179/'Total Duration Tables Sup #1'!$B179)</f>
        <v>0.3127563248673309</v>
      </c>
      <c r="I146" s="1">
        <f ca="1">$B146*('Updated Population'!I$136/'Updated Population'!$B$136)*('Total Duration Tables Sup #1'!I179/'Total Duration Tables Sup #1'!$B179)</f>
        <v>0.31587720838397715</v>
      </c>
      <c r="J146" s="1">
        <f ca="1">$B146*('Updated Population'!J$136/'Updated Population'!$B$136)*('Total Duration Tables Sup #1'!J179/'Total Duration Tables Sup #1'!$B179)</f>
        <v>0.31801370905892412</v>
      </c>
      <c r="K146" s="1">
        <f ca="1">$B146*('Updated Population'!K$136/'Updated Population'!$B$136)*('Total Duration Tables Sup #1'!K179/'Total Duration Tables Sup #1'!$B179)</f>
        <v>0.3194766058643792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$B148*('Updated Population'!C$147/'Updated Population'!$B$147)*('Total Duration Tables Sup #1'!C170/'Total Duration Tables Sup #1'!$B170)</f>
        <v>2.2901313015655154</v>
      </c>
      <c r="D148" s="4">
        <f ca="1">$B148*('Updated Population'!D$147/'Updated Population'!$B$147)*('Total Duration Tables Sup #1'!D170/'Total Duration Tables Sup #1'!$B170)</f>
        <v>2.2692277344486547</v>
      </c>
      <c r="E148" s="4">
        <f ca="1">$B148*('Updated Population'!E$147/'Updated Population'!$B$147)*('Total Duration Tables Sup #1'!E170/'Total Duration Tables Sup #1'!$B170)</f>
        <v>2.2284983822440911</v>
      </c>
      <c r="F148" s="4">
        <f ca="1">$B148*('Updated Population'!F$147/'Updated Population'!$B$147)*('Total Duration Tables Sup #1'!F170/'Total Duration Tables Sup #1'!$B170)</f>
        <v>2.1693660029426622</v>
      </c>
      <c r="G148" s="4">
        <f ca="1">$B148*('Updated Population'!G$147/'Updated Population'!$B$147)*('Total Duration Tables Sup #1'!G170/'Total Duration Tables Sup #1'!$B170)</f>
        <v>2.1029036784102213</v>
      </c>
      <c r="H148" s="4">
        <f ca="1">$B148*('Updated Population'!H$147/'Updated Population'!$B$147)*('Total Duration Tables Sup #1'!H170/'Total Duration Tables Sup #1'!$B170)</f>
        <v>2.0309414111694628</v>
      </c>
      <c r="I148" s="1">
        <f ca="1">$B148*('Updated Population'!I$147/'Updated Population'!$B$147)*('Total Duration Tables Sup #1'!I170/'Total Duration Tables Sup #1'!$B170)</f>
        <v>2.0037357328706924</v>
      </c>
      <c r="J148" s="1">
        <f ca="1">$B148*('Updated Population'!J$147/'Updated Population'!$B$147)*('Total Duration Tables Sup #1'!J170/'Total Duration Tables Sup #1'!$B170)</f>
        <v>1.9706016951576262</v>
      </c>
      <c r="K148" s="1">
        <f ca="1">$B148*('Updated Population'!K$147/'Updated Population'!$B$147)*('Total Duration Tables Sup #1'!K170/'Total Duration Tables Sup #1'!$B170)</f>
        <v>1.9338506456354208</v>
      </c>
    </row>
    <row r="149" spans="1:11" x14ac:dyDescent="0.25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$B149*('Updated Population'!C$147/'Updated Population'!$B$147)*('Total Duration Tables Sup #1'!C171/'Total Duration Tables Sup #1'!$B171)</f>
        <v>0.52067139235431836</v>
      </c>
      <c r="D149" s="4">
        <f ca="1">$B149*('Updated Population'!D$147/'Updated Population'!$B$147)*('Total Duration Tables Sup #1'!D171/'Total Duration Tables Sup #1'!$B171)</f>
        <v>0.51775809791871641</v>
      </c>
      <c r="E149" s="4">
        <f ca="1">$B149*('Updated Population'!E$147/'Updated Population'!$B$147)*('Total Duration Tables Sup #1'!E171/'Total Duration Tables Sup #1'!$B171)</f>
        <v>0.50792929759999328</v>
      </c>
      <c r="F149" s="4">
        <f ca="1">$B149*('Updated Population'!F$147/'Updated Population'!$B$147)*('Total Duration Tables Sup #1'!F171/'Total Duration Tables Sup #1'!$B171)</f>
        <v>0.50250857559159012</v>
      </c>
      <c r="G149" s="4">
        <f ca="1">$B149*('Updated Population'!G$147/'Updated Population'!$B$147)*('Total Duration Tables Sup #1'!G171/'Total Duration Tables Sup #1'!$B171)</f>
        <v>0.50199862015722985</v>
      </c>
      <c r="H149" s="4">
        <f ca="1">$B149*('Updated Population'!H$147/'Updated Population'!$B$147)*('Total Duration Tables Sup #1'!H171/'Total Duration Tables Sup #1'!$B171)</f>
        <v>0.50149264076409217</v>
      </c>
      <c r="I149" s="1">
        <f ca="1">$B149*('Updated Population'!I$147/'Updated Population'!$B$147)*('Total Duration Tables Sup #1'!I171/'Total Duration Tables Sup #1'!$B171)</f>
        <v>0.49477484606120486</v>
      </c>
      <c r="J149" s="1">
        <f ca="1">$B149*('Updated Population'!J$147/'Updated Population'!$B$147)*('Total Duration Tables Sup #1'!J171/'Total Duration Tables Sup #1'!$B171)</f>
        <v>0.48659318410851748</v>
      </c>
      <c r="K149" s="1">
        <f ca="1">$B149*('Updated Population'!K$147/'Updated Population'!$B$147)*('Total Duration Tables Sup #1'!K171/'Total Duration Tables Sup #1'!$B171)</f>
        <v>0.47751838718213535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$B150*('Updated Population'!C$147/'Updated Population'!$B$147)*('Total Duration Tables Sup #1'!C172/'Total Duration Tables Sup #1'!$B172)</f>
        <v>15.372496471771607</v>
      </c>
      <c r="D150" s="4">
        <f ca="1">$B150*('Updated Population'!D$147/'Updated Population'!$B$147)*('Total Duration Tables Sup #1'!D172/'Total Duration Tables Sup #1'!$B172)</f>
        <v>15.54358595273915</v>
      </c>
      <c r="E150" s="4">
        <f ca="1">$B150*('Updated Population'!E$147/'Updated Population'!$B$147)*('Total Duration Tables Sup #1'!E172/'Total Duration Tables Sup #1'!$B172)</f>
        <v>15.698176798436258</v>
      </c>
      <c r="F150" s="4">
        <f ca="1">$B150*('Updated Population'!F$147/'Updated Population'!$B$147)*('Total Duration Tables Sup #1'!F172/'Total Duration Tables Sup #1'!$B172)</f>
        <v>15.780476317647622</v>
      </c>
      <c r="G150" s="4">
        <f ca="1">$B150*('Updated Population'!G$147/'Updated Population'!$B$147)*('Total Duration Tables Sup #1'!G172/'Total Duration Tables Sup #1'!$B172)</f>
        <v>15.695779171459726</v>
      </c>
      <c r="H150" s="4">
        <f ca="1">$B150*('Updated Population'!H$147/'Updated Population'!$B$147)*('Total Duration Tables Sup #1'!H172/'Total Duration Tables Sup #1'!$B172)</f>
        <v>15.535440000940712</v>
      </c>
      <c r="I150" s="1">
        <f ca="1">$B150*('Updated Population'!I$147/'Updated Population'!$B$147)*('Total Duration Tables Sup #1'!I172/'Total Duration Tables Sup #1'!$B172)</f>
        <v>15.327333464449303</v>
      </c>
      <c r="J150" s="1">
        <f ca="1">$B150*('Updated Population'!J$147/'Updated Population'!$B$147)*('Total Duration Tables Sup #1'!J172/'Total Duration Tables Sup #1'!$B172)</f>
        <v>15.073878661642443</v>
      </c>
      <c r="K150" s="1">
        <f ca="1">$B150*('Updated Population'!K$147/'Updated Population'!$B$147)*('Total Duration Tables Sup #1'!K172/'Total Duration Tables Sup #1'!$B172)</f>
        <v>14.792755965692756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$B151*('Updated Population'!C$147/'Updated Population'!$B$147)*('Total Duration Tables Sup #1'!C173/'Total Duration Tables Sup #1'!$B173)</f>
        <v>7.6379541042876316</v>
      </c>
      <c r="D151" s="4">
        <f ca="1">$B151*('Updated Population'!D$147/'Updated Population'!$B$147)*('Total Duration Tables Sup #1'!D173/'Total Duration Tables Sup #1'!$B173)</f>
        <v>7.5317985575836213</v>
      </c>
      <c r="E151" s="4">
        <f ca="1">$B151*('Updated Population'!E$147/'Updated Population'!$B$147)*('Total Duration Tables Sup #1'!E173/'Total Duration Tables Sup #1'!$B173)</f>
        <v>7.4232727530051381</v>
      </c>
      <c r="F151" s="4">
        <f ca="1">$B151*('Updated Population'!F$147/'Updated Population'!$B$147)*('Total Duration Tables Sup #1'!F173/'Total Duration Tables Sup #1'!$B173)</f>
        <v>7.2765550770355301</v>
      </c>
      <c r="G151" s="4">
        <f ca="1">$B151*('Updated Population'!G$147/'Updated Population'!$B$147)*('Total Duration Tables Sup #1'!G173/'Total Duration Tables Sup #1'!$B173)</f>
        <v>7.0875573682597182</v>
      </c>
      <c r="H151" s="4">
        <f ca="1">$B151*('Updated Population'!H$147/'Updated Population'!$B$147)*('Total Duration Tables Sup #1'!H173/'Total Duration Tables Sup #1'!$B173)</f>
        <v>6.8705138081746595</v>
      </c>
      <c r="I151" s="1">
        <f ca="1">$B151*('Updated Population'!I$147/'Updated Population'!$B$147)*('Total Duration Tables Sup #1'!I173/'Total Duration Tables Sup #1'!$B173)</f>
        <v>6.7784791549914196</v>
      </c>
      <c r="J151" s="1">
        <f ca="1">$B151*('Updated Population'!J$147/'Updated Population'!$B$147)*('Total Duration Tables Sup #1'!J173/'Total Duration Tables Sup #1'!$B173)</f>
        <v>6.6663893318304872</v>
      </c>
      <c r="K151" s="1">
        <f ca="1">$B151*('Updated Population'!K$147/'Updated Population'!$B$147)*('Total Duration Tables Sup #1'!K173/'Total Duration Tables Sup #1'!$B173)</f>
        <v>6.5420634444274484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$B152*('Updated Population'!C$147/'Updated Population'!$B$147)*('Total Duration Tables Sup #1'!C174/'Total Duration Tables Sup #1'!$B174)</f>
        <v>7.3138538921649107E-2</v>
      </c>
      <c r="D152" s="4">
        <f ca="1">$B152*('Updated Population'!D$147/'Updated Population'!$B$147)*('Total Duration Tables Sup #1'!D174/'Total Duration Tables Sup #1'!$B174)</f>
        <v>7.724449262171279E-2</v>
      </c>
      <c r="E152" s="4">
        <f ca="1">$B152*('Updated Population'!E$147/'Updated Population'!$B$147)*('Total Duration Tables Sup #1'!E174/'Total Duration Tables Sup #1'!$B174)</f>
        <v>8.040664358273536E-2</v>
      </c>
      <c r="F152" s="4">
        <f ca="1">$B152*('Updated Population'!F$147/'Updated Population'!$B$147)*('Total Duration Tables Sup #1'!F174/'Total Duration Tables Sup #1'!$B174)</f>
        <v>8.2605256500989668E-2</v>
      </c>
      <c r="G152" s="4">
        <f ca="1">$B152*('Updated Population'!G$147/'Updated Population'!$B$147)*('Total Duration Tables Sup #1'!G174/'Total Duration Tables Sup #1'!$B174)</f>
        <v>8.3175176747552121E-2</v>
      </c>
      <c r="H152" s="4">
        <f ca="1">$B152*('Updated Population'!H$147/'Updated Population'!$B$147)*('Total Duration Tables Sup #1'!H174/'Total Duration Tables Sup #1'!$B174)</f>
        <v>8.3314966096653342E-2</v>
      </c>
      <c r="I152" s="1">
        <f ca="1">$B152*('Updated Population'!I$147/'Updated Population'!$B$147)*('Total Duration Tables Sup #1'!I174/'Total Duration Tables Sup #1'!$B174)</f>
        <v>8.219891215603603E-2</v>
      </c>
      <c r="J152" s="1">
        <f ca="1">$B152*('Updated Population'!J$147/'Updated Population'!$B$147)*('Total Duration Tables Sup #1'!J174/'Total Duration Tables Sup #1'!$B174)</f>
        <v>8.083966012959784E-2</v>
      </c>
      <c r="K152" s="1">
        <f ca="1">$B152*('Updated Population'!K$147/'Updated Population'!$B$147)*('Total Duration Tables Sup #1'!K174/'Total Duration Tables Sup #1'!$B174)</f>
        <v>7.9332028039317201E-2</v>
      </c>
    </row>
    <row r="153" spans="1:11" x14ac:dyDescent="0.25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$B153*('Updated Population'!C$147/'Updated Population'!$B$147)*('Total Duration Tables Sup #1'!C175/'Total Duration Tables Sup #1'!$B175)</f>
        <v>0.26957674034852824</v>
      </c>
      <c r="D153" s="4">
        <f ca="1">$B153*('Updated Population'!D$147/'Updated Population'!$B$147)*('Total Duration Tables Sup #1'!D175/'Total Duration Tables Sup #1'!$B175)</f>
        <v>0.26880942445647549</v>
      </c>
      <c r="E153" s="4">
        <f ca="1">$B153*('Updated Population'!E$147/'Updated Population'!$B$147)*('Total Duration Tables Sup #1'!E175/'Total Duration Tables Sup #1'!$B175)</f>
        <v>0.26648480993019108</v>
      </c>
      <c r="F153" s="4">
        <f ca="1">$B153*('Updated Population'!F$147/'Updated Population'!$B$147)*('Total Duration Tables Sup #1'!F175/'Total Duration Tables Sup #1'!$B175)</f>
        <v>0.26310096083564616</v>
      </c>
      <c r="G153" s="4">
        <f ca="1">$B153*('Updated Population'!G$147/'Updated Population'!$B$147)*('Total Duration Tables Sup #1'!G175/'Total Duration Tables Sup #1'!$B175)</f>
        <v>0.25589605803145166</v>
      </c>
      <c r="H153" s="4">
        <f ca="1">$B153*('Updated Population'!H$147/'Updated Population'!$B$147)*('Total Duration Tables Sup #1'!H175/'Total Duration Tables Sup #1'!$B175)</f>
        <v>0.24751018422785678</v>
      </c>
      <c r="I153" s="1">
        <f ca="1">$B153*('Updated Population'!I$147/'Updated Population'!$B$147)*('Total Duration Tables Sup #1'!I175/'Total Duration Tables Sup #1'!$B175)</f>
        <v>0.2441946368611333</v>
      </c>
      <c r="J153" s="1">
        <f ca="1">$B153*('Updated Population'!J$147/'Updated Population'!$B$147)*('Total Duration Tables Sup #1'!J175/'Total Duration Tables Sup #1'!$B175)</f>
        <v>0.24015660221696733</v>
      </c>
      <c r="K153" s="1">
        <f ca="1">$B153*('Updated Population'!K$147/'Updated Population'!$B$147)*('Total Duration Tables Sup #1'!K175/'Total Duration Tables Sup #1'!$B175)</f>
        <v>0.23567776349331829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Duration Tables Sup #1'!C176/'Total Duration Tables Sup #1'!$B176)</f>
        <v>0</v>
      </c>
      <c r="D154" s="4">
        <f ca="1">$B154*('Updated Population'!D$147/'Updated Population'!$B$147)*('Total Duration Tables Sup #1'!D176/'Total Duration Tables Sup #1'!$B176)</f>
        <v>0</v>
      </c>
      <c r="E154" s="4">
        <f ca="1">$B154*('Updated Population'!E$147/'Updated Population'!$B$147)*('Total Duration Tables Sup #1'!E176/'Total Duration Tables Sup #1'!$B176)</f>
        <v>0</v>
      </c>
      <c r="F154" s="4">
        <f ca="1">$B154*('Updated Population'!F$147/'Updated Population'!$B$147)*('Total Duration Tables Sup #1'!F176/'Total Duration Tables Sup #1'!$B176)</f>
        <v>0</v>
      </c>
      <c r="G154" s="4">
        <f ca="1">$B154*('Updated Population'!G$147/'Updated Population'!$B$147)*('Total Duration Tables Sup #1'!G176/'Total Duration Tables Sup #1'!$B176)</f>
        <v>0</v>
      </c>
      <c r="H154" s="4">
        <f ca="1">$B154*('Updated Population'!H$147/'Updated Population'!$B$147)*('Total Duration Tables Sup #1'!H176/'Total Duration Tables Sup #1'!$B176)</f>
        <v>0</v>
      </c>
      <c r="I154" s="1">
        <f ca="1">$B154*('Updated Population'!I$147/'Updated Population'!$B$147)*('Total Duration Tables Sup #1'!I176/'Total Duration Tables Sup #1'!$B176)</f>
        <v>0</v>
      </c>
      <c r="J154" s="1">
        <f ca="1">$B154*('Updated Population'!J$147/'Updated Population'!$B$147)*('Total Duration Tables Sup #1'!J176/'Total Duration Tables Sup #1'!$B176)</f>
        <v>0</v>
      </c>
      <c r="K154" s="1">
        <f ca="1">$B154*('Updated Population'!K$147/'Updated Population'!$B$147)*('Total Duration Tables Sup #1'!K176/'Total Duration Tables Sup #1'!$B176)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$B155*('Updated Population'!C$147/'Updated Population'!$B$147)*('Total Duration Tables Sup #1'!C177/'Total Duration Tables Sup #1'!$B177)</f>
        <v>1.1475404914791425</v>
      </c>
      <c r="D155" s="4">
        <f ca="1">$B155*('Updated Population'!D$147/'Updated Population'!$B$147)*('Total Duration Tables Sup #1'!D177/'Total Duration Tables Sup #1'!$B177)</f>
        <v>1.0852534575575106</v>
      </c>
      <c r="E155" s="4">
        <f ca="1">$B155*('Updated Population'!E$147/'Updated Population'!$B$147)*('Total Duration Tables Sup #1'!E177/'Total Duration Tables Sup #1'!$B177)</f>
        <v>1.0410891478033373</v>
      </c>
      <c r="F155" s="4">
        <f ca="1">$B155*('Updated Population'!F$147/'Updated Population'!$B$147)*('Total Duration Tables Sup #1'!F177/'Total Duration Tables Sup #1'!$B177)</f>
        <v>0.98711936625478736</v>
      </c>
      <c r="G155" s="4">
        <f ca="1">$B155*('Updated Population'!G$147/'Updated Population'!$B$147)*('Total Duration Tables Sup #1'!G177/'Total Duration Tables Sup #1'!$B177)</f>
        <v>0.94141590729055757</v>
      </c>
      <c r="H155" s="4">
        <f ca="1">$B155*('Updated Population'!H$147/'Updated Population'!$B$147)*('Total Duration Tables Sup #1'!H177/'Total Duration Tables Sup #1'!$B177)</f>
        <v>0.89408797099586179</v>
      </c>
      <c r="I155" s="1">
        <f ca="1">$B155*('Updated Population'!I$147/'Updated Population'!$B$147)*('Total Duration Tables Sup #1'!I177/'Total Duration Tables Sup #1'!$B177)</f>
        <v>0.88211112637792299</v>
      </c>
      <c r="J155" s="1">
        <f ca="1">$B155*('Updated Population'!J$147/'Updated Population'!$B$147)*('Total Duration Tables Sup #1'!J177/'Total Duration Tables Sup #1'!$B177)</f>
        <v>0.86752442073154146</v>
      </c>
      <c r="K155" s="1">
        <f ca="1">$B155*('Updated Population'!K$147/'Updated Population'!$B$147)*('Total Duration Tables Sup #1'!K177/'Total Duration Tables Sup #1'!$B177)</f>
        <v>0.85134538616236777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Duration Tables Sup #1'!C178/'Total Duration Tables Sup #1'!$B178)</f>
        <v>0</v>
      </c>
      <c r="D156" s="4">
        <f ca="1">$B156*('Updated Population'!D$147/'Updated Population'!$B$147)*('Total Duration Tables Sup #1'!D178/'Total Duration Tables Sup #1'!$B178)</f>
        <v>0</v>
      </c>
      <c r="E156" s="4">
        <f ca="1">$B156*('Updated Population'!E$147/'Updated Population'!$B$147)*('Total Duration Tables Sup #1'!E178/'Total Duration Tables Sup #1'!$B178)</f>
        <v>0</v>
      </c>
      <c r="F156" s="4">
        <f ca="1">$B156*('Updated Population'!F$147/'Updated Population'!$B$147)*('Total Duration Tables Sup #1'!F178/'Total Duration Tables Sup #1'!$B178)</f>
        <v>0</v>
      </c>
      <c r="G156" s="4">
        <f ca="1">$B156*('Updated Population'!G$147/'Updated Population'!$B$147)*('Total Duration Tables Sup #1'!G178/'Total Duration Tables Sup #1'!$B178)</f>
        <v>0</v>
      </c>
      <c r="H156" s="4">
        <f ca="1">$B156*('Updated Population'!H$147/'Updated Population'!$B$147)*('Total Duration Tables Sup #1'!H178/'Total Duration Tables Sup #1'!$B178)</f>
        <v>0</v>
      </c>
      <c r="I156" s="1">
        <f ca="1">$B156*('Updated Population'!I$147/'Updated Population'!$B$147)*('Total Duration Tables Sup #1'!I178/'Total Duration Tables Sup #1'!$B178)</f>
        <v>0</v>
      </c>
      <c r="J156" s="1">
        <f ca="1">$B156*('Updated Population'!J$147/'Updated Population'!$B$147)*('Total Duration Tables Sup #1'!J178/'Total Duration Tables Sup #1'!$B178)</f>
        <v>0</v>
      </c>
      <c r="K156" s="1">
        <f ca="1">$B156*('Updated Population'!K$147/'Updated Population'!$B$147)*('Total Duration Tables Sup #1'!K178/'Total Duration Tables Sup #1'!$B178)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$B157*('Updated Population'!C$147/'Updated Population'!$B$147)*('Total Duration Tables Sup #1'!C179/'Total Duration Tables Sup #1'!$B179)</f>
        <v>8.9785358476834859E-2</v>
      </c>
      <c r="D157" s="4">
        <f ca="1">$B157*('Updated Population'!D$147/'Updated Population'!$B$147)*('Total Duration Tables Sup #1'!D179/'Total Duration Tables Sup #1'!$B179)</f>
        <v>9.1724100287536248E-2</v>
      </c>
      <c r="E157" s="4">
        <f ca="1">$B157*('Updated Population'!E$147/'Updated Population'!$B$147)*('Total Duration Tables Sup #1'!E179/'Total Duration Tables Sup #1'!$B179)</f>
        <v>9.1626084813904163E-2</v>
      </c>
      <c r="F157" s="4">
        <f ca="1">$B157*('Updated Population'!F$147/'Updated Population'!$B$147)*('Total Duration Tables Sup #1'!F179/'Total Duration Tables Sup #1'!$B179)</f>
        <v>9.0823799907884695E-2</v>
      </c>
      <c r="G157" s="4">
        <f ca="1">$B157*('Updated Population'!G$147/'Updated Population'!$B$147)*('Total Duration Tables Sup #1'!G179/'Total Duration Tables Sup #1'!$B179)</f>
        <v>9.0260838563226004E-2</v>
      </c>
      <c r="H157" s="4">
        <f ca="1">$B157*('Updated Population'!H$147/'Updated Population'!$B$147)*('Total Duration Tables Sup #1'!H179/'Total Duration Tables Sup #1'!$B179)</f>
        <v>8.9027655679419671E-2</v>
      </c>
      <c r="I157" s="1">
        <f ca="1">$B157*('Updated Population'!I$147/'Updated Population'!$B$147)*('Total Duration Tables Sup #1'!I179/'Total Duration Tables Sup #1'!$B179)</f>
        <v>8.7835076835545811E-2</v>
      </c>
      <c r="J157" s="1">
        <f ca="1">$B157*('Updated Population'!J$147/'Updated Population'!$B$147)*('Total Duration Tables Sup #1'!J179/'Total Duration Tables Sup #1'!$B179)</f>
        <v>8.6382624448409176E-2</v>
      </c>
      <c r="K157" s="1">
        <f ca="1">$B157*('Updated Population'!K$147/'Updated Population'!$B$147)*('Total Duration Tables Sup #1'!K179/'Total Duration Tables Sup #1'!$B179)</f>
        <v>8.4771617964063475E-2</v>
      </c>
    </row>
    <row r="158" spans="1:11" x14ac:dyDescent="0.25">
      <c r="A158" t="s">
        <v>19</v>
      </c>
      <c r="I158" s="1"/>
      <c r="J158" s="1"/>
      <c r="K158" s="1"/>
    </row>
    <row r="159" spans="1:11" x14ac:dyDescent="0.25">
      <c r="A159" t="str">
        <f t="shared" ref="A159:A165" ca="1" si="0">A5</f>
        <v>Pedestrian</v>
      </c>
      <c r="B159" s="4">
        <f t="shared" ref="B159:H164" ca="1" si="1">B5+B16+B27+B38+B49+B60+B71+B82+B93+B104+B115+B126+B137+B148</f>
        <v>205.0143830817</v>
      </c>
      <c r="C159" s="4">
        <f t="shared" ca="1" si="1"/>
        <v>221.08474366357632</v>
      </c>
      <c r="D159" s="4">
        <f t="shared" ca="1" si="1"/>
        <v>230.44228706866201</v>
      </c>
      <c r="E159" s="4">
        <f t="shared" ca="1" si="1"/>
        <v>235.49641614514414</v>
      </c>
      <c r="F159" s="4">
        <f t="shared" ca="1" si="1"/>
        <v>238.18607497139038</v>
      </c>
      <c r="G159" s="4">
        <f t="shared" ca="1" si="1"/>
        <v>239.7370720040137</v>
      </c>
      <c r="H159" s="4">
        <f t="shared" ca="1" si="1"/>
        <v>240.27890933068275</v>
      </c>
      <c r="I159" s="1">
        <f t="shared" ref="I159:K159" ca="1" si="2">I5+I16+I27+I38+I49+I60+I71+I82+I93+I104+I115+I126+I137+I148</f>
        <v>246.09258552283583</v>
      </c>
      <c r="J159" s="1">
        <f t="shared" ca="1" si="2"/>
        <v>251.32355782063286</v>
      </c>
      <c r="K159" s="1">
        <f t="shared" ca="1" si="2"/>
        <v>256.1940070964323</v>
      </c>
    </row>
    <row r="160" spans="1:11" x14ac:dyDescent="0.25">
      <c r="A160" t="str">
        <f t="shared" ca="1" si="0"/>
        <v>Cyclist</v>
      </c>
      <c r="B160" s="4">
        <f t="shared" ca="1" si="1"/>
        <v>24.928098629399997</v>
      </c>
      <c r="C160" s="4">
        <f t="shared" ca="1" si="1"/>
        <v>27.177333179565444</v>
      </c>
      <c r="D160" s="4">
        <f t="shared" ca="1" si="1"/>
        <v>28.241407159004858</v>
      </c>
      <c r="E160" s="4">
        <f t="shared" ca="1" si="1"/>
        <v>28.662541475821495</v>
      </c>
      <c r="F160" s="4">
        <f t="shared" ca="1" si="1"/>
        <v>29.30558771868014</v>
      </c>
      <c r="G160" s="4">
        <f t="shared" ca="1" si="1"/>
        <v>30.249486117491809</v>
      </c>
      <c r="H160" s="4">
        <f t="shared" ca="1" si="1"/>
        <v>31.213254560356397</v>
      </c>
      <c r="I160" s="1">
        <f t="shared" ref="I160:K160" ca="1" si="3">I6+I17+I28+I39+I50+I61+I72+I83+I94+I105+I116+I127+I138+I149</f>
        <v>31.816907834734366</v>
      </c>
      <c r="J160" s="1">
        <f t="shared" ca="1" si="3"/>
        <v>32.337662884755275</v>
      </c>
      <c r="K160" s="1">
        <f t="shared" ca="1" si="3"/>
        <v>32.805060703950268</v>
      </c>
    </row>
    <row r="161" spans="1:20" x14ac:dyDescent="0.25">
      <c r="A161" t="str">
        <f t="shared" ca="1" si="0"/>
        <v>Light Vehicle Driver</v>
      </c>
      <c r="B161" s="4">
        <f t="shared" ca="1" si="1"/>
        <v>820.39837236829999</v>
      </c>
      <c r="C161" s="4">
        <f t="shared" ca="1" si="1"/>
        <v>917.25159851024432</v>
      </c>
      <c r="D161" s="4">
        <f t="shared" ca="1" si="1"/>
        <v>976.22703778351126</v>
      </c>
      <c r="E161" s="4">
        <f t="shared" ca="1" si="1"/>
        <v>1026.5057310447382</v>
      </c>
      <c r="F161" s="4">
        <f t="shared" ca="1" si="1"/>
        <v>1072.5824302075166</v>
      </c>
      <c r="G161" s="4">
        <f t="shared" ca="1" si="1"/>
        <v>1108.1388361254001</v>
      </c>
      <c r="H161" s="4">
        <f t="shared" ca="1" si="1"/>
        <v>1138.7173155881355</v>
      </c>
      <c r="I161" s="1">
        <f t="shared" ref="I161:K161" ca="1" si="4">I7+I18+I29+I40+I51+I62+I73+I84+I95+I106+I117+I128+I139+I150</f>
        <v>1166.7470826167073</v>
      </c>
      <c r="J161" s="1">
        <f t="shared" ca="1" si="4"/>
        <v>1192.0332249856247</v>
      </c>
      <c r="K161" s="1">
        <f t="shared" ca="1" si="4"/>
        <v>1215.6257808280905</v>
      </c>
    </row>
    <row r="162" spans="1:20" x14ac:dyDescent="0.25">
      <c r="A162" t="str">
        <f t="shared" ca="1" si="0"/>
        <v>Light Vehicle Passenger</v>
      </c>
      <c r="B162" s="4">
        <f t="shared" ca="1" si="1"/>
        <v>430.09037615619997</v>
      </c>
      <c r="C162" s="4">
        <f t="shared" ca="1" si="1"/>
        <v>459.06692124040529</v>
      </c>
      <c r="D162" s="4">
        <f t="shared" ca="1" si="1"/>
        <v>475.802067188406</v>
      </c>
      <c r="E162" s="4">
        <f t="shared" ca="1" si="1"/>
        <v>487.69952327304213</v>
      </c>
      <c r="F162" s="4">
        <f t="shared" ca="1" si="1"/>
        <v>496.38099305953682</v>
      </c>
      <c r="G162" s="4">
        <f t="shared" ca="1" si="1"/>
        <v>501.69413772583135</v>
      </c>
      <c r="H162" s="4">
        <f t="shared" ca="1" si="1"/>
        <v>504.40685573411463</v>
      </c>
      <c r="I162" s="1">
        <f t="shared" ref="I162:K162" ca="1" si="5">I8+I19+I30+I41+I52+I63+I74+I85+I96+I107+I118+I129+I140+I151</f>
        <v>516.3117942446097</v>
      </c>
      <c r="J162" s="1">
        <f t="shared" ca="1" si="5"/>
        <v>526.9824575003546</v>
      </c>
      <c r="K162" s="1">
        <f t="shared" ca="1" si="5"/>
        <v>536.88661650410882</v>
      </c>
    </row>
    <row r="163" spans="1:20" x14ac:dyDescent="0.25">
      <c r="A163" t="str">
        <f t="shared" ca="1" si="0"/>
        <v>Taxi/Vehicle Share</v>
      </c>
      <c r="B163" s="4">
        <f t="shared" ca="1" si="1"/>
        <v>4.6704390591000005</v>
      </c>
      <c r="C163" s="4">
        <f t="shared" ca="1" si="1"/>
        <v>5.4540525893627958</v>
      </c>
      <c r="D163" s="4">
        <f t="shared" ca="1" si="1"/>
        <v>6.0783276296390198</v>
      </c>
      <c r="E163" s="4">
        <f t="shared" ca="1" si="1"/>
        <v>6.5988493119132041</v>
      </c>
      <c r="F163" s="4">
        <f t="shared" ca="1" si="1"/>
        <v>7.0594089290393951</v>
      </c>
      <c r="G163" s="4">
        <f t="shared" ca="1" si="1"/>
        <v>7.3969008814974222</v>
      </c>
      <c r="H163" s="4">
        <f t="shared" ca="1" si="1"/>
        <v>7.7060572019882567</v>
      </c>
      <c r="I163" s="1">
        <f t="shared" ref="I163:K163" ca="1" si="6">I9+I20+I31+I42+I53+I64+I75+I86+I97+I108+I119+I130+I141+I152</f>
        <v>7.9097930140471151</v>
      </c>
      <c r="J163" s="1">
        <f t="shared" ca="1" si="6"/>
        <v>8.0955872367801458</v>
      </c>
      <c r="K163" s="1">
        <f t="shared" ca="1" si="6"/>
        <v>8.2704761056748239</v>
      </c>
    </row>
    <row r="164" spans="1:20" x14ac:dyDescent="0.25">
      <c r="A164" t="str">
        <f t="shared" ca="1" si="0"/>
        <v>Motorcyclist</v>
      </c>
      <c r="B164" s="4">
        <f t="shared" ca="1" si="1"/>
        <v>6.0136150244</v>
      </c>
      <c r="C164" s="4">
        <f t="shared" ca="1" si="1"/>
        <v>6.5378082192538987</v>
      </c>
      <c r="D164" s="4">
        <f t="shared" ca="1" si="1"/>
        <v>6.8122499510888268</v>
      </c>
      <c r="E164" s="4">
        <f t="shared" ca="1" si="1"/>
        <v>6.9924970215800606</v>
      </c>
      <c r="F164" s="4">
        <f t="shared" ca="1" si="1"/>
        <v>7.137785780640983</v>
      </c>
      <c r="G164" s="4">
        <f t="shared" ca="1" si="1"/>
        <v>7.173900440226765</v>
      </c>
      <c r="H164" s="4">
        <f t="shared" ca="1" si="1"/>
        <v>7.1668699723789997</v>
      </c>
      <c r="I164" s="1">
        <f t="shared" ref="I164:K164" ca="1" si="7">I10+I21+I32+I43+I54+I65+I76+I87+I98+I109+I120+I131+I142+I153</f>
        <v>7.3055921173141041</v>
      </c>
      <c r="J164" s="1">
        <f t="shared" ca="1" si="7"/>
        <v>7.4256563591079887</v>
      </c>
      <c r="K164" s="1">
        <f t="shared" ca="1" si="7"/>
        <v>7.5338693315310117</v>
      </c>
    </row>
    <row r="165" spans="1:20" x14ac:dyDescent="0.25">
      <c r="A165" t="str">
        <f t="shared" ca="1" si="0"/>
        <v>Local Train</v>
      </c>
      <c r="B165" s="4">
        <f t="shared" ref="B165:H165" ca="1" si="8">B22+B99</f>
        <v>9.8112189659999984</v>
      </c>
      <c r="C165" s="4">
        <f t="shared" ca="1" si="8"/>
        <v>10.6425954305</v>
      </c>
      <c r="D165" s="4">
        <f t="shared" ca="1" si="8"/>
        <v>11.1797748346</v>
      </c>
      <c r="E165" s="4">
        <f t="shared" ca="1" si="8"/>
        <v>11.5414188155</v>
      </c>
      <c r="F165" s="4">
        <f t="shared" ca="1" si="8"/>
        <v>11.7321250044</v>
      </c>
      <c r="G165" s="4">
        <f t="shared" ca="1" si="8"/>
        <v>11.8727065043</v>
      </c>
      <c r="H165" s="4">
        <f t="shared" ca="1" si="8"/>
        <v>11.9340561068</v>
      </c>
      <c r="I165" s="1">
        <f t="shared" ref="I165:K165" ca="1" si="9">I22+I99</f>
        <v>12.22296729224297</v>
      </c>
      <c r="J165" s="1">
        <f t="shared" ca="1" si="9"/>
        <v>12.482951154822711</v>
      </c>
      <c r="K165" s="1">
        <f t="shared" ca="1" si="9"/>
        <v>12.725072778884288</v>
      </c>
    </row>
    <row r="166" spans="1:20" x14ac:dyDescent="0.25">
      <c r="A166" t="s">
        <v>16</v>
      </c>
      <c r="B166" s="4">
        <f t="shared" ref="B166:H166" ca="1" si="10">B12+B34+B45+B56+B67+B78+B89+B111+B122+B144+B155</f>
        <v>14.151701071899998</v>
      </c>
      <c r="C166" s="4">
        <f t="shared" ca="1" si="10"/>
        <v>13.776735446721151</v>
      </c>
      <c r="D166" s="4">
        <f t="shared" ca="1" si="10"/>
        <v>13.379244645540515</v>
      </c>
      <c r="E166" s="4">
        <f t="shared" ca="1" si="10"/>
        <v>13.105408174969451</v>
      </c>
      <c r="F166" s="4">
        <f t="shared" ca="1" si="10"/>
        <v>12.670938100119358</v>
      </c>
      <c r="G166" s="4">
        <f t="shared" ca="1" si="10"/>
        <v>12.318845706856983</v>
      </c>
      <c r="H166" s="4">
        <f t="shared" ca="1" si="10"/>
        <v>11.923706726981049</v>
      </c>
      <c r="I166" s="1">
        <f t="shared" ref="I166:K166" ca="1" si="11">I12+I34+I45+I56+I67+I78+I89+I111+I122+I144+I155</f>
        <v>11.991088071230987</v>
      </c>
      <c r="J166" s="1">
        <f t="shared" ca="1" si="11"/>
        <v>12.022165292529248</v>
      </c>
      <c r="K166" s="1">
        <f t="shared" ca="1" si="11"/>
        <v>12.029113315715863</v>
      </c>
    </row>
    <row r="167" spans="1:20" x14ac:dyDescent="0.25">
      <c r="A167" t="str">
        <f ca="1">A13</f>
        <v>Local Ferry</v>
      </c>
      <c r="B167" s="4">
        <f t="shared" ref="B167:H168" ca="1" si="12">B13+B24+B35+B46+B57+B68+B79+B90+B101+B112+B123+B134+B145+B156</f>
        <v>1.3964695746999998</v>
      </c>
      <c r="C167" s="4">
        <f t="shared" ca="1" si="12"/>
        <v>1.6868400832165678</v>
      </c>
      <c r="D167" s="4">
        <f t="shared" ca="1" si="12"/>
        <v>1.9090723598791366</v>
      </c>
      <c r="E167" s="4">
        <f t="shared" ca="1" si="12"/>
        <v>2.0738257129024933</v>
      </c>
      <c r="F167" s="4">
        <f t="shared" ca="1" si="12"/>
        <v>2.2113394539929847</v>
      </c>
      <c r="G167" s="4">
        <f t="shared" ca="1" si="12"/>
        <v>2.3845634944786722</v>
      </c>
      <c r="H167" s="4">
        <f t="shared" ca="1" si="12"/>
        <v>2.541368677841473</v>
      </c>
      <c r="I167" s="1">
        <f t="shared" ref="I167:K167" ca="1" si="13">I13+I24+I35+I46+I57+I68+I79+I90+I101+I112+I123+I134+I145+I156</f>
        <v>2.6423709505012121</v>
      </c>
      <c r="J167" s="1">
        <f t="shared" ca="1" si="13"/>
        <v>2.7388876076144917</v>
      </c>
      <c r="K167" s="1">
        <f t="shared" ca="1" si="13"/>
        <v>2.8330752004148194</v>
      </c>
    </row>
    <row r="168" spans="1:20" x14ac:dyDescent="0.25">
      <c r="A168" t="str">
        <f ca="1">A14</f>
        <v>Other Household Travel</v>
      </c>
      <c r="B168" s="4">
        <f t="shared" ca="1" si="12"/>
        <v>5.6740244923000009</v>
      </c>
      <c r="C168" s="4">
        <f t="shared" ca="1" si="12"/>
        <v>6.397912330643015</v>
      </c>
      <c r="D168" s="4">
        <f t="shared" ca="1" si="12"/>
        <v>6.9164322175227175</v>
      </c>
      <c r="E168" s="4">
        <f t="shared" ca="1" si="12"/>
        <v>7.2215896045173524</v>
      </c>
      <c r="F168" s="4">
        <f t="shared" ca="1" si="12"/>
        <v>7.4682044773779719</v>
      </c>
      <c r="G168" s="4">
        <f t="shared" ca="1" si="12"/>
        <v>7.7360618463002471</v>
      </c>
      <c r="H168" s="4">
        <f t="shared" ca="1" si="12"/>
        <v>7.9476225975546555</v>
      </c>
      <c r="I168" s="1">
        <f t="shared" ref="I168:K168" ca="1" si="14">I14+I25+I36+I47+I58+I69+I80+I91+I102+I113+I124+I135+I146+I157</f>
        <v>8.1694133279722312</v>
      </c>
      <c r="J168" s="1">
        <f t="shared" ca="1" si="14"/>
        <v>8.3729253279009299</v>
      </c>
      <c r="K168" s="1">
        <f t="shared" ca="1" si="14"/>
        <v>8.5653491547887839</v>
      </c>
    </row>
    <row r="169" spans="1:20" x14ac:dyDescent="0.25">
      <c r="A169" s="59" t="s">
        <v>114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115</v>
      </c>
      <c r="N169" s="59"/>
      <c r="O169" s="59"/>
      <c r="P169" s="59"/>
      <c r="Q169" s="59"/>
      <c r="R169" s="59"/>
      <c r="S169" s="59"/>
      <c r="T169" s="59"/>
    </row>
    <row r="170" spans="1:20" x14ac:dyDescent="0.25">
      <c r="A170" s="59" t="str">
        <f t="shared" ref="A170:A179" ca="1" si="15">A16</f>
        <v>Pedestrian</v>
      </c>
      <c r="B170" s="60">
        <f ca="1">B181*1000000/'Original Population'!B$158</f>
        <v>46.157777170771794</v>
      </c>
      <c r="C170" s="60">
        <f ca="1">(C181*1000000/'Original Population'!C$158)</f>
        <v>45.407781639122817</v>
      </c>
      <c r="D170" s="60">
        <f ca="1">(D181*1000000/'Original Population'!D$158)</f>
        <v>44.588779013378868</v>
      </c>
      <c r="E170" s="60">
        <f ca="1">(E181*1000000/'Original Population'!E$158)</f>
        <v>43.570838434837455</v>
      </c>
      <c r="F170" s="60">
        <f ca="1">(F181*1000000/'Original Population'!F$158)</f>
        <v>42.414702372393641</v>
      </c>
      <c r="G170" s="60">
        <f ca="1">(G181*1000000/'Original Population'!G$158)</f>
        <v>41.361945249299822</v>
      </c>
      <c r="H170" s="60">
        <f ca="1">(H181*1000000/'Original Population'!H$158)</f>
        <v>40.35002193393985</v>
      </c>
      <c r="I170" s="60">
        <f ca="1">H170</f>
        <v>40.35002193393985</v>
      </c>
      <c r="J170" s="60">
        <f t="shared" ref="J170:K170" ca="1" si="16">I170</f>
        <v>40.35002193393985</v>
      </c>
      <c r="K170" s="60">
        <f t="shared" ca="1" si="16"/>
        <v>40.35002193393985</v>
      </c>
      <c r="L170" s="60"/>
      <c r="M170" s="60">
        <f ca="1">B159*'Total Duration Tables Sup #2'!B159*1000000/'Updated Population'!B$158</f>
        <v>46.157777170771794</v>
      </c>
      <c r="N170" s="60">
        <f ca="1">C159*'Total Duration Tables Sup #2'!C159*1000000/'Updated Population'!C$158</f>
        <v>45.407781639122817</v>
      </c>
      <c r="O170" s="60">
        <f ca="1">D159*'Total Duration Tables Sup #2'!D159*1000000/'Updated Population'!D$158</f>
        <v>44.588779013378868</v>
      </c>
      <c r="P170" s="60">
        <f ca="1">E159*'Total Duration Tables Sup #2'!E159*1000000/'Updated Population'!E$158</f>
        <v>43.570838434837462</v>
      </c>
      <c r="Q170" s="60">
        <f ca="1">F159*'Total Duration Tables Sup #2'!F159*1000000/'Updated Population'!F$158</f>
        <v>42.414702372393641</v>
      </c>
      <c r="R170" s="60">
        <f ca="1">G159*'Total Duration Tables Sup #2'!G159*1000000/'Updated Population'!G$158</f>
        <v>41.361945249299829</v>
      </c>
      <c r="S170" s="60">
        <f ca="1">H159*'Total Duration Tables Sup #2'!H159*1000000/'Updated Population'!H$158</f>
        <v>40.35002193393985</v>
      </c>
      <c r="T170" s="59"/>
    </row>
    <row r="171" spans="1:20" x14ac:dyDescent="0.25">
      <c r="A171" s="59" t="str">
        <f t="shared" ca="1" si="15"/>
        <v>Cyclist</v>
      </c>
      <c r="B171" s="60">
        <f ca="1">B182*1000000/'Original Population'!B$158</f>
        <v>5.6124141366624629</v>
      </c>
      <c r="C171" s="60">
        <f ca="1">(C182*1000000/'Original Population'!C$158)</f>
        <v>5.6228281577070014</v>
      </c>
      <c r="D171" s="60">
        <f ca="1">(D182*1000000/'Original Population'!D$158)</f>
        <v>5.5410949134617331</v>
      </c>
      <c r="E171" s="60">
        <f ca="1">(E182*1000000/'Original Population'!E$158)</f>
        <v>5.4088887596312478</v>
      </c>
      <c r="F171" s="60">
        <f ca="1">(F182*1000000/'Original Population'!F$158)</f>
        <v>5.3511640281009392</v>
      </c>
      <c r="G171" s="60">
        <f ca="1">(G182*1000000/'Original Population'!G$158)</f>
        <v>5.3778079645909864</v>
      </c>
      <c r="H171" s="60">
        <f ca="1">(H182*1000000/'Original Population'!H$158)</f>
        <v>5.4266540519436761</v>
      </c>
      <c r="I171" s="60">
        <f t="shared" ref="I171:K179" ca="1" si="17">H171</f>
        <v>5.4266540519436761</v>
      </c>
      <c r="J171" s="60">
        <f t="shared" ca="1" si="17"/>
        <v>5.4266540519436761</v>
      </c>
      <c r="K171" s="60">
        <f t="shared" ca="1" si="17"/>
        <v>5.4266540519436761</v>
      </c>
      <c r="L171" s="60"/>
      <c r="M171" s="60">
        <f ca="1">B160*'Total Duration Tables Sup #2'!B160*1000000/'Updated Population'!B$158</f>
        <v>5.6124141366624629</v>
      </c>
      <c r="N171" s="60">
        <f ca="1">C160*'Total Duration Tables Sup #2'!C160*1000000/'Updated Population'!C$158</f>
        <v>5.6228281577070005</v>
      </c>
      <c r="O171" s="60">
        <f ca="1">D160*'Total Duration Tables Sup #2'!D160*1000000/'Updated Population'!D$158</f>
        <v>5.5410949134617322</v>
      </c>
      <c r="P171" s="60">
        <f ca="1">E160*'Total Duration Tables Sup #2'!E160*1000000/'Updated Population'!E$158</f>
        <v>5.4088887596312478</v>
      </c>
      <c r="Q171" s="60">
        <f ca="1">F160*'Total Duration Tables Sup #2'!F160*1000000/'Updated Population'!F$158</f>
        <v>5.3511640281009401</v>
      </c>
      <c r="R171" s="60">
        <f ca="1">G160*'Total Duration Tables Sup #2'!G160*1000000/'Updated Population'!G$158</f>
        <v>5.3778079645909864</v>
      </c>
      <c r="S171" s="60">
        <f ca="1">H160*'Total Duration Tables Sup #2'!H160*1000000/'Updated Population'!H$158</f>
        <v>5.4266540519436761</v>
      </c>
      <c r="T171" s="59"/>
    </row>
    <row r="172" spans="1:20" x14ac:dyDescent="0.25">
      <c r="A172" s="59" t="str">
        <f t="shared" ca="1" si="15"/>
        <v>Light Vehicle Driver</v>
      </c>
      <c r="B172" s="60">
        <f ca="1">B183*1000000/'Original Population'!B$158</f>
        <v>184.70784680482257</v>
      </c>
      <c r="C172" s="60">
        <f ca="1">C183*1000000/'Original Population'!C$158</f>
        <v>188.15850387604212</v>
      </c>
      <c r="D172" s="60">
        <f ca="1">D183*1000000/'Original Population'!D$158</f>
        <v>188.54206652666682</v>
      </c>
      <c r="E172" s="60">
        <f ca="1">E183*1000000/'Original Population'!E$158</f>
        <v>189.47082952296947</v>
      </c>
      <c r="F172" s="60">
        <f ca="1">F183*1000000/'Original Population'!F$158</f>
        <v>190.464152402087</v>
      </c>
      <c r="G172" s="60">
        <f ca="1">G183*1000000/'Original Population'!G$158</f>
        <v>190.57854245351541</v>
      </c>
      <c r="H172" s="60">
        <f ca="1">H183*1000000/'Original Population'!H$158</f>
        <v>190.53707095266728</v>
      </c>
      <c r="I172" s="60">
        <f t="shared" ca="1" si="17"/>
        <v>190.53707095266728</v>
      </c>
      <c r="J172" s="60">
        <f t="shared" ca="1" si="17"/>
        <v>190.53707095266728</v>
      </c>
      <c r="K172" s="60">
        <f t="shared" ca="1" si="17"/>
        <v>190.53707095266728</v>
      </c>
      <c r="L172" s="60"/>
      <c r="M172" s="60">
        <f ca="1">B161*'Total Duration Tables Sup #2'!B161*1000000/'Updated Population'!B$158</f>
        <v>184.70784680482257</v>
      </c>
      <c r="N172" s="60">
        <f ca="1">C161*'Total Duration Tables Sup #2'!C161*1000000/'Updated Population'!C$158</f>
        <v>188.15850387604212</v>
      </c>
      <c r="O172" s="60">
        <f ca="1">D161*'Total Duration Tables Sup #2'!D161*1000000/'Updated Population'!D$158</f>
        <v>188.54206652666682</v>
      </c>
      <c r="P172" s="60">
        <f ca="1">E161*'Total Duration Tables Sup #2'!E161*1000000/'Updated Population'!E$158</f>
        <v>189.47082952296947</v>
      </c>
      <c r="Q172" s="60">
        <f ca="1">F161*'Total Duration Tables Sup #2'!F161*1000000/'Updated Population'!F$158</f>
        <v>190.46415240208702</v>
      </c>
      <c r="R172" s="60">
        <f ca="1">G161*'Total Duration Tables Sup #2'!G161*1000000/'Updated Population'!G$158</f>
        <v>190.57854245351541</v>
      </c>
      <c r="S172" s="60">
        <f ca="1">H161*'Total Duration Tables Sup #2'!H161*1000000/'Updated Population'!H$158</f>
        <v>190.53707095266728</v>
      </c>
      <c r="T172" s="59"/>
    </row>
    <row r="173" spans="1:20" x14ac:dyDescent="0.25">
      <c r="A173" s="59" t="str">
        <f t="shared" ca="1" si="15"/>
        <v>Light Vehicle Passenger</v>
      </c>
      <c r="B173" s="60">
        <f ca="1">B184*1000000/'Original Population'!B$158</f>
        <v>96.832307311824565</v>
      </c>
      <c r="C173" s="60">
        <f ca="1">C184*1000000/'Original Population'!C$158</f>
        <v>94.351600068574683</v>
      </c>
      <c r="D173" s="60">
        <f ca="1">D184*1000000/'Original Population'!D$158</f>
        <v>92.203735427659097</v>
      </c>
      <c r="E173" s="60">
        <f ca="1">E184*1000000/'Original Population'!E$158</f>
        <v>90.423504488520138</v>
      </c>
      <c r="F173" s="60">
        <f ca="1">F184*1000000/'Original Population'!F$158</f>
        <v>88.636324241611874</v>
      </c>
      <c r="G173" s="60">
        <f ca="1">G184*1000000/'Original Population'!G$158</f>
        <v>86.852132153366284</v>
      </c>
      <c r="H173" s="60">
        <f ca="1">H184*1000000/'Original Population'!H$158</f>
        <v>85.042872214939337</v>
      </c>
      <c r="I173" s="60">
        <f t="shared" ca="1" si="17"/>
        <v>85.042872214939337</v>
      </c>
      <c r="J173" s="60">
        <f t="shared" ca="1" si="17"/>
        <v>85.042872214939337</v>
      </c>
      <c r="K173" s="60">
        <f t="shared" ca="1" si="17"/>
        <v>85.042872214939337</v>
      </c>
      <c r="L173" s="60"/>
      <c r="M173" s="60">
        <f ca="1">B162*'Total Duration Tables Sup #2'!B162*1000000/'Updated Population'!B$158</f>
        <v>96.832307311824565</v>
      </c>
      <c r="N173" s="60">
        <f ca="1">C162*'Total Duration Tables Sup #2'!C162*1000000/'Updated Population'!C$158</f>
        <v>94.351600068574683</v>
      </c>
      <c r="O173" s="60">
        <f ca="1">D162*'Total Duration Tables Sup #2'!D162*1000000/'Updated Population'!D$158</f>
        <v>92.203735427659097</v>
      </c>
      <c r="P173" s="60">
        <f ca="1">E162*'Total Duration Tables Sup #2'!E162*1000000/'Updated Population'!E$158</f>
        <v>90.423504488520138</v>
      </c>
      <c r="Q173" s="60">
        <f ca="1">F162*'Total Duration Tables Sup #2'!F162*1000000/'Updated Population'!F$158</f>
        <v>88.636324241611874</v>
      </c>
      <c r="R173" s="60">
        <f ca="1">G162*'Total Duration Tables Sup #2'!G162*1000000/'Updated Population'!G$158</f>
        <v>86.852132153366298</v>
      </c>
      <c r="S173" s="60">
        <f ca="1">H162*'Total Duration Tables Sup #2'!H162*1000000/'Updated Population'!H$158</f>
        <v>85.042872214939337</v>
      </c>
      <c r="T173" s="59"/>
    </row>
    <row r="174" spans="1:20" x14ac:dyDescent="0.25">
      <c r="A174" s="59" t="str">
        <f t="shared" ca="1" si="15"/>
        <v>Taxi/Vehicle Share</v>
      </c>
      <c r="B174" s="60">
        <f ca="1">B185*1000000/'Original Population'!B$158</f>
        <v>1.0515217622253243</v>
      </c>
      <c r="C174" s="60">
        <f ca="1">C185*1000000/'Original Population'!C$158</f>
        <v>1.1160162823613835</v>
      </c>
      <c r="D174" s="60">
        <f ca="1">D185*1000000/'Original Population'!D$158</f>
        <v>1.168071345486146</v>
      </c>
      <c r="E174" s="60">
        <f ca="1">E185*1000000/'Original Population'!E$158</f>
        <v>1.209845395031538</v>
      </c>
      <c r="F174" s="60">
        <f ca="1">F185*1000000/'Original Population'!F$158</f>
        <v>1.2429270111279718</v>
      </c>
      <c r="G174" s="60">
        <f ca="1">G185*1000000/'Original Population'!G$158</f>
        <v>1.2590113787327684</v>
      </c>
      <c r="H174" s="60">
        <f ca="1">H185*1000000/'Original Population'!H$158</f>
        <v>1.2738660112789955</v>
      </c>
      <c r="I174" s="60">
        <f t="shared" ca="1" si="17"/>
        <v>1.2738660112789955</v>
      </c>
      <c r="J174" s="60">
        <f t="shared" ca="1" si="17"/>
        <v>1.2738660112789955</v>
      </c>
      <c r="K174" s="60">
        <f t="shared" ca="1" si="17"/>
        <v>1.2738660112789955</v>
      </c>
      <c r="L174" s="60"/>
      <c r="M174" s="60">
        <f ca="1">B163*'Total Duration Tables Sup #2'!B163*1000000/'Updated Population'!B$158</f>
        <v>1.0515217622253243</v>
      </c>
      <c r="N174" s="60">
        <f ca="1">C163*'Total Duration Tables Sup #2'!C163*1000000/'Updated Population'!C$158</f>
        <v>1.1160162823613837</v>
      </c>
      <c r="O174" s="60">
        <f ca="1">D163*'Total Duration Tables Sup #2'!D163*1000000/'Updated Population'!D$158</f>
        <v>1.1680713454861458</v>
      </c>
      <c r="P174" s="60">
        <f ca="1">E163*'Total Duration Tables Sup #2'!E163*1000000/'Updated Population'!E$158</f>
        <v>1.209845395031538</v>
      </c>
      <c r="Q174" s="60">
        <f ca="1">F163*'Total Duration Tables Sup #2'!F163*1000000/'Updated Population'!F$158</f>
        <v>1.2429270111279718</v>
      </c>
      <c r="R174" s="60">
        <f ca="1">G163*'Total Duration Tables Sup #2'!G163*1000000/'Updated Population'!G$158</f>
        <v>1.2590113787327684</v>
      </c>
      <c r="S174" s="60">
        <f ca="1">H163*'Total Duration Tables Sup #2'!H163*1000000/'Updated Population'!H$158</f>
        <v>1.2738660112789955</v>
      </c>
      <c r="T174" s="59"/>
    </row>
    <row r="175" spans="1:20" x14ac:dyDescent="0.25">
      <c r="A175" s="59" t="str">
        <f t="shared" ca="1" si="15"/>
        <v>Motorcyclist</v>
      </c>
      <c r="B175" s="60">
        <f ca="1">B186*1000000/'Original Population'!B$158</f>
        <v>1.3539298956231987</v>
      </c>
      <c r="C175" s="60">
        <f ca="1">C186*1000000/'Original Population'!C$158</f>
        <v>1.3537055793495008</v>
      </c>
      <c r="D175" s="60">
        <f ca="1">D186*1000000/'Original Population'!D$158</f>
        <v>1.3377158933327946</v>
      </c>
      <c r="E175" s="60">
        <f ca="1">E186*1000000/'Original Population'!E$158</f>
        <v>1.3195563812906357</v>
      </c>
      <c r="F175" s="60">
        <f ca="1">F186*1000000/'Original Population'!F$158</f>
        <v>1.3028005306768577</v>
      </c>
      <c r="G175" s="60">
        <f ca="1">G186*1000000/'Original Population'!G$158</f>
        <v>1.2747266610409924</v>
      </c>
      <c r="H175" s="60">
        <f ca="1">H186*1000000/'Original Population'!H$158</f>
        <v>1.2454071428495423</v>
      </c>
      <c r="I175" s="60">
        <f t="shared" ca="1" si="17"/>
        <v>1.2454071428495423</v>
      </c>
      <c r="J175" s="60">
        <f t="shared" ca="1" si="17"/>
        <v>1.2454071428495423</v>
      </c>
      <c r="K175" s="60">
        <f t="shared" ca="1" si="17"/>
        <v>1.2454071428495423</v>
      </c>
      <c r="L175" s="60"/>
      <c r="M175" s="60">
        <f ca="1">B164*'Total Duration Tables Sup #2'!B164*1000000/'Updated Population'!B$158</f>
        <v>1.3539298956231987</v>
      </c>
      <c r="N175" s="60">
        <f ca="1">C164*'Total Duration Tables Sup #2'!C164*1000000/'Updated Population'!C$158</f>
        <v>1.3537055793495008</v>
      </c>
      <c r="O175" s="60">
        <f ca="1">D164*'Total Duration Tables Sup #2'!D164*1000000/'Updated Population'!D$158</f>
        <v>1.3377158933327944</v>
      </c>
      <c r="P175" s="60">
        <f ca="1">E164*'Total Duration Tables Sup #2'!E164*1000000/'Updated Population'!E$158</f>
        <v>1.3195563812906357</v>
      </c>
      <c r="Q175" s="60">
        <f ca="1">F164*'Total Duration Tables Sup #2'!F164*1000000/'Updated Population'!F$158</f>
        <v>1.3028005306768577</v>
      </c>
      <c r="R175" s="60">
        <f ca="1">G164*'Total Duration Tables Sup #2'!G164*1000000/'Updated Population'!G$158</f>
        <v>1.2747266610409924</v>
      </c>
      <c r="S175" s="60">
        <f ca="1">H164*'Total Duration Tables Sup #2'!H164*1000000/'Updated Population'!H$158</f>
        <v>1.2454071428495421</v>
      </c>
      <c r="T175" s="59"/>
    </row>
    <row r="176" spans="1:20" x14ac:dyDescent="0.25">
      <c r="A176" s="59" t="str">
        <f t="shared" ca="1" si="15"/>
        <v>Local Train</v>
      </c>
      <c r="B176" s="60">
        <f ca="1">B187*1000000/'Original Population'!B$158</f>
        <v>2.2089379876621034</v>
      </c>
      <c r="C176" s="60">
        <f ca="1">C187*1000000/'Original Population'!C$158</f>
        <v>2.2462684798117309</v>
      </c>
      <c r="D176" s="60">
        <f ca="1">D187*1000000/'Original Population'!D$158</f>
        <v>2.259407617994786</v>
      </c>
      <c r="E176" s="60">
        <f ca="1">E187*1000000/'Original Population'!E$158</f>
        <v>2.23996483561378</v>
      </c>
      <c r="F176" s="60">
        <f ca="1">F187*1000000/'Original Population'!F$158</f>
        <v>2.1978914937334908</v>
      </c>
      <c r="G176" s="60">
        <f ca="1">G187*1000000/'Original Population'!G$158</f>
        <v>2.1592235304077403</v>
      </c>
      <c r="H176" s="60">
        <f ca="1">H187*1000000/'Original Population'!H$158</f>
        <v>2.1164176964602395</v>
      </c>
      <c r="I176" s="60">
        <f t="shared" ca="1" si="17"/>
        <v>2.1164176964602395</v>
      </c>
      <c r="J176" s="60">
        <f t="shared" ca="1" si="17"/>
        <v>2.1164176964602395</v>
      </c>
      <c r="K176" s="60">
        <f t="shared" ca="1" si="17"/>
        <v>2.1164176964602395</v>
      </c>
      <c r="L176" s="60"/>
      <c r="M176" s="60">
        <f ca="1">B165*'Total Duration Tables Sup #2'!B165*1000000/'Updated Population'!B$158</f>
        <v>2.2089379876621034</v>
      </c>
      <c r="N176" s="60">
        <f ca="1">C165*'Total Duration Tables Sup #2'!C165*1000000/'Updated Population'!C$158</f>
        <v>2.2462684798117309</v>
      </c>
      <c r="O176" s="60">
        <f ca="1">D165*'Total Duration Tables Sup #2'!D165*1000000/'Updated Population'!D$158</f>
        <v>2.259407617994786</v>
      </c>
      <c r="P176" s="60">
        <f ca="1">E165*'Total Duration Tables Sup #2'!E165*1000000/'Updated Population'!E$158</f>
        <v>2.23996483561378</v>
      </c>
      <c r="Q176" s="60">
        <f ca="1">F165*'Total Duration Tables Sup #2'!F165*1000000/'Updated Population'!F$158</f>
        <v>2.1978914937334908</v>
      </c>
      <c r="R176" s="60">
        <f ca="1">G165*'Total Duration Tables Sup #2'!G165*1000000/'Updated Population'!G$158</f>
        <v>2.1592235304077403</v>
      </c>
      <c r="S176" s="60">
        <f ca="1">H165*'Total Duration Tables Sup #2'!H165*1000000/'Updated Population'!H$158</f>
        <v>2.1164176964602395</v>
      </c>
      <c r="T176" s="59"/>
    </row>
    <row r="177" spans="1:20" x14ac:dyDescent="0.25">
      <c r="A177" s="59" t="s">
        <v>16</v>
      </c>
      <c r="B177" s="60">
        <f ca="1">B188*1000000/'Original Population'!B$169</f>
        <v>7.4529708615441326</v>
      </c>
      <c r="C177" s="60">
        <f ca="1">C188*1000000/'Original Population'!C$169</f>
        <v>6.8106039531337084</v>
      </c>
      <c r="D177" s="60">
        <f ca="1">D188*1000000/'Original Population'!D$169</f>
        <v>6.3830225720286631</v>
      </c>
      <c r="E177" s="60">
        <f ca="1">E188*1000000/'Original Population'!E$169</f>
        <v>6.0928322099076002</v>
      </c>
      <c r="F177" s="60">
        <f ca="1">F188*1000000/'Original Population'!F$169</f>
        <v>5.7769814260679073</v>
      </c>
      <c r="G177" s="60">
        <f ca="1">G188*1000000/'Original Population'!G$169</f>
        <v>5.5425652164481756</v>
      </c>
      <c r="H177" s="60">
        <f ca="1">H188*1000000/'Original Population'!H$169</f>
        <v>5.3170939839579718</v>
      </c>
      <c r="I177" s="60">
        <f t="shared" ca="1" si="17"/>
        <v>5.3170939839579718</v>
      </c>
      <c r="J177" s="60">
        <f t="shared" ca="1" si="17"/>
        <v>5.3170939839579718</v>
      </c>
      <c r="K177" s="60">
        <f t="shared" ca="1" si="17"/>
        <v>5.3170939839579718</v>
      </c>
      <c r="L177" s="60"/>
      <c r="M177" s="60">
        <f ca="1">B166*'Total Duration Tables Sup #2'!B166*1000000/'Updated Population'!B$169</f>
        <v>7.4529708615441326</v>
      </c>
      <c r="N177" s="60">
        <f ca="1">C166*'Total Duration Tables Sup #2'!C166*1000000/'Updated Population'!C$169</f>
        <v>6.8106039531337084</v>
      </c>
      <c r="O177" s="60">
        <f ca="1">D166*'Total Duration Tables Sup #2'!D166*1000000/'Updated Population'!D$169</f>
        <v>6.383022572028664</v>
      </c>
      <c r="P177" s="60">
        <f ca="1">E166*'Total Duration Tables Sup #2'!E166*1000000/'Updated Population'!E$169</f>
        <v>6.0928322099075993</v>
      </c>
      <c r="Q177" s="60">
        <f ca="1">F166*'Total Duration Tables Sup #2'!F166*1000000/'Updated Population'!F$169</f>
        <v>5.7769814260679073</v>
      </c>
      <c r="R177" s="60">
        <f ca="1">G166*'Total Duration Tables Sup #2'!G166*1000000/'Updated Population'!G$169</f>
        <v>5.5425652164481765</v>
      </c>
      <c r="S177" s="60">
        <f ca="1">H166*'Total Duration Tables Sup #2'!H166*1000000/'Updated Population'!H$169</f>
        <v>5.3170939839579718</v>
      </c>
      <c r="T177" s="59"/>
    </row>
    <row r="178" spans="1:20" x14ac:dyDescent="0.25">
      <c r="A178" s="59" t="str">
        <f t="shared" ca="1" si="15"/>
        <v>Local Ferry</v>
      </c>
      <c r="B178" s="60">
        <f ca="1">IF(B189=0,1,B189*1000000/'Original Population'!B$158)</f>
        <v>0.3144068747073126</v>
      </c>
      <c r="C178" s="60">
        <f ca="1">C189*1000000/'Original Population'!C$158</f>
        <v>0.3359412027058401</v>
      </c>
      <c r="D178" s="60">
        <f ca="1">D189*1000000/'Original Population'!D$158</f>
        <v>0.34959542424364909</v>
      </c>
      <c r="E178" s="60">
        <f ca="1">E189*1000000/'Original Population'!E$158</f>
        <v>0.35628638748180502</v>
      </c>
      <c r="F178" s="60">
        <f ca="1">F189*1000000/'Original Population'!F$158</f>
        <v>0.35933682886528412</v>
      </c>
      <c r="G178" s="60">
        <f ca="1">G189*1000000/'Original Population'!G$158</f>
        <v>0.36945059175062739</v>
      </c>
      <c r="H178" s="60">
        <f ca="1">H189*1000000/'Original Population'!H$158</f>
        <v>0.37743052842803443</v>
      </c>
      <c r="I178" s="60">
        <f t="shared" ca="1" si="17"/>
        <v>0.37743052842803443</v>
      </c>
      <c r="J178" s="60">
        <f t="shared" ca="1" si="17"/>
        <v>0.37743052842803443</v>
      </c>
      <c r="K178" s="60">
        <f t="shared" ca="1" si="17"/>
        <v>0.37743052842803443</v>
      </c>
      <c r="L178" s="60"/>
      <c r="M178" s="60">
        <f ca="1">B167*'Total Duration Tables Sup #2'!B167*1000000/'Updated Population'!B$158</f>
        <v>0.3144068747073126</v>
      </c>
      <c r="N178" s="60">
        <f ca="1">C167*'Total Duration Tables Sup #2'!C167*1000000/'Updated Population'!C$158</f>
        <v>0.3359412027058401</v>
      </c>
      <c r="O178" s="60">
        <f ca="1">D167*'Total Duration Tables Sup #2'!D167*1000000/'Updated Population'!D$158</f>
        <v>0.34959542424364909</v>
      </c>
      <c r="P178" s="60">
        <f ca="1">E167*'Total Duration Tables Sup #2'!E167*1000000/'Updated Population'!E$158</f>
        <v>0.35628638748180508</v>
      </c>
      <c r="Q178" s="60">
        <f ca="1">F167*'Total Duration Tables Sup #2'!F167*1000000/'Updated Population'!F$158</f>
        <v>0.35933682886528412</v>
      </c>
      <c r="R178" s="60">
        <f ca="1">G167*'Total Duration Tables Sup #2'!G167*1000000/'Updated Population'!G$158</f>
        <v>0.36945059175062739</v>
      </c>
      <c r="S178" s="60">
        <f ca="1">H167*'Total Duration Tables Sup #2'!H167*1000000/'Updated Population'!H$158</f>
        <v>0.37743052842803443</v>
      </c>
      <c r="T178" s="59"/>
    </row>
    <row r="179" spans="1:20" x14ac:dyDescent="0.25">
      <c r="A179" s="59" t="str">
        <f t="shared" ca="1" si="15"/>
        <v>Other Household Travel</v>
      </c>
      <c r="B179" s="60">
        <f ca="1">B190*1000000/'Original Population'!B$158</f>
        <v>1.2774730935473706</v>
      </c>
      <c r="C179" s="60">
        <f ca="1">C190*1000000/'Original Population'!C$158</f>
        <v>1.3033695056248551</v>
      </c>
      <c r="D179" s="60">
        <f ca="1">D190*1000000/'Original Population'!D$158</f>
        <v>1.3195416109819933</v>
      </c>
      <c r="E179" s="60">
        <f ca="1">E190*1000000/'Original Population'!E$158</f>
        <v>1.3115802120524014</v>
      </c>
      <c r="F179" s="60">
        <f ca="1">F190*1000000/'Original Population'!F$158</f>
        <v>1.3000959168399557</v>
      </c>
      <c r="G179" s="60">
        <f ca="1">G190*1000000/'Original Population'!G$158</f>
        <v>1.2997896396355435</v>
      </c>
      <c r="H179" s="60">
        <f ca="1">H190*1000000/'Original Population'!H$158</f>
        <v>1.2949811591296019</v>
      </c>
      <c r="I179" s="60">
        <f t="shared" ca="1" si="17"/>
        <v>1.2949811591296019</v>
      </c>
      <c r="J179" s="60">
        <f t="shared" ca="1" si="17"/>
        <v>1.2949811591296019</v>
      </c>
      <c r="K179" s="60">
        <f t="shared" ca="1" si="17"/>
        <v>1.2949811591296019</v>
      </c>
      <c r="L179" s="60"/>
      <c r="M179" s="60">
        <f ca="1">B168*'Total Duration Tables Sup #2'!B168*1000000/'Updated Population'!B$158</f>
        <v>1.2774730935473706</v>
      </c>
      <c r="N179" s="60">
        <f ca="1">C168*'Total Duration Tables Sup #2'!C168*1000000/'Updated Population'!C$158</f>
        <v>1.3033695056248551</v>
      </c>
      <c r="O179" s="60">
        <f ca="1">D168*'Total Duration Tables Sup #2'!D168*1000000/'Updated Population'!D$158</f>
        <v>1.3195416109819935</v>
      </c>
      <c r="P179" s="60">
        <f ca="1">E168*'Total Duration Tables Sup #2'!E168*1000000/'Updated Population'!E$158</f>
        <v>1.3115802120524014</v>
      </c>
      <c r="Q179" s="60">
        <f ca="1">F168*'Total Duration Tables Sup #2'!F168*1000000/'Updated Population'!F$158</f>
        <v>1.3000959168399557</v>
      </c>
      <c r="R179" s="60">
        <f ca="1">G168*'Total Duration Tables Sup #2'!G168*1000000/'Updated Population'!G$158</f>
        <v>1.2997896396355435</v>
      </c>
      <c r="S179" s="60">
        <f ca="1">H168*'Total Duration Tables Sup #2'!H168*1000000/'Updated Population'!H$158</f>
        <v>1.2949811591296019</v>
      </c>
      <c r="T179" s="59"/>
    </row>
    <row r="180" spans="1:20" x14ac:dyDescent="0.25">
      <c r="A180" t="s">
        <v>21</v>
      </c>
    </row>
    <row r="181" spans="1:20" x14ac:dyDescent="0.25">
      <c r="A181" t="str">
        <f t="shared" ref="A181:A187" ca="1" si="18">A27</f>
        <v>Pedestrian</v>
      </c>
      <c r="B181" s="4">
        <f ca="1">'Total Duration Tables Original'!B159</f>
        <v>205.0143830817</v>
      </c>
      <c r="C181" s="4">
        <f ca="1">'Total Duration Tables Original'!C159</f>
        <v>215.13752862799998</v>
      </c>
      <c r="D181" s="4">
        <f ca="1">'Total Duration Tables Original'!D159</f>
        <v>220.62973743609999</v>
      </c>
      <c r="E181" s="4">
        <f ca="1">'Total Duration Tables Original'!E159</f>
        <v>224.49874503549998</v>
      </c>
      <c r="F181" s="4">
        <f ca="1">'Total Duration Tables Original'!F159</f>
        <v>226.40543979360001</v>
      </c>
      <c r="G181" s="4">
        <f ca="1">'Total Duration Tables Original'!G159</f>
        <v>227.4327921478</v>
      </c>
      <c r="H181" s="4">
        <f ca="1">'Total Duration Tables Original'!H159</f>
        <v>227.52570368110003</v>
      </c>
      <c r="I181" s="1">
        <f ca="1">'Total Duration Tables Original'!I159</f>
        <v>232.97016436067418</v>
      </c>
      <c r="J181" s="1">
        <f ca="1">'Total Duration Tables Original'!J159</f>
        <v>237.86071427489915</v>
      </c>
      <c r="K181" s="1">
        <f ca="1">'Total Duration Tables Original'!K159</f>
        <v>242.40809879097463</v>
      </c>
    </row>
    <row r="182" spans="1:20" x14ac:dyDescent="0.25">
      <c r="A182" t="str">
        <f t="shared" ca="1" si="18"/>
        <v>Cyclist</v>
      </c>
      <c r="B182" s="4">
        <f ca="1">'Total Duration Tables Original'!B160</f>
        <v>24.928098629399997</v>
      </c>
      <c r="C182" s="4">
        <f ca="1">'Total Duration Tables Original'!C160</f>
        <v>26.640397528400005</v>
      </c>
      <c r="D182" s="4">
        <f ca="1">'Total Duration Tables Original'!D160</f>
        <v>27.4178917413</v>
      </c>
      <c r="E182" s="4">
        <f ca="1">'Total Duration Tables Original'!E160</f>
        <v>27.869299334000004</v>
      </c>
      <c r="F182" s="4">
        <f ca="1">'Total Duration Tables Original'!F160</f>
        <v>28.563978465600002</v>
      </c>
      <c r="G182" s="4">
        <f ca="1">'Total Duration Tables Original'!G160</f>
        <v>29.570414874099999</v>
      </c>
      <c r="H182" s="4">
        <f ca="1">'Total Duration Tables Original'!H160</f>
        <v>30.599816868100003</v>
      </c>
      <c r="I182" s="1">
        <f ca="1">'Total Duration Tables Original'!I160</f>
        <v>31.192025053247153</v>
      </c>
      <c r="J182" s="1">
        <f ca="1">'Total Duration Tables Original'!J160</f>
        <v>31.703444379102944</v>
      </c>
      <c r="K182" s="1">
        <f ca="1">'Total Duration Tables Original'!K160</f>
        <v>32.163060112823658</v>
      </c>
    </row>
    <row r="183" spans="1:20" x14ac:dyDescent="0.25">
      <c r="A183" t="str">
        <f t="shared" ca="1" si="18"/>
        <v>Light Vehicle Driver</v>
      </c>
      <c r="B183" s="4">
        <f ca="1">'Total Duration Tables Original'!B161</f>
        <v>820.39837236829999</v>
      </c>
      <c r="C183" s="4">
        <f ca="1">'Total Duration Tables Original'!C161</f>
        <v>891.47617551429994</v>
      </c>
      <c r="D183" s="4">
        <f ca="1">'Total Duration Tables Original'!D161</f>
        <v>932.92499938060007</v>
      </c>
      <c r="E183" s="4">
        <f ca="1">'Total Duration Tables Original'!E161</f>
        <v>976.24844911710011</v>
      </c>
      <c r="F183" s="4">
        <f ca="1">'Total Duration Tables Original'!F161</f>
        <v>1016.6785991071001</v>
      </c>
      <c r="G183" s="4">
        <f ca="1">'Total Duration Tables Original'!G161</f>
        <v>1047.9151735348998</v>
      </c>
      <c r="H183" s="4">
        <f ca="1">'Total Duration Tables Original'!H161</f>
        <v>1074.4004356879002</v>
      </c>
      <c r="I183" s="1">
        <f ca="1">'Total Duration Tables Original'!I161</f>
        <v>1100.3782842154251</v>
      </c>
      <c r="J183" s="1">
        <f ca="1">'Total Duration Tables Original'!J161</f>
        <v>1123.7517955096205</v>
      </c>
      <c r="K183" s="1">
        <f ca="1">'Total Duration Tables Original'!K161</f>
        <v>1145.5141657394927</v>
      </c>
    </row>
    <row r="184" spans="1:20" x14ac:dyDescent="0.25">
      <c r="A184" t="str">
        <f t="shared" ca="1" si="18"/>
        <v>Light Vehicle Passenger</v>
      </c>
      <c r="B184" s="4">
        <f ca="1">'Total Duration Tables Original'!B162</f>
        <v>430.09037615619997</v>
      </c>
      <c r="C184" s="4">
        <f ca="1">'Total Duration Tables Original'!C162</f>
        <v>447.02844596490002</v>
      </c>
      <c r="D184" s="4">
        <f ca="1">'Total Duration Tables Original'!D162</f>
        <v>456.23330326959996</v>
      </c>
      <c r="E184" s="4">
        <f ca="1">'Total Duration Tables Original'!E162</f>
        <v>465.90710687709998</v>
      </c>
      <c r="F184" s="4">
        <f ca="1">'Total Duration Tables Original'!F162</f>
        <v>473.13183516930002</v>
      </c>
      <c r="G184" s="4">
        <f ca="1">'Total Duration Tables Original'!G162</f>
        <v>477.56513385849991</v>
      </c>
      <c r="H184" s="4">
        <f ca="1">'Total Duration Tables Original'!H162</f>
        <v>479.53974784559995</v>
      </c>
      <c r="I184" s="1">
        <f ca="1">'Total Duration Tables Original'!I162</f>
        <v>490.89221690554194</v>
      </c>
      <c r="J184" s="1">
        <f ca="1">'Total Duration Tables Original'!J162</f>
        <v>501.07389738370847</v>
      </c>
      <c r="K184" s="1">
        <f ca="1">'Total Duration Tables Original'!K162</f>
        <v>510.52937238758</v>
      </c>
    </row>
    <row r="185" spans="1:20" x14ac:dyDescent="0.25">
      <c r="A185" t="str">
        <f t="shared" ca="1" si="18"/>
        <v>Taxi/Vehicle Share</v>
      </c>
      <c r="B185" s="4">
        <f ca="1">'Total Duration Tables Original'!B163</f>
        <v>4.6704390591000005</v>
      </c>
      <c r="C185" s="4">
        <f ca="1">'Total Duration Tables Original'!C163</f>
        <v>5.2875735441999998</v>
      </c>
      <c r="D185" s="4">
        <f ca="1">'Total Duration Tables Original'!D163</f>
        <v>5.7797338245999992</v>
      </c>
      <c r="E185" s="4">
        <f ca="1">'Total Duration Tables Original'!E163</f>
        <v>6.2337283978999993</v>
      </c>
      <c r="F185" s="4">
        <f ca="1">'Total Duration Tables Original'!F163</f>
        <v>6.6346200926999996</v>
      </c>
      <c r="G185" s="4">
        <f ca="1">'Total Duration Tables Original'!G163</f>
        <v>6.9227999671000005</v>
      </c>
      <c r="H185" s="4">
        <f ca="1">'Total Duration Tables Original'!H163</f>
        <v>7.1830756643999996</v>
      </c>
      <c r="I185" s="1">
        <f ca="1">'Total Duration Tables Original'!I163</f>
        <v>7.3779400581683339</v>
      </c>
      <c r="J185" s="1">
        <f ca="1">'Total Duration Tables Original'!J163</f>
        <v>7.5564878131826019</v>
      </c>
      <c r="K185" s="1">
        <f ca="1">'Total Duration Tables Original'!K163</f>
        <v>7.7252606477819592</v>
      </c>
    </row>
    <row r="186" spans="1:20" x14ac:dyDescent="0.25">
      <c r="A186" t="str">
        <f t="shared" ca="1" si="18"/>
        <v>Motorcyclist</v>
      </c>
      <c r="B186" s="4">
        <f ca="1">'Total Duration Tables Original'!B164</f>
        <v>6.0136150244</v>
      </c>
      <c r="C186" s="4">
        <f ca="1">'Total Duration Tables Original'!C164</f>
        <v>6.4137216643999997</v>
      </c>
      <c r="D186" s="4">
        <f ca="1">'Total Duration Tables Original'!D164</f>
        <v>6.6191520118000016</v>
      </c>
      <c r="E186" s="4">
        <f ca="1">'Total Duration Tables Original'!E164</f>
        <v>6.7990142546000003</v>
      </c>
      <c r="F186" s="4">
        <f ca="1">'Total Duration Tables Original'!F164</f>
        <v>6.9542189526999998</v>
      </c>
      <c r="G186" s="4">
        <f ca="1">'Total Duration Tables Original'!G164</f>
        <v>7.0092120184000004</v>
      </c>
      <c r="H186" s="4">
        <f ca="1">'Total Duration Tables Original'!H164</f>
        <v>7.0226017970999992</v>
      </c>
      <c r="I186" s="1">
        <f ca="1">'Total Duration Tables Original'!I164</f>
        <v>7.1640153681075436</v>
      </c>
      <c r="J186" s="1">
        <f ca="1">'Total Duration Tables Original'!J164</f>
        <v>7.2875709989110966</v>
      </c>
      <c r="K186" s="1">
        <f ca="1">'Total Duration Tables Original'!K164</f>
        <v>7.3999167558088876</v>
      </c>
    </row>
    <row r="187" spans="1:20" x14ac:dyDescent="0.25">
      <c r="A187" t="str">
        <f t="shared" ca="1" si="18"/>
        <v>Local Train</v>
      </c>
      <c r="B187" s="4">
        <f ca="1">'Total Duration Tables Original'!B22+'Total Duration Tables Original'!B99</f>
        <v>9.8112189659999984</v>
      </c>
      <c r="C187" s="4">
        <f ca="1">'Total Duration Tables Original'!C22+'Total Duration Tables Original'!C99</f>
        <v>10.6425954305</v>
      </c>
      <c r="D187" s="4">
        <f ca="1">'Total Duration Tables Original'!D22+'Total Duration Tables Original'!D99</f>
        <v>11.1797748346</v>
      </c>
      <c r="E187" s="4">
        <f ca="1">'Total Duration Tables Original'!E22+'Total Duration Tables Original'!E99</f>
        <v>11.5414188155</v>
      </c>
      <c r="F187" s="4">
        <f ca="1">'Total Duration Tables Original'!F22+'Total Duration Tables Original'!F99</f>
        <v>11.7321250044</v>
      </c>
      <c r="G187" s="4">
        <f ca="1">'Total Duration Tables Original'!G22+'Total Duration Tables Original'!G99</f>
        <v>11.8727065043</v>
      </c>
      <c r="H187" s="4">
        <f ca="1">'Total Duration Tables Original'!H22+'Total Duration Tables Original'!H99</f>
        <v>11.9340561068</v>
      </c>
      <c r="I187" s="1">
        <f ca="1">'Total Duration Tables Original'!I22+'Total Duration Tables Original'!I99</f>
        <v>12.22296729224297</v>
      </c>
      <c r="J187" s="1">
        <f ca="1">'Total Duration Tables Original'!J22+'Total Duration Tables Original'!J99</f>
        <v>12.482951154822711</v>
      </c>
      <c r="K187" s="1">
        <f ca="1">'Total Duration Tables Original'!K22+'Total Duration Tables Original'!K99</f>
        <v>12.725072778884286</v>
      </c>
    </row>
    <row r="188" spans="1:20" x14ac:dyDescent="0.25">
      <c r="A188" t="s">
        <v>16</v>
      </c>
      <c r="B188" s="4">
        <f ca="1">'Total Duration Tables Original'!B12+'Total Duration Tables Original'!B34+'Total Duration Tables Original'!B45+'Total Duration Tables Original'!B56+'Total Duration Tables Original'!B67+'Total Duration Tables Original'!B78+'Total Duration Tables Original'!B89+'Total Duration Tables Original'!B111+'Total Duration Tables Original'!B122+'Total Duration Tables Original'!B144+'Total Duration Tables Original'!B155</f>
        <v>14.151701071899998</v>
      </c>
      <c r="C188" s="4">
        <f ca="1">'Total Duration Tables Original'!C12+'Total Duration Tables Original'!C34+'Total Duration Tables Original'!C45+'Total Duration Tables Original'!C56+'Total Duration Tables Original'!C67+'Total Duration Tables Original'!C78+'Total Duration Tables Original'!C89+'Total Duration Tables Original'!C111+'Total Duration Tables Original'!C122+'Total Duration Tables Original'!C144+'Total Duration Tables Original'!C155</f>
        <v>13.442089022299999</v>
      </c>
      <c r="D188" s="4">
        <f ca="1">'Total Duration Tables Original'!D12+'Total Duration Tables Original'!D34+'Total Duration Tables Original'!D45+'Total Duration Tables Original'!D56+'Total Duration Tables Original'!D67+'Total Duration Tables Original'!D78+'Total Duration Tables Original'!D89+'Total Duration Tables Original'!D111+'Total Duration Tables Original'!D122+'Total Duration Tables Original'!D144+'Total Duration Tables Original'!D155</f>
        <v>12.9160461745</v>
      </c>
      <c r="E188" s="4">
        <f ca="1">'Total Duration Tables Original'!E12+'Total Duration Tables Original'!E34+'Total Duration Tables Original'!E45+'Total Duration Tables Original'!E56+'Total Duration Tables Original'!E67+'Total Duration Tables Original'!E78+'Total Duration Tables Original'!E89+'Total Duration Tables Original'!E111+'Total Duration Tables Original'!E122+'Total Duration Tables Original'!E144+'Total Duration Tables Original'!E155</f>
        <v>12.594493461100001</v>
      </c>
      <c r="F188" s="4">
        <f ca="1">'Total Duration Tables Original'!F12+'Total Duration Tables Original'!F34+'Total Duration Tables Original'!F45+'Total Duration Tables Original'!F56+'Total Duration Tables Original'!F67+'Total Duration Tables Original'!F78+'Total Duration Tables Original'!F89+'Total Duration Tables Original'!F111+'Total Duration Tables Original'!F122+'Total Duration Tables Original'!F144+'Total Duration Tables Original'!F155</f>
        <v>12.131083296599998</v>
      </c>
      <c r="G188" s="4">
        <f ca="1">'Total Duration Tables Original'!G12+'Total Duration Tables Original'!G34+'Total Duration Tables Original'!G45+'Total Duration Tables Original'!G56+'Total Duration Tables Original'!G67+'Total Duration Tables Original'!G78+'Total Duration Tables Original'!G89+'Total Duration Tables Original'!G111+'Total Duration Tables Original'!G122+'Total Duration Tables Original'!G144+'Total Duration Tables Original'!G155</f>
        <v>11.753563798</v>
      </c>
      <c r="H188" s="4">
        <f ca="1">'Total Duration Tables Original'!H12+'Total Duration Tables Original'!H34+'Total Duration Tables Original'!H45+'Total Duration Tables Original'!H56+'Total Duration Tables Original'!H67+'Total Duration Tables Original'!H78+'Total Duration Tables Original'!H89+'Total Duration Tables Original'!H111+'Total Duration Tables Original'!H122+'Total Duration Tables Original'!H144+'Total Duration Tables Original'!H155</f>
        <v>11.335512664399999</v>
      </c>
      <c r="I188" s="1">
        <f ca="1">'Total Duration Tables Original'!I12+'Total Duration Tables Original'!I34+'Total Duration Tables Original'!I45+'Total Duration Tables Original'!I56+'Total Duration Tables Original'!I67+'Total Duration Tables Original'!I78+'Total Duration Tables Original'!I89+'Total Duration Tables Original'!I111+'Total Duration Tables Original'!I122+'Total Duration Tables Original'!I144+'Total Duration Tables Original'!I155</f>
        <v>11.396059425835293</v>
      </c>
      <c r="J188" s="1">
        <f ca="1">'Total Duration Tables Original'!J12+'Total Duration Tables Original'!J34+'Total Duration Tables Original'!J45+'Total Duration Tables Original'!J56+'Total Duration Tables Original'!J67+'Total Duration Tables Original'!J78+'Total Duration Tables Original'!J89+'Total Duration Tables Original'!J111+'Total Duration Tables Original'!J122+'Total Duration Tables Original'!J144+'Total Duration Tables Original'!J155</f>
        <v>11.422203378136173</v>
      </c>
      <c r="K188" s="1">
        <f ca="1">'Total Duration Tables Original'!K12+'Total Duration Tables Original'!K34+'Total Duration Tables Original'!K45+'Total Duration Tables Original'!K56+'Total Duration Tables Original'!K67+'Total Duration Tables Original'!K78+'Total Duration Tables Original'!K89+'Total Duration Tables Original'!K111+'Total Duration Tables Original'!K122+'Total Duration Tables Original'!K144+'Total Duration Tables Original'!K155</f>
        <v>11.425540384613669</v>
      </c>
    </row>
    <row r="189" spans="1:20" x14ac:dyDescent="0.25">
      <c r="A189" t="str">
        <f ca="1">A35</f>
        <v>Local Ferry</v>
      </c>
      <c r="B189" s="4">
        <f ca="1">'Total Duration Tables Original'!B167</f>
        <v>1.3964695746999998</v>
      </c>
      <c r="C189" s="4">
        <f ca="1">'Total Duration Tables Original'!C167</f>
        <v>1.5916558242999996</v>
      </c>
      <c r="D189" s="4">
        <f ca="1">'Total Duration Tables Original'!D167</f>
        <v>1.7298331187</v>
      </c>
      <c r="E189" s="4">
        <f ca="1">'Total Duration Tables Original'!E167</f>
        <v>1.8357656115000003</v>
      </c>
      <c r="F189" s="4">
        <f ca="1">'Total Duration Tables Original'!F167</f>
        <v>1.9181040588000002</v>
      </c>
      <c r="G189" s="4">
        <f ca="1">'Total Duration Tables Original'!G167</f>
        <v>2.0314610237999999</v>
      </c>
      <c r="H189" s="4">
        <f ca="1">'Total Duration Tables Original'!H167</f>
        <v>2.1282552637000003</v>
      </c>
      <c r="I189" s="1">
        <f ca="1">'Total Duration Tables Original'!I167</f>
        <v>2.2115368670458571</v>
      </c>
      <c r="J189" s="1">
        <f ca="1">'Total Duration Tables Original'!J167</f>
        <v>2.2910093190166703</v>
      </c>
      <c r="K189" s="1">
        <f ca="1">'Total Duration Tables Original'!K167</f>
        <v>2.3684852430233159</v>
      </c>
    </row>
    <row r="190" spans="1:20" x14ac:dyDescent="0.25">
      <c r="A190" t="str">
        <f ca="1">A36</f>
        <v>Other Household Travel</v>
      </c>
      <c r="B190" s="4">
        <f ca="1">'Total Duration Tables Original'!B168</f>
        <v>5.6740244923000009</v>
      </c>
      <c r="C190" s="4">
        <f ca="1">'Total Duration Tables Original'!C168</f>
        <v>6.175234380700001</v>
      </c>
      <c r="D190" s="4">
        <f ca="1">'Total Duration Tables Original'!D168</f>
        <v>6.5292238453000007</v>
      </c>
      <c r="E190" s="4">
        <f ca="1">'Total Duration Tables Original'!E168</f>
        <v>6.7579170425999981</v>
      </c>
      <c r="F190" s="4">
        <f ca="1">'Total Duration Tables Original'!F168</f>
        <v>6.9397819944999997</v>
      </c>
      <c r="G190" s="4">
        <f ca="1">'Total Duration Tables Original'!G168</f>
        <v>7.1470233125</v>
      </c>
      <c r="H190" s="4">
        <f ca="1">'Total Duration Tables Original'!H168</f>
        <v>7.3021397600999993</v>
      </c>
      <c r="I190" s="1">
        <f ca="1">'Total Duration Tables Original'!I168</f>
        <v>7.5037509810806258</v>
      </c>
      <c r="J190" s="1">
        <f ca="1">'Total Duration Tables Original'!J168</f>
        <v>7.6886390564749254</v>
      </c>
      <c r="K190" s="1">
        <f ca="1">'Total Duration Tables Original'!K168</f>
        <v>7.8634271836380876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77:H1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K190"/>
  <sheetViews>
    <sheetView workbookViewId="0">
      <selection activeCell="B22" sqref="B22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14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OFFSET(Northland_Reference,1,7)</f>
        <v>5.0494150450999999</v>
      </c>
      <c r="D5" s="4">
        <f ca="1">OFFSET(Northland_Reference,2,7)</f>
        <v>4.9817022490999996</v>
      </c>
      <c r="E5" s="4">
        <f ca="1">OFFSET(Northland_Reference,3,7)</f>
        <v>4.8774643942999996</v>
      </c>
      <c r="F5" s="4">
        <f ca="1">OFFSET(Northland_Reference,4,7)</f>
        <v>4.7161360483000001</v>
      </c>
      <c r="G5" s="4">
        <f ca="1">OFFSET(Northland_Reference,5,7)</f>
        <v>4.4972940633</v>
      </c>
      <c r="H5" s="4">
        <f ca="1">OFFSET(Northland_Reference,6,7)</f>
        <v>4.2669629675999996</v>
      </c>
      <c r="I5" s="1">
        <f ca="1">H5*('Updated Population'!I$4/'Updated Population'!H$4)</f>
        <v>4.2872007271121291</v>
      </c>
      <c r="J5" s="1">
        <f ca="1">I5*('Updated Population'!J$4/'Updated Population'!I$4)</f>
        <v>4.2938228477710396</v>
      </c>
      <c r="K5" s="1">
        <f ca="1">J5*('Updated Population'!K$4/'Updated Population'!J$4)</f>
        <v>4.2912132411697721</v>
      </c>
    </row>
    <row r="6" spans="1:11" x14ac:dyDescent="0.25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OFFSET(Northland_Reference,8,7)</f>
        <v>0.14924559539999999</v>
      </c>
      <c r="D6" s="4">
        <f ca="1">OFFSET(Northland_Reference,9,7)</f>
        <v>0.15231914029999999</v>
      </c>
      <c r="E6" s="4">
        <f ca="1">OFFSET(Northland_Reference,10,7)</f>
        <v>0.1497336511</v>
      </c>
      <c r="F6" s="4">
        <f ca="1">OFFSET(Northland_Reference,11,7)</f>
        <v>0.140744068</v>
      </c>
      <c r="G6" s="4">
        <f ca="1">OFFSET(Northland_Reference,12,7)</f>
        <v>0.117295073</v>
      </c>
      <c r="H6" s="4">
        <f ca="1">OFFSET(Northland_Reference,13,7)</f>
        <v>9.5875978799999997E-2</v>
      </c>
      <c r="I6" s="1">
        <f ca="1">H6*('Updated Population'!I$4/'Updated Population'!H$4)</f>
        <v>9.6330708549631688E-2</v>
      </c>
      <c r="J6" s="1">
        <f ca="1">I6*('Updated Population'!J$4/'Updated Population'!I$4)</f>
        <v>9.6479503443031453E-2</v>
      </c>
      <c r="K6" s="1">
        <f ca="1">J6*('Updated Population'!K$4/'Updated Population'!J$4)</f>
        <v>9.6420867221184842E-2</v>
      </c>
    </row>
    <row r="7" spans="1:11" x14ac:dyDescent="0.25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OFFSET(Northland_Reference,15,7)</f>
        <v>24.412828752999999</v>
      </c>
      <c r="D7" s="4">
        <f ca="1">OFFSET(Northland_Reference,16,7)</f>
        <v>24.822783907000002</v>
      </c>
      <c r="E7" s="4">
        <f ca="1">OFFSET(Northland_Reference,17,7)</f>
        <v>25.365476288</v>
      </c>
      <c r="F7" s="4">
        <f ca="1">OFFSET(Northland_Reference,18,7)</f>
        <v>25.892064713</v>
      </c>
      <c r="G7" s="4">
        <f ca="1">OFFSET(Northland_Reference,19,7)</f>
        <v>26.059886873</v>
      </c>
      <c r="H7" s="4">
        <f ca="1">OFFSET(Northland_Reference,20,7)</f>
        <v>26.117896081000001</v>
      </c>
      <c r="I7" s="1">
        <f ca="1">H7*('Updated Population'!I$4/'Updated Population'!H$4)</f>
        <v>26.241770533125226</v>
      </c>
      <c r="J7" s="1">
        <f ca="1">I7*('Updated Population'!J$4/'Updated Population'!I$4)</f>
        <v>26.282304247741116</v>
      </c>
      <c r="K7" s="1">
        <f ca="1">J7*('Updated Population'!K$4/'Updated Population'!J$4)</f>
        <v>26.26633095841526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OFFSET(Northland_Reference,22,7)</f>
        <v>15.043693887</v>
      </c>
      <c r="D8" s="4">
        <f ca="1">OFFSET(Northland_Reference,23,7)</f>
        <v>14.815408416</v>
      </c>
      <c r="E8" s="4">
        <f ca="1">OFFSET(Northland_Reference,24,7)</f>
        <v>14.732585072999999</v>
      </c>
      <c r="F8" s="4">
        <f ca="1">OFFSET(Northland_Reference,25,7)</f>
        <v>14.611382581999999</v>
      </c>
      <c r="G8" s="4">
        <f ca="1">OFFSET(Northland_Reference,26,7)</f>
        <v>14.407955576999999</v>
      </c>
      <c r="H8" s="4">
        <f ca="1">OFFSET(Northland_Reference,27,7)</f>
        <v>14.167354896999999</v>
      </c>
      <c r="I8" s="1">
        <f ca="1">H8*('Updated Population'!I$4/'Updated Population'!H$4)</f>
        <v>14.234549180968614</v>
      </c>
      <c r="J8" s="1">
        <f ca="1">I8*('Updated Population'!J$4/'Updated Population'!I$4)</f>
        <v>14.256536232240896</v>
      </c>
      <c r="K8" s="1">
        <f ca="1">J8*('Updated Population'!K$4/'Updated Population'!J$4)</f>
        <v>14.247871703595477</v>
      </c>
    </row>
    <row r="9" spans="1:11" x14ac:dyDescent="0.25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OFFSET(Northland_Reference,29,7)</f>
        <v>2.4523769599999998E-2</v>
      </c>
      <c r="D9" s="4">
        <f ca="1">OFFSET(Northland_Reference,30,7)</f>
        <v>2.50800487E-2</v>
      </c>
      <c r="E9" s="4">
        <f ca="1">OFFSET(Northland_Reference,31,7)</f>
        <v>2.71595863E-2</v>
      </c>
      <c r="F9" s="4">
        <f ca="1">OFFSET(Northland_Reference,32,7)</f>
        <v>2.7386666E-2</v>
      </c>
      <c r="G9" s="4">
        <f ca="1">OFFSET(Northland_Reference,33,7)</f>
        <v>2.6032977299999999E-2</v>
      </c>
      <c r="H9" s="4">
        <f ca="1">OFFSET(Northland_Reference,34,7)</f>
        <v>2.4568605300000001E-2</v>
      </c>
      <c r="I9" s="1">
        <f ca="1">H9*('Updated Population'!I$4/'Updated Population'!H$4)</f>
        <v>2.4685131627832067E-2</v>
      </c>
      <c r="J9" s="1">
        <f ca="1">I9*('Updated Population'!J$4/'Updated Population'!I$4)</f>
        <v>2.4723260917903986E-2</v>
      </c>
      <c r="K9" s="1">
        <f ca="1">J9*('Updated Population'!K$4/'Updated Population'!J$4)</f>
        <v>2.4708235150147938E-2</v>
      </c>
    </row>
    <row r="10" spans="1:11" x14ac:dyDescent="0.25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OFFSET(Northland_Reference,36,7)</f>
        <v>0.28996502120000001</v>
      </c>
      <c r="D10" s="4">
        <f ca="1">OFFSET(Northland_Reference,37,7)</f>
        <v>0.28125119609999999</v>
      </c>
      <c r="E10" s="4">
        <f ca="1">OFFSET(Northland_Reference,38,7)</f>
        <v>0.26925596299999999</v>
      </c>
      <c r="F10" s="4">
        <f ca="1">OFFSET(Northland_Reference,39,7)</f>
        <v>0.26373218679999999</v>
      </c>
      <c r="G10" s="4">
        <f ca="1">OFFSET(Northland_Reference,40,7)</f>
        <v>0.26546521039999998</v>
      </c>
      <c r="H10" s="4">
        <f ca="1">OFFSET(Northland_Reference,41,7)</f>
        <v>0.26341807249999999</v>
      </c>
      <c r="I10" s="1">
        <f ca="1">H10*('Updated Population'!I$4/'Updated Population'!H$4)</f>
        <v>0.26466743689403932</v>
      </c>
      <c r="J10" s="1">
        <f ca="1">I10*('Updated Population'!J$4/'Updated Population'!I$4)</f>
        <v>0.2650762490335114</v>
      </c>
      <c r="K10" s="1">
        <f ca="1">J10*('Updated Population'!K$4/'Updated Population'!J$4)</f>
        <v>0.26491514673520017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OFFSET(Northland_Reference,43,7)</f>
        <v>1.3896212617999999</v>
      </c>
      <c r="D12" s="4">
        <f ca="1">OFFSET(Northland_Reference,44,7)</f>
        <v>1.2708586776999999</v>
      </c>
      <c r="E12" s="4">
        <f ca="1">OFFSET(Northland_Reference,45,7)</f>
        <v>1.1651312556</v>
      </c>
      <c r="F12" s="4">
        <f ca="1">OFFSET(Northland_Reference,46,7)</f>
        <v>1.068456176</v>
      </c>
      <c r="G12" s="4">
        <f ca="1">OFFSET(Northland_Reference,47,7)</f>
        <v>0.98547679099999996</v>
      </c>
      <c r="H12" s="4">
        <f ca="1">OFFSET(Northland_Reference,48,7)</f>
        <v>0.90229195200000001</v>
      </c>
      <c r="I12" s="1">
        <f ca="1">H12*('Updated Population'!I$4/'Updated Population'!H$4)</f>
        <v>0.90657142845033745</v>
      </c>
      <c r="J12" s="1">
        <f ca="1">I12*('Updated Population'!J$4/'Updated Population'!I$4)</f>
        <v>0.90797174202724873</v>
      </c>
      <c r="K12" s="1">
        <f ca="1">J12*('Updated Population'!K$4/'Updated Population'!J$4)</f>
        <v>0.90741991463805205</v>
      </c>
    </row>
    <row r="13" spans="1:11" x14ac:dyDescent="0.25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OFFSET(Northland_Reference,50,7)</f>
        <v>1.4898411E-2</v>
      </c>
      <c r="D13" s="4">
        <f ca="1">OFFSET(Northland_Reference,51,7)</f>
        <v>1.46412895E-2</v>
      </c>
      <c r="E13" s="4">
        <f ca="1">OFFSET(Northland_Reference,52,7)</f>
        <v>1.4547354300000001E-2</v>
      </c>
      <c r="F13" s="4">
        <f ca="1">OFFSET(Northland_Reference,53,7)</f>
        <v>1.38609962E-2</v>
      </c>
      <c r="G13" s="4">
        <f ca="1">OFFSET(Northland_Reference,54,7)</f>
        <v>1.2677626399999999E-2</v>
      </c>
      <c r="H13" s="4">
        <f ca="1">OFFSET(Northland_Reference,55,7)</f>
        <v>1.15424681E-2</v>
      </c>
      <c r="I13" s="1">
        <f ca="1">H13*('Updated Population'!I$4/'Updated Population'!H$4)</f>
        <v>1.1597212820157628E-2</v>
      </c>
      <c r="J13" s="1">
        <f ca="1">I13*('Updated Population'!J$4/'Updated Population'!I$4)</f>
        <v>1.1615126173763044E-2</v>
      </c>
      <c r="K13" s="1">
        <f ca="1">J13*('Updated Population'!K$4/'Updated Population'!J$4)</f>
        <v>1.1608066984082375E-2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OFFSET(Northland_Reference,57,7)</f>
        <v>0</v>
      </c>
      <c r="D14" s="4">
        <f ca="1">OFFSET(Northland_Reference,58,7)</f>
        <v>0</v>
      </c>
      <c r="E14" s="4">
        <f ca="1">OFFSET(Northland_Reference,59,7)</f>
        <v>0</v>
      </c>
      <c r="F14" s="4">
        <f ca="1">OFFSET(Northland_Reference,60,7)</f>
        <v>0</v>
      </c>
      <c r="G14" s="4">
        <f ca="1">OFFSET(Northland_Reference,61,7)</f>
        <v>0</v>
      </c>
      <c r="H14" s="4">
        <f ca="1">OFFSET(Northland_Reference,62,7)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OFFSET(Auckland_Reference,0,7)</f>
        <v>73.381071999</v>
      </c>
      <c r="C16" s="4">
        <f ca="1">OFFSET(Auckland_Reference,1,7)</f>
        <v>79.967850558999999</v>
      </c>
      <c r="D16" s="4">
        <f ca="1">OFFSET(Auckland_Reference,2,7)</f>
        <v>84.451213323999994</v>
      </c>
      <c r="E16" s="4">
        <f ca="1">OFFSET(Auckland_Reference,3,7)</f>
        <v>87.793270063999998</v>
      </c>
      <c r="F16" s="4">
        <f ca="1">OFFSET(Auckland_Reference,4,7)</f>
        <v>90.364741006000003</v>
      </c>
      <c r="G16" s="4">
        <f ca="1">OFFSET(Auckland_Reference,5,7)</f>
        <v>92.731500874000005</v>
      </c>
      <c r="H16" s="4">
        <f ca="1">OFFSET(Auckland_Reference,6,7)</f>
        <v>94.395595791999995</v>
      </c>
      <c r="I16" s="1">
        <f ca="1">H16*('Updated Population'!I$15/'Updated Population'!H$15)</f>
        <v>98.452282068127289</v>
      </c>
      <c r="J16" s="1">
        <f ca="1">I16*('Updated Population'!J$15/'Updated Population'!I$15)</f>
        <v>102.35644730894865</v>
      </c>
      <c r="K16" s="1">
        <f ca="1">J16*('Updated Population'!K$15/'Updated Population'!J$15)</f>
        <v>106.18674016846322</v>
      </c>
    </row>
    <row r="17" spans="1:11" x14ac:dyDescent="0.25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OFFSET(Auckland_Reference,8,7)</f>
        <v>4.9329345321</v>
      </c>
      <c r="D17" s="4">
        <f ca="1">OFFSET(Auckland_Reference,9,7)</f>
        <v>5.3194263725999997</v>
      </c>
      <c r="E17" s="4">
        <f ca="1">OFFSET(Auckland_Reference,10,7)</f>
        <v>5.6513226292000001</v>
      </c>
      <c r="F17" s="4">
        <f ca="1">OFFSET(Auckland_Reference,11,7)</f>
        <v>6.0358919294</v>
      </c>
      <c r="G17" s="4">
        <f ca="1">OFFSET(Auckland_Reference,12,7)</f>
        <v>6.5796398320999998</v>
      </c>
      <c r="H17" s="4">
        <f ca="1">OFFSET(Auckland_Reference,13,7)</f>
        <v>7.1283229733000004</v>
      </c>
      <c r="I17" s="1">
        <f ca="1">H17*('Updated Population'!I$15/'Updated Population'!H$15)</f>
        <v>7.4346653374216087</v>
      </c>
      <c r="J17" s="1">
        <f ca="1">I17*('Updated Population'!J$15/'Updated Population'!I$15)</f>
        <v>7.729490011647191</v>
      </c>
      <c r="K17" s="1">
        <f ca="1">J17*('Updated Population'!K$15/'Updated Population'!J$15)</f>
        <v>8.0187361820417067</v>
      </c>
    </row>
    <row r="18" spans="1:11" x14ac:dyDescent="0.25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OFFSET(Auckland_Reference,15,7)</f>
        <v>332.59414728000002</v>
      </c>
      <c r="D18" s="4">
        <f ca="1">OFFSET(Auckland_Reference,16,7)</f>
        <v>355.24456429000003</v>
      </c>
      <c r="E18" s="4">
        <f ca="1">OFFSET(Auckland_Reference,17,7)</f>
        <v>376.76705083000002</v>
      </c>
      <c r="F18" s="4">
        <f ca="1">OFFSET(Auckland_Reference,18,7)</f>
        <v>399.08079777</v>
      </c>
      <c r="G18" s="4">
        <f ca="1">OFFSET(Auckland_Reference,19,7)</f>
        <v>419.34631352000002</v>
      </c>
      <c r="H18" s="4">
        <f ca="1">OFFSET(Auckland_Reference,20,7)</f>
        <v>437.41301440000001</v>
      </c>
      <c r="I18" s="1">
        <f ca="1">H18*('Updated Population'!I$15/'Updated Population'!H$15)</f>
        <v>456.21100341238923</v>
      </c>
      <c r="J18" s="1">
        <f ca="1">I18*('Updated Population'!J$15/'Updated Population'!I$15)</f>
        <v>474.30223608458238</v>
      </c>
      <c r="K18" s="1">
        <f ca="1">J18*('Updated Population'!K$15/'Updated Population'!J$15)</f>
        <v>492.05115680125272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OFFSET(Auckland_Reference,22,7)</f>
        <v>157.55915060999999</v>
      </c>
      <c r="D19" s="4">
        <f ca="1">OFFSET(Auckland_Reference,23,7)</f>
        <v>166.15393943999999</v>
      </c>
      <c r="E19" s="4">
        <f ca="1">OFFSET(Auckland_Reference,24,7)</f>
        <v>173.98645334</v>
      </c>
      <c r="F19" s="4">
        <f ca="1">OFFSET(Auckland_Reference,25,7)</f>
        <v>180.77922267</v>
      </c>
      <c r="G19" s="4">
        <f ca="1">OFFSET(Auckland_Reference,26,7)</f>
        <v>186.59708268</v>
      </c>
      <c r="H19" s="4">
        <f ca="1">OFFSET(Auckland_Reference,27,7)</f>
        <v>191.16581729999999</v>
      </c>
      <c r="I19" s="1">
        <f ca="1">H19*('Updated Population'!I$15/'Updated Population'!H$15)</f>
        <v>199.38124028662295</v>
      </c>
      <c r="J19" s="1">
        <f ca="1">I19*('Updated Population'!J$15/'Updated Population'!I$15)</f>
        <v>207.28778436713733</v>
      </c>
      <c r="K19" s="1">
        <f ca="1">J19*('Updated Population'!K$15/'Updated Population'!J$15)</f>
        <v>215.04472534350344</v>
      </c>
    </row>
    <row r="20" spans="1:11" x14ac:dyDescent="0.25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OFFSET(Auckland_Reference,29,7)</f>
        <v>2.2700725880000001</v>
      </c>
      <c r="D20" s="4">
        <f ca="1">OFFSET(Auckland_Reference,30,7)</f>
        <v>2.5969226477</v>
      </c>
      <c r="E20" s="4">
        <f ca="1">OFFSET(Auckland_Reference,31,7)</f>
        <v>2.9130666788999999</v>
      </c>
      <c r="F20" s="4">
        <f ca="1">OFFSET(Auckland_Reference,32,7)</f>
        <v>3.2119957585000001</v>
      </c>
      <c r="G20" s="4">
        <f ca="1">OFFSET(Auckland_Reference,33,7)</f>
        <v>3.4575040337999998</v>
      </c>
      <c r="H20" s="4">
        <f ca="1">OFFSET(Auckland_Reference,34,7)</f>
        <v>3.6974417935999999</v>
      </c>
      <c r="I20" s="1">
        <f ca="1">H20*('Updated Population'!I$15/'Updated Population'!H$15)</f>
        <v>3.8563407470419335</v>
      </c>
      <c r="J20" s="1">
        <f ca="1">I20*('Updated Population'!J$15/'Updated Population'!I$15)</f>
        <v>4.0092655059718059</v>
      </c>
      <c r="K20" s="1">
        <f ca="1">J20*('Updated Population'!K$15/'Updated Population'!J$15)</f>
        <v>4.1592967100939067</v>
      </c>
    </row>
    <row r="21" spans="1:11" x14ac:dyDescent="0.25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OFFSET(Auckland_Reference,36,7)</f>
        <v>1.7517811457000001</v>
      </c>
      <c r="D21" s="4">
        <f ca="1">OFFSET(Auckland_Reference,37,7)</f>
        <v>1.908512478</v>
      </c>
      <c r="E21" s="4">
        <f ca="1">OFFSET(Auckland_Reference,38,7)</f>
        <v>2.0802298845</v>
      </c>
      <c r="F21" s="4">
        <f ca="1">OFFSET(Auckland_Reference,39,7)</f>
        <v>2.2500069091000001</v>
      </c>
      <c r="G21" s="4">
        <f ca="1">OFFSET(Auckland_Reference,40,7)</f>
        <v>2.3556532342000001</v>
      </c>
      <c r="H21" s="4">
        <f ca="1">OFFSET(Auckland_Reference,41,7)</f>
        <v>2.4510354534999998</v>
      </c>
      <c r="I21" s="1">
        <f ca="1">H21*('Updated Population'!I$15/'Updated Population'!H$15)</f>
        <v>2.5563696251114001</v>
      </c>
      <c r="J21" s="1">
        <f ca="1">I21*('Updated Population'!J$15/'Updated Population'!I$15)</f>
        <v>2.657743501098806</v>
      </c>
      <c r="K21" s="1">
        <f ca="1">J21*('Updated Population'!K$15/'Updated Population'!J$15)</f>
        <v>2.757199238595764</v>
      </c>
    </row>
    <row r="22" spans="1:11" x14ac:dyDescent="0.25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4.8306178031</v>
      </c>
      <c r="D22" s="4">
        <f ca="1">OFFSET(Auckland_Reference,44,7)</f>
        <v>5.1741002469000001</v>
      </c>
      <c r="E22" s="4">
        <f ca="1">OFFSET(Auckland_Reference,45,7)</f>
        <v>5.4176460397000001</v>
      </c>
      <c r="F22" s="4">
        <f ca="1">OFFSET(Auckland_Reference,46,7)</f>
        <v>5.5975750165000004</v>
      </c>
      <c r="G22" s="4">
        <f ca="1">OFFSET(Auckland_Reference,47,7)</f>
        <v>5.7109897118999999</v>
      </c>
      <c r="H22" s="4">
        <f ca="1">OFFSET(Auckland_Reference,48,7)</f>
        <v>5.7749043458999996</v>
      </c>
      <c r="I22" s="1">
        <f ca="1">H22*('Updated Population'!I$15/'Updated Population'!H$15)</f>
        <v>6.0230830348462669</v>
      </c>
      <c r="J22" s="1">
        <f ca="1">I22*('Updated Population'!J$15/'Updated Population'!I$15)</f>
        <v>6.2619308394198114</v>
      </c>
      <c r="K22" s="1">
        <f ca="1">J22*('Updated Population'!K$15/'Updated Population'!J$15)</f>
        <v>6.4962593024682445</v>
      </c>
    </row>
    <row r="23" spans="1:11" x14ac:dyDescent="0.25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24.62897491</v>
      </c>
      <c r="D23" s="4">
        <f ca="1">OFFSET(Auckland_Reference,51,7)</f>
        <v>25.587975165</v>
      </c>
      <c r="E23" s="4">
        <f ca="1">OFFSET(Auckland_Reference,52,7)</f>
        <v>25.9615078</v>
      </c>
      <c r="F23" s="4">
        <f ca="1">OFFSET(Auckland_Reference,53,7)</f>
        <v>25.794363546</v>
      </c>
      <c r="G23" s="4">
        <f ca="1">OFFSET(Auckland_Reference,54,7)</f>
        <v>25.516570415</v>
      </c>
      <c r="H23" s="4">
        <f ca="1">OFFSET(Auckland_Reference,55,7)</f>
        <v>25.018416195</v>
      </c>
      <c r="I23" s="1">
        <f ca="1">H23*('Updated Population'!I$15/'Updated Population'!H$15)</f>
        <v>26.093592052275522</v>
      </c>
      <c r="J23" s="1">
        <f ca="1">I23*('Updated Population'!J$15/'Updated Population'!I$15)</f>
        <v>27.128344045410344</v>
      </c>
      <c r="K23" s="1">
        <f ca="1">J23*('Updated Population'!K$15/'Updated Population'!J$15)</f>
        <v>28.143517053261562</v>
      </c>
    </row>
    <row r="24" spans="1:11" x14ac:dyDescent="0.25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OFFSET(Auckland_Reference,57,7)</f>
        <v>1.3848572970999999</v>
      </c>
      <c r="D24" s="4">
        <f ca="1">OFFSET(Auckland_Reference,58,7)</f>
        <v>1.5098688897999999</v>
      </c>
      <c r="E24" s="4">
        <f ca="1">OFFSET(Auckland_Reference,59,7)</f>
        <v>1.5959026862000001</v>
      </c>
      <c r="F24" s="4">
        <f ca="1">OFFSET(Auckland_Reference,60,7)</f>
        <v>1.6664531492000001</v>
      </c>
      <c r="G24" s="4">
        <f ca="1">OFFSET(Auckland_Reference,61,7)</f>
        <v>1.7738648131000001</v>
      </c>
      <c r="H24" s="4">
        <f ca="1">OFFSET(Auckland_Reference,62,7)</f>
        <v>1.865466879</v>
      </c>
      <c r="I24" s="1">
        <f ca="1">H24*('Updated Population'!I$15/'Updated Population'!H$15)</f>
        <v>1.9456360206121202</v>
      </c>
      <c r="J24" s="1">
        <f ca="1">I24*('Updated Population'!J$15/'Updated Population'!I$15)</f>
        <v>2.022791007407728</v>
      </c>
      <c r="K24" s="1">
        <f ca="1">J24*('Updated Population'!K$15/'Updated Population'!J$15)</f>
        <v>2.0984861116797453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OFFSET(Auckland_Reference,64,7)</f>
        <v>2.8478125609</v>
      </c>
      <c r="D25" s="4">
        <f ca="1">OFFSET(Auckland_Reference,65,7)</f>
        <v>3.0745168120000002</v>
      </c>
      <c r="E25" s="4">
        <f ca="1">OFFSET(Auckland_Reference,66,7)</f>
        <v>3.1512956763000002</v>
      </c>
      <c r="F25" s="4">
        <f ca="1">OFFSET(Auckland_Reference,67,7)</f>
        <v>3.2519987989999999</v>
      </c>
      <c r="G25" s="4">
        <f ca="1">OFFSET(Auckland_Reference,68,7)</f>
        <v>3.4261473482000002</v>
      </c>
      <c r="H25" s="4">
        <f ca="1">OFFSET(Auckland_Reference,69,7)</f>
        <v>3.5962620317999998</v>
      </c>
      <c r="I25" s="1">
        <f ca="1">H25*('Updated Population'!I$15/'Updated Population'!H$15)</f>
        <v>3.7508127468768691</v>
      </c>
      <c r="J25" s="1">
        <f ca="1">I25*('Updated Population'!J$15/'Updated Population'!I$15)</f>
        <v>3.8995527500903351</v>
      </c>
      <c r="K25" s="1">
        <f ca="1">J25*('Updated Population'!K$15/'Updated Population'!J$15)</f>
        <v>4.0454783800498033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OFFSET(Waikato_Reference,0,7)</f>
        <v>13.69170819</v>
      </c>
      <c r="C27" s="4">
        <f ca="1">OFFSET(Waikato_Reference,1,7)</f>
        <v>14.357342766</v>
      </c>
      <c r="D27" s="4">
        <f ca="1">OFFSET(Waikato_Reference,2,7)</f>
        <v>14.771664960000001</v>
      </c>
      <c r="E27" s="4">
        <f ca="1">OFFSET(Waikato_Reference,3,7)</f>
        <v>14.987517242999999</v>
      </c>
      <c r="F27" s="4">
        <f ca="1">OFFSET(Waikato_Reference,4,7)</f>
        <v>15.066862043</v>
      </c>
      <c r="G27" s="4">
        <f ca="1">OFFSET(Waikato_Reference,5,7)</f>
        <v>15.025476077</v>
      </c>
      <c r="H27" s="4">
        <f ca="1">OFFSET(Waikato_Reference,6,7)</f>
        <v>14.928543499</v>
      </c>
      <c r="I27" s="1">
        <f ca="1">H27*('Updated Population'!I$26/'Updated Population'!H$26)</f>
        <v>15.246222194533814</v>
      </c>
      <c r="J27" s="1">
        <f ca="1">I27*('Updated Population'!J$26/'Updated Population'!I$26)</f>
        <v>15.521096980494361</v>
      </c>
      <c r="K27" s="1">
        <f ca="1">J27*('Updated Population'!K$26/'Updated Population'!J$26)</f>
        <v>15.76697028194625</v>
      </c>
    </row>
    <row r="28" spans="1:11" x14ac:dyDescent="0.25">
      <c r="A28" t="str">
        <f ca="1">OFFSET(Waikato_Reference,7,2)</f>
        <v>Cyclist</v>
      </c>
      <c r="B28" s="4">
        <f ca="1">OFFSET(Waikato_Reference,7,7)</f>
        <v>1.7805943500000001</v>
      </c>
      <c r="C28" s="4">
        <f ca="1">OFFSET(Waikato_Reference,8,7)</f>
        <v>1.8936220923</v>
      </c>
      <c r="D28" s="4">
        <f ca="1">OFFSET(Waikato_Reference,9,7)</f>
        <v>1.9994453813999999</v>
      </c>
      <c r="E28" s="4">
        <f ca="1">OFFSET(Waikato_Reference,10,7)</f>
        <v>2.0528644739000002</v>
      </c>
      <c r="F28" s="4">
        <f ca="1">OFFSET(Waikato_Reference,11,7)</f>
        <v>2.1156244746000001</v>
      </c>
      <c r="G28" s="4">
        <f ca="1">OFFSET(Waikato_Reference,12,7)</f>
        <v>2.2083565195000001</v>
      </c>
      <c r="H28" s="4">
        <f ca="1">OFFSET(Waikato_Reference,13,7)</f>
        <v>2.3056362991000001</v>
      </c>
      <c r="I28" s="1">
        <f ca="1">H28*('Updated Population'!I$26/'Updated Population'!H$26)</f>
        <v>2.3547001298697308</v>
      </c>
      <c r="J28" s="1">
        <f ca="1">I28*('Updated Population'!J$26/'Updated Population'!I$26)</f>
        <v>2.397153118284872</v>
      </c>
      <c r="K28" s="1">
        <f ca="1">J28*('Updated Population'!K$26/'Updated Population'!J$26)</f>
        <v>2.4351269774791735</v>
      </c>
    </row>
    <row r="29" spans="1:11" x14ac:dyDescent="0.25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OFFSET(Waikato_Reference,15,7)</f>
        <v>89.121473596000001</v>
      </c>
      <c r="D29" s="4">
        <f ca="1">OFFSET(Waikato_Reference,16,7)</f>
        <v>93.102029618000003</v>
      </c>
      <c r="E29" s="4">
        <f ca="1">OFFSET(Waikato_Reference,17,7)</f>
        <v>97.391877526000002</v>
      </c>
      <c r="F29" s="4">
        <f ca="1">OFFSET(Waikato_Reference,18,7)</f>
        <v>101.12728018</v>
      </c>
      <c r="G29" s="4">
        <f ca="1">OFFSET(Waikato_Reference,19,7)</f>
        <v>103.5606624</v>
      </c>
      <c r="H29" s="4">
        <f ca="1">OFFSET(Waikato_Reference,20,7)</f>
        <v>105.54500254</v>
      </c>
      <c r="I29" s="1">
        <f ca="1">H29*('Updated Population'!I$26/'Updated Population'!H$26)</f>
        <v>107.7909951734586</v>
      </c>
      <c r="J29" s="1">
        <f ca="1">I29*('Updated Population'!J$26/'Updated Population'!I$26)</f>
        <v>109.73436359277768</v>
      </c>
      <c r="K29" s="1">
        <f ca="1">J29*('Updated Population'!K$26/'Updated Population'!J$26)</f>
        <v>111.47269112807918</v>
      </c>
    </row>
    <row r="30" spans="1:11" x14ac:dyDescent="0.25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OFFSET(Waikato_Reference,22,7)</f>
        <v>43.693956821999997</v>
      </c>
      <c r="D30" s="4">
        <f ca="1">OFFSET(Waikato_Reference,23,7)</f>
        <v>44.554208862000003</v>
      </c>
      <c r="E30" s="4">
        <f ca="1">OFFSET(Waikato_Reference,24,7)</f>
        <v>45.221079297999999</v>
      </c>
      <c r="F30" s="4">
        <f ca="1">OFFSET(Waikato_Reference,25,7)</f>
        <v>45.901635280999997</v>
      </c>
      <c r="G30" s="4">
        <f ca="1">OFFSET(Waikato_Reference,26,7)</f>
        <v>46.086564989000003</v>
      </c>
      <c r="H30" s="4">
        <f ca="1">OFFSET(Waikato_Reference,27,7)</f>
        <v>45.972284184000003</v>
      </c>
      <c r="I30" s="1">
        <f ca="1">H30*('Updated Population'!I$26/'Updated Population'!H$26)</f>
        <v>46.950572204613749</v>
      </c>
      <c r="J30" s="1">
        <f ca="1">I30*('Updated Population'!J$26/'Updated Population'!I$26)</f>
        <v>47.79704606028767</v>
      </c>
      <c r="K30" s="1">
        <f ca="1">J30*('Updated Population'!K$26/'Updated Population'!J$26)</f>
        <v>48.554210165972975</v>
      </c>
    </row>
    <row r="31" spans="1:11" x14ac:dyDescent="0.25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OFFSET(Waikato_Reference,29,7)</f>
        <v>0.1956792976</v>
      </c>
      <c r="D31" s="4">
        <f ca="1">OFFSET(Waikato_Reference,30,7)</f>
        <v>0.21635814959999999</v>
      </c>
      <c r="E31" s="4">
        <f ca="1">OFFSET(Waikato_Reference,31,7)</f>
        <v>0.23283442109999999</v>
      </c>
      <c r="F31" s="4">
        <f ca="1">OFFSET(Waikato_Reference,32,7)</f>
        <v>0.2445269313</v>
      </c>
      <c r="G31" s="4">
        <f ca="1">OFFSET(Waikato_Reference,33,7)</f>
        <v>0.24653400080000001</v>
      </c>
      <c r="H31" s="4">
        <f ca="1">OFFSET(Waikato_Reference,34,7)</f>
        <v>0.2482403765</v>
      </c>
      <c r="I31" s="1">
        <f ca="1">H31*('Updated Population'!I$26/'Updated Population'!H$26)</f>
        <v>0.25352291990355613</v>
      </c>
      <c r="J31" s="1">
        <f ca="1">I31*('Updated Population'!J$26/'Updated Population'!I$26)</f>
        <v>0.25809369536880988</v>
      </c>
      <c r="K31" s="1">
        <f ca="1">J31*('Updated Population'!K$26/'Updated Population'!J$26)</f>
        <v>0.26218221752958221</v>
      </c>
    </row>
    <row r="32" spans="1:11" x14ac:dyDescent="0.25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OFFSET(Waikato_Reference,36,7)</f>
        <v>0.60691783379999997</v>
      </c>
      <c r="D32" s="4">
        <f ca="1">OFFSET(Waikato_Reference,37,7)</f>
        <v>0.60467174670000001</v>
      </c>
      <c r="E32" s="4">
        <f ca="1">OFFSET(Waikato_Reference,38,7)</f>
        <v>0.59109798499999999</v>
      </c>
      <c r="F32" s="4">
        <f ca="1">OFFSET(Waikato_Reference,39,7)</f>
        <v>0.56378002179999998</v>
      </c>
      <c r="G32" s="4">
        <f ca="1">OFFSET(Waikato_Reference,40,7)</f>
        <v>0.51272053409999996</v>
      </c>
      <c r="H32" s="4">
        <f ca="1">OFFSET(Waikato_Reference,41,7)</f>
        <v>0.46171781989999999</v>
      </c>
      <c r="I32" s="1">
        <f ca="1">H32*('Updated Population'!I$26/'Updated Population'!H$26)</f>
        <v>0.47154315314435663</v>
      </c>
      <c r="J32" s="1">
        <f ca="1">I32*('Updated Population'!J$26/'Updated Population'!I$26)</f>
        <v>0.48004462463269598</v>
      </c>
      <c r="K32" s="1">
        <f ca="1">J32*('Updated Population'!K$26/'Updated Population'!J$26)</f>
        <v>0.48764912300359103</v>
      </c>
    </row>
    <row r="33" spans="1:11" x14ac:dyDescent="0.25">
      <c r="A33" t="str">
        <f ca="1">OFFSET(Waikato_Reference,42,2)</f>
        <v>Local Train</v>
      </c>
      <c r="B33" s="4">
        <f ca="1">OFFSET(Waikato_Reference,42,7)</f>
        <v>7.0969514100000006E-2</v>
      </c>
      <c r="C33" s="4">
        <f ca="1">OFFSET(Waikato_Reference,43,7)</f>
        <v>7.6984046700000003E-2</v>
      </c>
      <c r="D33" s="4">
        <f ca="1">OFFSET(Waikato_Reference,44,7)</f>
        <v>9.0499098900000005E-2</v>
      </c>
      <c r="E33" s="4">
        <f ca="1">OFFSET(Waikato_Reference,45,7)</f>
        <v>0.1023221279</v>
      </c>
      <c r="F33" s="4">
        <f ca="1">OFFSET(Waikato_Reference,46,7)</f>
        <v>0.11013538439999999</v>
      </c>
      <c r="G33" s="4">
        <f ca="1">OFFSET(Waikato_Reference,47,7)</f>
        <v>0.11693205769999999</v>
      </c>
      <c r="H33" s="4">
        <f ca="1">OFFSET(Waikato_Reference,48,7)</f>
        <v>0.122436852</v>
      </c>
      <c r="I33" s="1">
        <f ca="1">H33*('Updated Population'!I$26/'Updated Population'!H$26)</f>
        <v>0.12504230238645145</v>
      </c>
      <c r="J33" s="1">
        <f ca="1">I33*('Updated Population'!J$26/'Updated Population'!I$26)</f>
        <v>0.12729669535448865</v>
      </c>
      <c r="K33" s="1">
        <f ca="1">J33*('Updated Population'!K$26/'Updated Population'!J$26)</f>
        <v>0.12931323186541036</v>
      </c>
    </row>
    <row r="34" spans="1:11" x14ac:dyDescent="0.25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OFFSET(Waikato_Reference,50,7)</f>
        <v>2.1869187666999998</v>
      </c>
      <c r="D34" s="4">
        <f ca="1">OFFSET(Waikato_Reference,51,7)</f>
        <v>2.1520139730999999</v>
      </c>
      <c r="E34" s="4">
        <f ca="1">OFFSET(Waikato_Reference,52,7)</f>
        <v>2.1675429332</v>
      </c>
      <c r="F34" s="4">
        <f ca="1">OFFSET(Waikato_Reference,53,7)</f>
        <v>2.1696934758999999</v>
      </c>
      <c r="G34" s="4">
        <f ca="1">OFFSET(Waikato_Reference,54,7)</f>
        <v>2.1588323475000002</v>
      </c>
      <c r="H34" s="4">
        <f ca="1">OFFSET(Waikato_Reference,55,7)</f>
        <v>2.1343226210999999</v>
      </c>
      <c r="I34" s="1">
        <f ca="1">H34*('Updated Population'!I$26/'Updated Population'!H$26)</f>
        <v>2.179740904950985</v>
      </c>
      <c r="J34" s="1">
        <f ca="1">I34*('Updated Population'!J$26/'Updated Population'!I$26)</f>
        <v>2.2190395460866665</v>
      </c>
      <c r="K34" s="1">
        <f ca="1">J34*('Updated Population'!K$26/'Updated Population'!J$26)</f>
        <v>2.25419186682368</v>
      </c>
    </row>
    <row r="35" spans="1:11" x14ac:dyDescent="0.25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OFFSET(Waikato_Reference,57,7)</f>
        <v>0.104861736</v>
      </c>
      <c r="D35" s="4">
        <f ca="1">OFFSET(Waikato_Reference,58,7)</f>
        <v>0.1116998555</v>
      </c>
      <c r="E35" s="4">
        <f ca="1">OFFSET(Waikato_Reference,59,7)</f>
        <v>0.1234257163</v>
      </c>
      <c r="F35" s="4">
        <f ca="1">OFFSET(Waikato_Reference,60,7)</f>
        <v>0.12781436430000001</v>
      </c>
      <c r="G35" s="4">
        <f ca="1">OFFSET(Waikato_Reference,61,7)</f>
        <v>0.1250733195</v>
      </c>
      <c r="H35" s="4">
        <f ca="1">OFFSET(Waikato_Reference,62,7)</f>
        <v>0.12098275830000001</v>
      </c>
      <c r="I35" s="1">
        <f ca="1">H35*('Updated Population'!I$26/'Updated Population'!H$26)</f>
        <v>0.12355726564168416</v>
      </c>
      <c r="J35" s="1">
        <f ca="1">I35*('Updated Population'!J$26/'Updated Population'!I$26)</f>
        <v>0.12578488481932576</v>
      </c>
      <c r="K35" s="1">
        <f ca="1">J35*('Updated Population'!K$26/'Updated Population'!J$26)</f>
        <v>0.12777747238849949</v>
      </c>
    </row>
    <row r="36" spans="1:11" x14ac:dyDescent="0.25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OFFSET(Waikato_Reference,64,7)</f>
        <v>0.65864474080000002</v>
      </c>
      <c r="D36" s="4">
        <f ca="1">OFFSET(Waikato_Reference,65,7)</f>
        <v>0.67759649519999998</v>
      </c>
      <c r="E36" s="4">
        <f ca="1">OFFSET(Waikato_Reference,66,7)</f>
        <v>0.67909130390000005</v>
      </c>
      <c r="F36" s="4">
        <f ca="1">OFFSET(Waikato_Reference,67,7)</f>
        <v>0.67869345110000001</v>
      </c>
      <c r="G36" s="4">
        <f ca="1">OFFSET(Waikato_Reference,68,7)</f>
        <v>0.67244219790000004</v>
      </c>
      <c r="H36" s="4">
        <f ca="1">OFFSET(Waikato_Reference,69,7)</f>
        <v>0.65020723209999998</v>
      </c>
      <c r="I36" s="1">
        <f ca="1">H36*('Updated Population'!I$26/'Updated Population'!H$26)</f>
        <v>0.66404361106985843</v>
      </c>
      <c r="J36" s="1">
        <f ca="1">I36*('Updated Population'!J$26/'Updated Population'!I$26)</f>
        <v>0.67601568147079605</v>
      </c>
      <c r="K36" s="1">
        <f ca="1">J36*('Updated Population'!K$26/'Updated Population'!J$26)</f>
        <v>0.68672460285988068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OFFSET(BOP_Reference,0,7)</f>
        <v>9.1706746114000008</v>
      </c>
      <c r="C38" s="4">
        <f ca="1">OFFSET(BOP_Reference,1,7)</f>
        <v>9.1231368286999999</v>
      </c>
      <c r="D38" s="4">
        <f ca="1">OFFSET(BOP_Reference,2,7)</f>
        <v>9.2253754374000003</v>
      </c>
      <c r="E38" s="4">
        <f ca="1">OFFSET(BOP_Reference,3,7)</f>
        <v>9.3384111796999996</v>
      </c>
      <c r="F38" s="4">
        <f ca="1">OFFSET(BOP_Reference,4,7)</f>
        <v>9.3299146004000004</v>
      </c>
      <c r="G38" s="4">
        <f ca="1">OFFSET(BOP_Reference,5,7)</f>
        <v>9.3014655286999997</v>
      </c>
      <c r="H38" s="4">
        <f ca="1">OFFSET(BOP_Reference,6,7)</f>
        <v>9.2469032937000009</v>
      </c>
      <c r="I38" s="1">
        <f ca="1">H38*('Updated Population'!I$37/'Updated Population'!H$37)</f>
        <v>9.3798865778206686</v>
      </c>
      <c r="J38" s="1">
        <f ca="1">I38*('Updated Population'!J$37/'Updated Population'!I$37)</f>
        <v>9.4844951542155922</v>
      </c>
      <c r="K38" s="1">
        <f ca="1">J38*('Updated Population'!K$37/'Updated Population'!J$37)</f>
        <v>9.5696602605675007</v>
      </c>
    </row>
    <row r="39" spans="1:11" x14ac:dyDescent="0.25">
      <c r="A39" t="str">
        <f ca="1">OFFSET(BOP_Reference,7,2)</f>
        <v>Cyclist</v>
      </c>
      <c r="B39" s="4">
        <f ca="1">OFFSET(BOP_Reference,7,7)</f>
        <v>0.91801276549999999</v>
      </c>
      <c r="C39" s="4">
        <f ca="1">OFFSET(BOP_Reference,8,7)</f>
        <v>0.87246196180000002</v>
      </c>
      <c r="D39" s="4">
        <f ca="1">OFFSET(BOP_Reference,9,7)</f>
        <v>0.85065460429999995</v>
      </c>
      <c r="E39" s="4">
        <f ca="1">OFFSET(BOP_Reference,10,7)</f>
        <v>0.85599727280000004</v>
      </c>
      <c r="F39" s="4">
        <f ca="1">OFFSET(BOP_Reference,11,7)</f>
        <v>0.84902615749999999</v>
      </c>
      <c r="G39" s="4">
        <f ca="1">OFFSET(BOP_Reference,12,7)</f>
        <v>0.84240488530000002</v>
      </c>
      <c r="H39" s="4">
        <f ca="1">OFFSET(BOP_Reference,13,7)</f>
        <v>0.83391520279999998</v>
      </c>
      <c r="I39" s="1">
        <f ca="1">H39*('Updated Population'!I$37/'Updated Population'!H$37)</f>
        <v>0.84590805909190603</v>
      </c>
      <c r="J39" s="1">
        <f ca="1">I39*('Updated Population'!J$37/'Updated Population'!I$37)</f>
        <v>0.85534199382964959</v>
      </c>
      <c r="K39" s="1">
        <f ca="1">J39*('Updated Population'!K$37/'Updated Population'!J$37)</f>
        <v>0.86302245448541548</v>
      </c>
    </row>
    <row r="40" spans="1:11" x14ac:dyDescent="0.25">
      <c r="A40" t="str">
        <f ca="1">OFFSET(BOP_Reference,14,2)</f>
        <v>Light Vehicle Driver</v>
      </c>
      <c r="B40" s="4">
        <f ca="1">OFFSET(BOP_Reference,14,7)</f>
        <v>45.59682093</v>
      </c>
      <c r="C40" s="4">
        <f ca="1">OFFSET(BOP_Reference,15,7)</f>
        <v>46.924778840000002</v>
      </c>
      <c r="D40" s="4">
        <f ca="1">OFFSET(BOP_Reference,16,7)</f>
        <v>48.980642240000002</v>
      </c>
      <c r="E40" s="4">
        <f ca="1">OFFSET(BOP_Reference,17,7)</f>
        <v>51.924729636999999</v>
      </c>
      <c r="F40" s="4">
        <f ca="1">OFFSET(BOP_Reference,18,7)</f>
        <v>54.023771197999999</v>
      </c>
      <c r="G40" s="4">
        <f ca="1">OFFSET(BOP_Reference,19,7)</f>
        <v>55.089980236999999</v>
      </c>
      <c r="H40" s="4">
        <f ca="1">OFFSET(BOP_Reference,20,7)</f>
        <v>55.933187685</v>
      </c>
      <c r="I40" s="1">
        <f ca="1">H40*('Updated Population'!I$37/'Updated Population'!H$37)</f>
        <v>56.737584438533339</v>
      </c>
      <c r="J40" s="1">
        <f ca="1">I40*('Updated Population'!J$37/'Updated Population'!I$37)</f>
        <v>57.370346667261771</v>
      </c>
      <c r="K40" s="1">
        <f ca="1">J40*('Updated Population'!K$37/'Updated Population'!J$37)</f>
        <v>57.885498143003893</v>
      </c>
    </row>
    <row r="41" spans="1:11" x14ac:dyDescent="0.25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OFFSET(BOP_Reference,22,7)</f>
        <v>29.389756508000001</v>
      </c>
      <c r="D41" s="4">
        <f ca="1">OFFSET(BOP_Reference,23,7)</f>
        <v>30.100385065000001</v>
      </c>
      <c r="E41" s="4">
        <f ca="1">OFFSET(BOP_Reference,24,7)</f>
        <v>31.045389652000001</v>
      </c>
      <c r="F41" s="4">
        <f ca="1">OFFSET(BOP_Reference,25,7)</f>
        <v>31.493922194</v>
      </c>
      <c r="G41" s="4">
        <f ca="1">OFFSET(BOP_Reference,26,7)</f>
        <v>31.720440298</v>
      </c>
      <c r="H41" s="4">
        <f ca="1">OFFSET(BOP_Reference,27,7)</f>
        <v>31.835575307999999</v>
      </c>
      <c r="I41" s="1">
        <f ca="1">H41*('Updated Population'!I$37/'Updated Population'!H$37)</f>
        <v>32.293415000041882</v>
      </c>
      <c r="J41" s="1">
        <f ca="1">I41*('Updated Population'!J$37/'Updated Population'!I$37)</f>
        <v>32.653565215298507</v>
      </c>
      <c r="K41" s="1">
        <f ca="1">J41*('Updated Population'!K$37/'Updated Population'!J$37)</f>
        <v>32.946774744020111</v>
      </c>
    </row>
    <row r="42" spans="1:11" x14ac:dyDescent="0.25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OFFSET(BOP_Reference,29,7)</f>
        <v>6.6186346500000007E-2</v>
      </c>
      <c r="D42" s="4">
        <f ca="1">OFFSET(BOP_Reference,30,7)</f>
        <v>6.3705255500000002E-2</v>
      </c>
      <c r="E42" s="4">
        <f ca="1">OFFSET(BOP_Reference,31,7)</f>
        <v>6.4323127300000005E-2</v>
      </c>
      <c r="F42" s="4">
        <f ca="1">OFFSET(BOP_Reference,32,7)</f>
        <v>6.1791671300000003E-2</v>
      </c>
      <c r="G42" s="4">
        <f ca="1">OFFSET(BOP_Reference,33,7)</f>
        <v>6.0084388699999998E-2</v>
      </c>
      <c r="H42" s="4">
        <f ca="1">OFFSET(BOP_Reference,34,7)</f>
        <v>5.8129013200000003E-2</v>
      </c>
      <c r="I42" s="1">
        <f ca="1">H42*('Updated Population'!I$37/'Updated Population'!H$37)</f>
        <v>5.8964988967508715E-2</v>
      </c>
      <c r="J42" s="1">
        <f ca="1">I42*('Updated Population'!J$37/'Updated Population'!I$37)</f>
        <v>5.9622592180709463E-2</v>
      </c>
      <c r="K42" s="1">
        <f ca="1">J42*('Updated Population'!K$37/'Updated Population'!J$37)</f>
        <v>6.0157967477072985E-2</v>
      </c>
    </row>
    <row r="43" spans="1:11" x14ac:dyDescent="0.25">
      <c r="A43" t="str">
        <f ca="1">OFFSET(BOP_Reference,35,2)</f>
        <v>Motorcyclist</v>
      </c>
      <c r="B43" s="4">
        <f ca="1">OFFSET(BOP_Reference,35,7)</f>
        <v>0.60409197079999999</v>
      </c>
      <c r="C43" s="4">
        <f ca="1">OFFSET(BOP_Reference,36,7)</f>
        <v>0.64185001230000005</v>
      </c>
      <c r="D43" s="4">
        <f ca="1">OFFSET(BOP_Reference,37,7)</f>
        <v>0.66243605240000003</v>
      </c>
      <c r="E43" s="4">
        <f ca="1">OFFSET(BOP_Reference,38,7)</f>
        <v>0.68699899230000006</v>
      </c>
      <c r="F43" s="4">
        <f ca="1">OFFSET(BOP_Reference,39,7)</f>
        <v>0.69348004870000002</v>
      </c>
      <c r="G43" s="4">
        <f ca="1">OFFSET(BOP_Reference,40,7)</f>
        <v>0.68705663579999998</v>
      </c>
      <c r="H43" s="4">
        <f ca="1">OFFSET(BOP_Reference,41,7)</f>
        <v>0.67588049439999998</v>
      </c>
      <c r="I43" s="1">
        <f ca="1">H43*('Updated Population'!I$37/'Updated Population'!H$37)</f>
        <v>0.68560059257380157</v>
      </c>
      <c r="J43" s="1">
        <f ca="1">I43*('Updated Population'!J$37/'Updated Population'!I$37)</f>
        <v>0.69324670869361127</v>
      </c>
      <c r="K43" s="1">
        <f ca="1">J43*('Updated Population'!K$37/'Updated Population'!J$37)</f>
        <v>0.69947165042366843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5">
      <c r="A45" t="str">
        <f ca="1">OFFSET(BOP_Reference,42,2)</f>
        <v>Local Bus</v>
      </c>
      <c r="B45" s="4">
        <f ca="1">OFFSET(BOP_Reference,42,7)</f>
        <v>2.9412276716000001</v>
      </c>
      <c r="C45" s="4">
        <f ca="1">OFFSET(BOP_Reference,43,7)</f>
        <v>2.7768122193</v>
      </c>
      <c r="D45" s="4">
        <f ca="1">OFFSET(BOP_Reference,44,7)</f>
        <v>2.6738167587000001</v>
      </c>
      <c r="E45" s="4">
        <f ca="1">OFFSET(BOP_Reference,45,7)</f>
        <v>2.6194087339999998</v>
      </c>
      <c r="F45" s="4">
        <f ca="1">OFFSET(BOP_Reference,46,7)</f>
        <v>2.5575959040999998</v>
      </c>
      <c r="G45" s="4">
        <f ca="1">OFFSET(BOP_Reference,47,7)</f>
        <v>2.5174347174</v>
      </c>
      <c r="H45" s="4">
        <f ca="1">OFFSET(BOP_Reference,48,7)</f>
        <v>2.4676767335999998</v>
      </c>
      <c r="I45" s="1">
        <f ca="1">H45*('Updated Population'!I$37/'Updated Population'!H$37)</f>
        <v>2.5031653448419786</v>
      </c>
      <c r="J45" s="1">
        <f ca="1">I45*('Updated Population'!J$37/'Updated Population'!I$37)</f>
        <v>2.5310817339190272</v>
      </c>
      <c r="K45" s="1">
        <f ca="1">J45*('Updated Population'!K$37/'Updated Population'!J$37)</f>
        <v>2.5538093373970865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OFFSET(BOP_Reference,50,7)</f>
        <v>0.21267646770000001</v>
      </c>
      <c r="D47" s="4">
        <f ca="1">OFFSET(BOP_Reference,51,7)</f>
        <v>0.20595571630000001</v>
      </c>
      <c r="E47" s="4">
        <f ca="1">OFFSET(BOP_Reference,52,7)</f>
        <v>0.18795076059999999</v>
      </c>
      <c r="F47" s="4">
        <f ca="1">OFFSET(BOP_Reference,53,7)</f>
        <v>0.16635084880000001</v>
      </c>
      <c r="G47" s="4">
        <f ca="1">OFFSET(BOP_Reference,54,7)</f>
        <v>0.1512496787</v>
      </c>
      <c r="H47" s="4">
        <f ca="1">OFFSET(BOP_Reference,55,7)</f>
        <v>0.13712991290000001</v>
      </c>
      <c r="I47" s="1">
        <f ca="1">H47*('Updated Population'!I$37/'Updated Population'!H$37)</f>
        <v>0.13910203108804764</v>
      </c>
      <c r="J47" s="1">
        <f ca="1">I47*('Updated Population'!J$37/'Updated Population'!I$37)</f>
        <v>0.14065335746337615</v>
      </c>
      <c r="K47" s="1">
        <f ca="1">J47*('Updated Population'!K$37/'Updated Population'!J$37)</f>
        <v>0.14191634067464357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OFFSET(Gisborne_Reference,1,7)</f>
        <v>2.1452482674</v>
      </c>
      <c r="D49" s="4">
        <f ca="1">OFFSET(Gisborne_Reference,2,7)</f>
        <v>2.0338131262000001</v>
      </c>
      <c r="E49" s="4">
        <f ca="1">OFFSET(Gisborne_Reference,3,7)</f>
        <v>1.9720493110999999</v>
      </c>
      <c r="F49" s="4">
        <f ca="1">OFFSET(Gisborne_Reference,4,7)</f>
        <v>1.9070143397999999</v>
      </c>
      <c r="G49" s="4">
        <f ca="1">OFFSET(Gisborne_Reference,5,7)</f>
        <v>1.8349818942</v>
      </c>
      <c r="H49" s="4">
        <f ca="1">OFFSET(Gisborne_Reference,6,7)</f>
        <v>1.7654359237999999</v>
      </c>
      <c r="I49" s="1">
        <f ca="1">H49*('Updated Population'!I$48/'Updated Population'!H$48)</f>
        <v>1.7488664302839854</v>
      </c>
      <c r="J49" s="1">
        <f ca="1">I49*('Updated Population'!J$48/'Updated Population'!I$48)</f>
        <v>1.7269377550426783</v>
      </c>
      <c r="K49" s="1">
        <f ca="1">J49*('Updated Population'!K$48/'Updated Population'!J$48)</f>
        <v>1.7016192734012525</v>
      </c>
    </row>
    <row r="50" spans="1:11" x14ac:dyDescent="0.25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OFFSET(Gisborne_Reference,8,7)</f>
        <v>0.25736887819999998</v>
      </c>
      <c r="D50" s="4">
        <f ca="1">OFFSET(Gisborne_Reference,9,7)</f>
        <v>0.24146255380000001</v>
      </c>
      <c r="E50" s="4">
        <f ca="1">OFFSET(Gisborne_Reference,10,7)</f>
        <v>0.21699228509999999</v>
      </c>
      <c r="F50" s="4">
        <f ca="1">OFFSET(Gisborne_Reference,11,7)</f>
        <v>0.1942846631</v>
      </c>
      <c r="G50" s="4">
        <f ca="1">OFFSET(Gisborne_Reference,12,7)</f>
        <v>0.1745637937</v>
      </c>
      <c r="H50" s="4">
        <f ca="1">OFFSET(Gisborne_Reference,13,7)</f>
        <v>0.15752245919999999</v>
      </c>
      <c r="I50" s="1">
        <f ca="1">H50*('Updated Population'!I$48/'Updated Population'!H$48)</f>
        <v>0.15604403263625191</v>
      </c>
      <c r="J50" s="1">
        <f ca="1">I50*('Updated Population'!J$48/'Updated Population'!I$48)</f>
        <v>0.15408742871512304</v>
      </c>
      <c r="K50" s="1">
        <f ca="1">J50*('Updated Population'!K$48/'Updated Population'!J$48)</f>
        <v>0.15182836655511953</v>
      </c>
    </row>
    <row r="51" spans="1:11" x14ac:dyDescent="0.25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OFFSET(Gisborne_Reference,15,7)</f>
        <v>6.1848439588000002</v>
      </c>
      <c r="D51" s="4">
        <f ca="1">OFFSET(Gisborne_Reference,16,7)</f>
        <v>6.1917898603000001</v>
      </c>
      <c r="E51" s="4">
        <f ca="1">OFFSET(Gisborne_Reference,17,7)</f>
        <v>6.1761674920000003</v>
      </c>
      <c r="F51" s="4">
        <f ca="1">OFFSET(Gisborne_Reference,18,7)</f>
        <v>6.1245430435000001</v>
      </c>
      <c r="G51" s="4">
        <f ca="1">OFFSET(Gisborne_Reference,19,7)</f>
        <v>6.0668537531000002</v>
      </c>
      <c r="H51" s="4">
        <f ca="1">OFFSET(Gisborne_Reference,20,7)</f>
        <v>5.9957586016000004</v>
      </c>
      <c r="I51" s="1">
        <f ca="1">H51*('Updated Population'!I$48/'Updated Population'!H$48)</f>
        <v>5.9394854274034756</v>
      </c>
      <c r="J51" s="1">
        <f ca="1">I51*('Updated Population'!J$48/'Updated Population'!I$48)</f>
        <v>5.8650114454099755</v>
      </c>
      <c r="K51" s="1">
        <f ca="1">J51*('Updated Population'!K$48/'Updated Population'!J$48)</f>
        <v>5.7790250314968148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OFFSET(Gisborne_Reference,22,7)</f>
        <v>4.3586438357999997</v>
      </c>
      <c r="D52" s="4">
        <f ca="1">OFFSET(Gisborne_Reference,23,7)</f>
        <v>4.1435630797999998</v>
      </c>
      <c r="E52" s="4">
        <f ca="1">OFFSET(Gisborne_Reference,24,7)</f>
        <v>3.9432734617</v>
      </c>
      <c r="F52" s="4">
        <f ca="1">OFFSET(Gisborne_Reference,25,7)</f>
        <v>3.7175013019000001</v>
      </c>
      <c r="G52" s="4">
        <f ca="1">OFFSET(Gisborne_Reference,26,7)</f>
        <v>3.5553156835999999</v>
      </c>
      <c r="H52" s="4">
        <f ca="1">OFFSET(Gisborne_Reference,27,7)</f>
        <v>3.4009293736999999</v>
      </c>
      <c r="I52" s="1">
        <f ca="1">H52*('Updated Population'!I$48/'Updated Population'!H$48)</f>
        <v>3.369009961363215</v>
      </c>
      <c r="J52" s="1">
        <f ca="1">I52*('Updated Population'!J$48/'Updated Population'!I$48)</f>
        <v>3.3267666407481205</v>
      </c>
      <c r="K52" s="1">
        <f ca="1">J52*('Updated Population'!K$48/'Updated Population'!J$48)</f>
        <v>3.2779932093530744</v>
      </c>
    </row>
    <row r="53" spans="1:11" x14ac:dyDescent="0.25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OFFSET(Gisborne_Reference,29,7)</f>
        <v>6.7854517999999999E-3</v>
      </c>
      <c r="D53" s="4">
        <f ca="1">OFFSET(Gisborne_Reference,30,7)</f>
        <v>9.5463777000000007E-3</v>
      </c>
      <c r="E53" s="4">
        <f ca="1">OFFSET(Gisborne_Reference,31,7)</f>
        <v>1.3630504599999999E-2</v>
      </c>
      <c r="F53" s="4">
        <f ca="1">OFFSET(Gisborne_Reference,32,7)</f>
        <v>1.8072403800000001E-2</v>
      </c>
      <c r="G53" s="4">
        <f ca="1">OFFSET(Gisborne_Reference,33,7)</f>
        <v>2.12107367E-2</v>
      </c>
      <c r="H53" s="4">
        <f ca="1">OFFSET(Gisborne_Reference,34,7)</f>
        <v>2.4839495100000001E-2</v>
      </c>
      <c r="I53" s="1">
        <f ca="1">H53*('Updated Population'!I$48/'Updated Population'!H$48)</f>
        <v>2.4606364093968002E-2</v>
      </c>
      <c r="J53" s="1">
        <f ca="1">I53*('Updated Population'!J$48/'Updated Population'!I$48)</f>
        <v>2.4297829972812525E-2</v>
      </c>
      <c r="K53" s="1">
        <f ca="1">J53*('Updated Population'!K$48/'Updated Population'!J$48)</f>
        <v>2.3941601637253358E-2</v>
      </c>
    </row>
    <row r="54" spans="1:11" x14ac:dyDescent="0.25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OFFSET(Gisborne_Reference,36,7)</f>
        <v>4.6273164399999997E-2</v>
      </c>
      <c r="D54" s="4">
        <f ca="1">OFFSET(Gisborne_Reference,37,7)</f>
        <v>4.3836975799999997E-2</v>
      </c>
      <c r="E54" s="4">
        <f ca="1">OFFSET(Gisborne_Reference,38,7)</f>
        <v>4.0836764800000001E-2</v>
      </c>
      <c r="F54" s="4">
        <f ca="1">OFFSET(Gisborne_Reference,39,7)</f>
        <v>3.8021242500000003E-2</v>
      </c>
      <c r="G54" s="4">
        <f ca="1">OFFSET(Gisborne_Reference,40,7)</f>
        <v>3.5852383100000003E-2</v>
      </c>
      <c r="H54" s="4">
        <f ca="1">OFFSET(Gisborne_Reference,41,7)</f>
        <v>3.3523906399999998E-2</v>
      </c>
      <c r="I54" s="1">
        <f ca="1">H54*('Updated Population'!I$48/'Updated Population'!H$48)</f>
        <v>3.320926787801351E-2</v>
      </c>
      <c r="J54" s="1">
        <f ca="1">I54*('Updated Population'!J$48/'Updated Population'!I$48)</f>
        <v>3.2792863721762266E-2</v>
      </c>
      <c r="K54" s="1">
        <f ca="1">J54*('Updated Population'!K$48/'Updated Population'!J$48)</f>
        <v>3.2312090447980495E-2</v>
      </c>
    </row>
    <row r="55" spans="1:11" x14ac:dyDescent="0.25">
      <c r="A55" t="str">
        <f ca="1">OFFSET(Gisborne_Reference,42,2)</f>
        <v>Local Train</v>
      </c>
      <c r="B55" s="4">
        <f ca="1">OFFSET(Gisborne_Reference,42,7)</f>
        <v>2.5293475000000001E-3</v>
      </c>
      <c r="C55" s="4">
        <f ca="1">OFFSET(Gisborne_Reference,43,7)</f>
        <v>3.7696370000000002E-3</v>
      </c>
      <c r="D55" s="4">
        <f ca="1">OFFSET(Gisborne_Reference,44,7)</f>
        <v>5.6387481999999999E-3</v>
      </c>
      <c r="E55" s="4">
        <f ca="1">OFFSET(Gisborne_Reference,45,7)</f>
        <v>8.3189331999999998E-3</v>
      </c>
      <c r="F55" s="4">
        <f ca="1">OFFSET(Gisborne_Reference,46,7)</f>
        <v>1.1235868E-2</v>
      </c>
      <c r="G55" s="4">
        <f ca="1">OFFSET(Gisborne_Reference,47,7)</f>
        <v>1.3230828199999999E-2</v>
      </c>
      <c r="H55" s="4">
        <f ca="1">OFFSET(Gisborne_Reference,48,7)</f>
        <v>1.5496593899999999E-2</v>
      </c>
      <c r="I55" s="1">
        <f ca="1">H55*('Updated Population'!I$48/'Updated Population'!H$48)</f>
        <v>1.5351150664884631E-2</v>
      </c>
      <c r="J55" s="1">
        <f ca="1">I55*('Updated Population'!J$48/'Updated Population'!I$48)</f>
        <v>1.5158665754841519E-2</v>
      </c>
      <c r="K55" s="1">
        <f ca="1">J55*('Updated Population'!K$48/'Updated Population'!J$48)</f>
        <v>1.4936425897323911E-2</v>
      </c>
    </row>
    <row r="56" spans="1:11" x14ac:dyDescent="0.25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OFFSET(Gisborne_Reference,50,7)</f>
        <v>0.15996836489999999</v>
      </c>
      <c r="D56" s="4">
        <f ca="1">OFFSET(Gisborne_Reference,51,7)</f>
        <v>0.1494327459</v>
      </c>
      <c r="E56" s="4">
        <f ca="1">OFFSET(Gisborne_Reference,52,7)</f>
        <v>0.1465219804</v>
      </c>
      <c r="F56" s="4">
        <f ca="1">OFFSET(Gisborne_Reference,53,7)</f>
        <v>0.14353467950000001</v>
      </c>
      <c r="G56" s="4">
        <f ca="1">OFFSET(Gisborne_Reference,54,7)</f>
        <v>0.14365294710000001</v>
      </c>
      <c r="H56" s="4">
        <f ca="1">OFFSET(Gisborne_Reference,55,7)</f>
        <v>0.14505059610000001</v>
      </c>
      <c r="I56" s="1">
        <f ca="1">H56*('Updated Population'!I$48/'Updated Population'!H$48)</f>
        <v>0.14368922416960461</v>
      </c>
      <c r="J56" s="1">
        <f ca="1">I56*('Updated Population'!J$48/'Updated Population'!I$48)</f>
        <v>0.14188753464207507</v>
      </c>
      <c r="K56" s="1">
        <f ca="1">J56*('Updated Population'!K$48/'Updated Population'!J$48)</f>
        <v>0.13980733404973017</v>
      </c>
    </row>
    <row r="57" spans="1:11" x14ac:dyDescent="0.25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OFFSET(Gisborne_Reference,57,7)</f>
        <v>6.2084263000000001E-3</v>
      </c>
      <c r="D57" s="4">
        <f ca="1">OFFSET(Gisborne_Reference,58,7)</f>
        <v>5.8279283000000001E-3</v>
      </c>
      <c r="E57" s="4">
        <f ca="1">OFFSET(Gisborne_Reference,59,7)</f>
        <v>5.6957902000000001E-3</v>
      </c>
      <c r="F57" s="4">
        <f ca="1">OFFSET(Gisborne_Reference,60,7)</f>
        <v>6.2841355000000003E-3</v>
      </c>
      <c r="G57" s="4">
        <f ca="1">OFFSET(Gisborne_Reference,61,7)</f>
        <v>7.4299196000000003E-3</v>
      </c>
      <c r="H57" s="4">
        <f ca="1">OFFSET(Gisborne_Reference,62,7)</f>
        <v>8.6348498999999999E-3</v>
      </c>
      <c r="I57" s="1">
        <f ca="1">H57*('Updated Population'!I$48/'Updated Population'!H$48)</f>
        <v>8.5538075424151112E-3</v>
      </c>
      <c r="J57" s="1">
        <f ca="1">I57*('Updated Population'!J$48/'Updated Population'!I$48)</f>
        <v>8.4465531149607483E-3</v>
      </c>
      <c r="K57" s="1">
        <f ca="1">J57*('Updated Population'!K$48/'Updated Population'!J$48)</f>
        <v>8.3227189470238879E-3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OFFSET(Gisborne_Reference,64,7)</f>
        <v>4.4055277999999996E-3</v>
      </c>
      <c r="D58" s="4">
        <f ca="1">OFFSET(Gisborne_Reference,65,7)</f>
        <v>3.3158005E-3</v>
      </c>
      <c r="E58" s="4">
        <f ca="1">OFFSET(Gisborne_Reference,66,7)</f>
        <v>3.0100436999999998E-3</v>
      </c>
      <c r="F58" s="4">
        <f ca="1">OFFSET(Gisborne_Reference,67,7)</f>
        <v>2.5576008E-3</v>
      </c>
      <c r="G58" s="4">
        <f ca="1">OFFSET(Gisborne_Reference,68,7)</f>
        <v>1.9379783E-3</v>
      </c>
      <c r="H58" s="4">
        <f ca="1">OFFSET(Gisborne_Reference,69,7)</f>
        <v>1.4134951999999999E-3</v>
      </c>
      <c r="I58" s="1">
        <f ca="1">H58*('Updated Population'!I$48/'Updated Population'!H$48)</f>
        <v>1.4002288450813203E-3</v>
      </c>
      <c r="J58" s="1">
        <f ca="1">I58*('Updated Population'!J$48/'Updated Population'!I$48)</f>
        <v>1.3826716645696487E-3</v>
      </c>
      <c r="K58" s="1">
        <f ca="1">J58*('Updated Population'!K$48/'Updated Population'!J$48)</f>
        <v>1.3624004376228147E-3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OFFSET(Hawkes_Bay_Reference,1,7)</f>
        <v>6.1119413737999997</v>
      </c>
      <c r="D60" s="4">
        <f ca="1">OFFSET(Hawkes_Bay_Reference,2,7)</f>
        <v>6.2445894601000003</v>
      </c>
      <c r="E60" s="4">
        <f ca="1">OFFSET(Hawkes_Bay_Reference,3,7)</f>
        <v>6.2047494628999997</v>
      </c>
      <c r="F60" s="4">
        <f ca="1">OFFSET(Hawkes_Bay_Reference,4,7)</f>
        <v>6.0804056130999999</v>
      </c>
      <c r="G60" s="4">
        <f ca="1">OFFSET(Hawkes_Bay_Reference,5,7)</f>
        <v>5.9708379517000001</v>
      </c>
      <c r="H60" s="4">
        <f ca="1">OFFSET(Hawkes_Bay_Reference,6,7)</f>
        <v>5.8416430276</v>
      </c>
      <c r="I60" s="1">
        <f ca="1">H60*('Updated Population'!I$59/'Updated Population'!H$59)</f>
        <v>5.8012277631965858</v>
      </c>
      <c r="J60" s="1">
        <f ca="1">I60*('Updated Population'!J$59/'Updated Population'!I$59)</f>
        <v>5.742753561961405</v>
      </c>
      <c r="K60" s="1">
        <f ca="1">J60*('Updated Population'!K$59/'Updated Population'!J$59)</f>
        <v>5.6726516086424414</v>
      </c>
    </row>
    <row r="61" spans="1:11" x14ac:dyDescent="0.25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OFFSET(Hawkes_Bay_Reference,8,7)</f>
        <v>0.92707566509999995</v>
      </c>
      <c r="D61" s="4">
        <f ca="1">OFFSET(Hawkes_Bay_Reference,9,7)</f>
        <v>0.94165506160000001</v>
      </c>
      <c r="E61" s="4">
        <f ca="1">OFFSET(Hawkes_Bay_Reference,10,7)</f>
        <v>0.96561803390000001</v>
      </c>
      <c r="F61" s="4">
        <f ca="1">OFFSET(Hawkes_Bay_Reference,11,7)</f>
        <v>0.97766807990000004</v>
      </c>
      <c r="G61" s="4">
        <f ca="1">OFFSET(Hawkes_Bay_Reference,12,7)</f>
        <v>0.97173983789999996</v>
      </c>
      <c r="H61" s="4">
        <f ca="1">OFFSET(Hawkes_Bay_Reference,13,7)</f>
        <v>0.96098666119999998</v>
      </c>
      <c r="I61" s="1">
        <f ca="1">H61*('Updated Population'!I$59/'Updated Population'!H$59)</f>
        <v>0.95433809848963724</v>
      </c>
      <c r="J61" s="1">
        <f ca="1">I61*('Updated Population'!J$59/'Updated Population'!I$59)</f>
        <v>0.94471872819504055</v>
      </c>
      <c r="K61" s="1">
        <f ca="1">J61*('Updated Population'!K$59/'Updated Population'!J$59)</f>
        <v>0.93318652026222093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OFFSET(Hawkes_Bay_Reference,15,7)</f>
        <v>26.851582032</v>
      </c>
      <c r="D62" s="4">
        <f ca="1">OFFSET(Hawkes_Bay_Reference,16,7)</f>
        <v>27.730618091</v>
      </c>
      <c r="E62" s="4">
        <f ca="1">OFFSET(Hawkes_Bay_Reference,17,7)</f>
        <v>28.761619458999998</v>
      </c>
      <c r="F62" s="4">
        <f ca="1">OFFSET(Hawkes_Bay_Reference,18,7)</f>
        <v>29.491402811</v>
      </c>
      <c r="G62" s="4">
        <f ca="1">OFFSET(Hawkes_Bay_Reference,19,7)</f>
        <v>29.735569444999999</v>
      </c>
      <c r="H62" s="4">
        <f ca="1">OFFSET(Hawkes_Bay_Reference,20,7)</f>
        <v>29.848199676</v>
      </c>
      <c r="I62" s="1">
        <f ca="1">H62*('Updated Population'!I$59/'Updated Population'!H$59)</f>
        <v>29.641695636610411</v>
      </c>
      <c r="J62" s="1">
        <f ca="1">I62*('Updated Population'!J$59/'Updated Population'!I$59)</f>
        <v>29.342918455924082</v>
      </c>
      <c r="K62" s="1">
        <f ca="1">J62*('Updated Population'!K$59/'Updated Population'!J$59)</f>
        <v>28.984728629798791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OFFSET(Hawkes_Bay_Reference,22,7)</f>
        <v>15.608337468</v>
      </c>
      <c r="D63" s="4">
        <f ca="1">OFFSET(Hawkes_Bay_Reference,23,7)</f>
        <v>15.773724852999999</v>
      </c>
      <c r="E63" s="4">
        <f ca="1">OFFSET(Hawkes_Bay_Reference,24,7)</f>
        <v>15.905760315</v>
      </c>
      <c r="F63" s="4">
        <f ca="1">OFFSET(Hawkes_Bay_Reference,25,7)</f>
        <v>15.722057272000001</v>
      </c>
      <c r="G63" s="4">
        <f ca="1">OFFSET(Hawkes_Bay_Reference,26,7)</f>
        <v>15.422286015999999</v>
      </c>
      <c r="H63" s="4">
        <f ca="1">OFFSET(Hawkes_Bay_Reference,27,7)</f>
        <v>15.060494965</v>
      </c>
      <c r="I63" s="1">
        <f ca="1">H63*('Updated Population'!I$59/'Updated Population'!H$59)</f>
        <v>14.956299298955198</v>
      </c>
      <c r="J63" s="1">
        <f ca="1">I63*('Updated Population'!J$59/'Updated Population'!I$59)</f>
        <v>14.805545408461715</v>
      </c>
      <c r="K63" s="1">
        <f ca="1">J63*('Updated Population'!K$59/'Updated Population'!J$59)</f>
        <v>14.624813701644177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OFFSET(Hawkes_Bay_Reference,29,7)</f>
        <v>4.7156156499999997E-2</v>
      </c>
      <c r="D64" s="4">
        <f ca="1">OFFSET(Hawkes_Bay_Reference,30,7)</f>
        <v>4.8922941800000001E-2</v>
      </c>
      <c r="E64" s="4">
        <f ca="1">OFFSET(Hawkes_Bay_Reference,31,7)</f>
        <v>5.1050616700000002E-2</v>
      </c>
      <c r="F64" s="4">
        <f ca="1">OFFSET(Hawkes_Bay_Reference,32,7)</f>
        <v>5.4036852599999997E-2</v>
      </c>
      <c r="G64" s="4">
        <f ca="1">OFFSET(Hawkes_Bay_Reference,33,7)</f>
        <v>5.37000984E-2</v>
      </c>
      <c r="H64" s="4">
        <f ca="1">OFFSET(Hawkes_Bay_Reference,34,7)</f>
        <v>5.1700970899999997E-2</v>
      </c>
      <c r="I64" s="1">
        <f ca="1">H64*('Updated Population'!I$59/'Updated Population'!H$59)</f>
        <v>5.134327899740266E-2</v>
      </c>
      <c r="J64" s="1">
        <f ca="1">I64*('Updated Population'!J$59/'Updated Population'!I$59)</f>
        <v>5.0825757991381372E-2</v>
      </c>
      <c r="K64" s="1">
        <f ca="1">J64*('Updated Population'!K$59/'Updated Population'!J$59)</f>
        <v>5.0205326542309081E-2</v>
      </c>
    </row>
    <row r="65" spans="1:11" x14ac:dyDescent="0.25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OFFSET(Hawkes_Bay_Reference,36,7)</f>
        <v>0.1125540652</v>
      </c>
      <c r="D65" s="4">
        <f ca="1">OFFSET(Hawkes_Bay_Reference,37,7)</f>
        <v>0.1078638739</v>
      </c>
      <c r="E65" s="4">
        <f ca="1">OFFSET(Hawkes_Bay_Reference,38,7)</f>
        <v>0.1033850835</v>
      </c>
      <c r="F65" s="4">
        <f ca="1">OFFSET(Hawkes_Bay_Reference,39,7)</f>
        <v>9.4683085700000003E-2</v>
      </c>
      <c r="G65" s="4">
        <f ca="1">OFFSET(Hawkes_Bay_Reference,40,7)</f>
        <v>8.8572250800000002E-2</v>
      </c>
      <c r="H65" s="4">
        <f ca="1">OFFSET(Hawkes_Bay_Reference,41,7)</f>
        <v>8.2458415800000004E-2</v>
      </c>
      <c r="I65" s="1">
        <f ca="1">H65*('Updated Population'!I$59/'Updated Population'!H$59)</f>
        <v>8.1887929267170423E-2</v>
      </c>
      <c r="J65" s="1">
        <f ca="1">I65*('Updated Population'!J$59/'Updated Population'!I$59)</f>
        <v>8.1062529636237418E-2</v>
      </c>
      <c r="K65" s="1">
        <f ca="1">J65*('Updated Population'!K$59/'Updated Population'!J$59)</f>
        <v>8.0072997070167184E-2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OFFSET(Hawkes_Bay_Reference,43,7)</f>
        <v>1.3544011966</v>
      </c>
      <c r="D67" s="4">
        <f ca="1">OFFSET(Hawkes_Bay_Reference,44,7)</f>
        <v>1.3449300063</v>
      </c>
      <c r="E67" s="4">
        <f ca="1">OFFSET(Hawkes_Bay_Reference,45,7)</f>
        <v>1.3486397030999999</v>
      </c>
      <c r="F67" s="4">
        <f ca="1">OFFSET(Hawkes_Bay_Reference,46,7)</f>
        <v>1.3004854295999999</v>
      </c>
      <c r="G67" s="4">
        <f ca="1">OFFSET(Hawkes_Bay_Reference,47,7)</f>
        <v>1.2835044789000001</v>
      </c>
      <c r="H67" s="4">
        <f ca="1">OFFSET(Hawkes_Bay_Reference,48,7)</f>
        <v>1.2580087369999999</v>
      </c>
      <c r="I67" s="1">
        <f ca="1">H67*('Updated Population'!I$59/'Updated Population'!H$59)</f>
        <v>1.2493052343231943</v>
      </c>
      <c r="J67" s="1">
        <f ca="1">I67*('Updated Population'!J$59/'Updated Population'!I$59)</f>
        <v>1.2367127058692302</v>
      </c>
      <c r="K67" s="1">
        <f ca="1">J67*('Updated Population'!K$59/'Updated Population'!J$59)</f>
        <v>1.2216161192857371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OFFSET(Hawkes_Bay_Reference,50,7)</f>
        <v>0.16557927610000001</v>
      </c>
      <c r="D69" s="4">
        <f ca="1">OFFSET(Hawkes_Bay_Reference,51,7)</f>
        <v>0.18742793930000001</v>
      </c>
      <c r="E69" s="4">
        <f ca="1">OFFSET(Hawkes_Bay_Reference,52,7)</f>
        <v>0.2139732204</v>
      </c>
      <c r="F69" s="4">
        <f ca="1">OFFSET(Hawkes_Bay_Reference,53,7)</f>
        <v>0.23354020640000001</v>
      </c>
      <c r="G69" s="4">
        <f ca="1">OFFSET(Hawkes_Bay_Reference,54,7)</f>
        <v>0.25765342320000001</v>
      </c>
      <c r="H69" s="4">
        <f ca="1">OFFSET(Hawkes_Bay_Reference,55,7)</f>
        <v>0.28228127980000001</v>
      </c>
      <c r="I69" s="1">
        <f ca="1">H69*('Updated Population'!I$59/'Updated Population'!H$59)</f>
        <v>0.28032832367013216</v>
      </c>
      <c r="J69" s="1">
        <f ca="1">I69*('Updated Population'!J$59/'Updated Population'!I$59)</f>
        <v>0.27750271924994374</v>
      </c>
      <c r="K69" s="1">
        <f ca="1">J69*('Updated Population'!K$59/'Updated Population'!J$59)</f>
        <v>0.27411523579608282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OFFSET(Taranaki_Reference,1,7)</f>
        <v>4.8028224763000003</v>
      </c>
      <c r="D71" s="4">
        <f ca="1">OFFSET(Taranaki_Reference,2,7)</f>
        <v>4.7590874453999996</v>
      </c>
      <c r="E71" s="4">
        <f ca="1">OFFSET(Taranaki_Reference,3,7)</f>
        <v>4.6829578895999999</v>
      </c>
      <c r="F71" s="4">
        <f ca="1">OFFSET(Taranaki_Reference,4,7)</f>
        <v>4.5983995738000001</v>
      </c>
      <c r="G71" s="4">
        <f ca="1">OFFSET(Taranaki_Reference,5,7)</f>
        <v>4.5175158639999999</v>
      </c>
      <c r="H71" s="4">
        <f ca="1">OFFSET(Taranaki_Reference,6,7)</f>
        <v>4.4335261329</v>
      </c>
      <c r="I71" s="1">
        <f ca="1">H71*('Updated Population'!I$70/'Updated Population'!H$70)</f>
        <v>4.4626733744896949</v>
      </c>
      <c r="J71" s="1">
        <f ca="1">I71*('Updated Population'!J$70/'Updated Population'!I$70)</f>
        <v>4.4777133892554151</v>
      </c>
      <c r="K71" s="1">
        <f ca="1">J71*('Updated Population'!K$70/'Updated Population'!J$70)</f>
        <v>4.4831487654304469</v>
      </c>
    </row>
    <row r="72" spans="1:11" x14ac:dyDescent="0.25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OFFSET(Taranaki_Reference,8,7)</f>
        <v>0.5307125264</v>
      </c>
      <c r="D72" s="4">
        <f ca="1">OFFSET(Taranaki_Reference,9,7)</f>
        <v>0.53334585239999999</v>
      </c>
      <c r="E72" s="4">
        <f ca="1">OFFSET(Taranaki_Reference,10,7)</f>
        <v>0.51432747000000001</v>
      </c>
      <c r="F72" s="4">
        <f ca="1">OFFSET(Taranaki_Reference,11,7)</f>
        <v>0.51014516239999996</v>
      </c>
      <c r="G72" s="4">
        <f ca="1">OFFSET(Taranaki_Reference,12,7)</f>
        <v>0.5128819912</v>
      </c>
      <c r="H72" s="4">
        <f ca="1">OFFSET(Taranaki_Reference,13,7)</f>
        <v>0.51884323669999999</v>
      </c>
      <c r="I72" s="1">
        <f ca="1">H72*('Updated Population'!I$70/'Updated Population'!H$70)</f>
        <v>0.52225425734450492</v>
      </c>
      <c r="J72" s="1">
        <f ca="1">I72*('Updated Population'!J$70/'Updated Population'!I$70)</f>
        <v>0.5240143484564429</v>
      </c>
      <c r="K72" s="1">
        <f ca="1">J72*('Updated Population'!K$70/'Updated Population'!J$70)</f>
        <v>0.52465043541810719</v>
      </c>
    </row>
    <row r="73" spans="1:11" x14ac:dyDescent="0.25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OFFSET(Taranaki_Reference,15,7)</f>
        <v>22.731107899000001</v>
      </c>
      <c r="D73" s="4">
        <f ca="1">OFFSET(Taranaki_Reference,16,7)</f>
        <v>23.735088105999999</v>
      </c>
      <c r="E73" s="4">
        <f ca="1">OFFSET(Taranaki_Reference,17,7)</f>
        <v>24.429981941000001</v>
      </c>
      <c r="F73" s="4">
        <f ca="1">OFFSET(Taranaki_Reference,18,7)</f>
        <v>24.681607252999999</v>
      </c>
      <c r="G73" s="4">
        <f ca="1">OFFSET(Taranaki_Reference,19,7)</f>
        <v>25.013110663999999</v>
      </c>
      <c r="H73" s="4">
        <f ca="1">OFFSET(Taranaki_Reference,20,7)</f>
        <v>25.216884839999999</v>
      </c>
      <c r="I73" s="1">
        <f ca="1">H73*('Updated Population'!I$70/'Updated Population'!H$70)</f>
        <v>25.382667698279942</v>
      </c>
      <c r="J73" s="1">
        <f ca="1">I73*('Updated Population'!J$70/'Updated Population'!I$70)</f>
        <v>25.468211869887426</v>
      </c>
      <c r="K73" s="1">
        <f ca="1">J73*('Updated Population'!K$70/'Updated Population'!J$70)</f>
        <v>25.499127049128337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OFFSET(Taranaki_Reference,22,7)</f>
        <v>13.115308556</v>
      </c>
      <c r="D74" s="4">
        <f ca="1">OFFSET(Taranaki_Reference,23,7)</f>
        <v>12.895918591999999</v>
      </c>
      <c r="E74" s="4">
        <f ca="1">OFFSET(Taranaki_Reference,24,7)</f>
        <v>12.800680613999999</v>
      </c>
      <c r="F74" s="4">
        <f ca="1">OFFSET(Taranaki_Reference,25,7)</f>
        <v>12.725479131</v>
      </c>
      <c r="G74" s="4">
        <f ca="1">OFFSET(Taranaki_Reference,26,7)</f>
        <v>12.527319645</v>
      </c>
      <c r="H74" s="4">
        <f ca="1">OFFSET(Taranaki_Reference,27,7)</f>
        <v>12.267550246000001</v>
      </c>
      <c r="I74" s="1">
        <f ca="1">H74*('Updated Population'!I$70/'Updated Population'!H$70)</f>
        <v>12.348200554584061</v>
      </c>
      <c r="J74" s="1">
        <f ca="1">I74*('Updated Population'!J$70/'Updated Population'!I$70)</f>
        <v>12.389816219251038</v>
      </c>
      <c r="K74" s="1">
        <f ca="1">J74*('Updated Population'!K$70/'Updated Population'!J$70)</f>
        <v>12.404855884820687</v>
      </c>
    </row>
    <row r="75" spans="1:11" x14ac:dyDescent="0.25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OFFSET(Taranaki_Reference,29,7)</f>
        <v>0.1211103456</v>
      </c>
      <c r="D75" s="4">
        <f ca="1">OFFSET(Taranaki_Reference,30,7)</f>
        <v>0.13195574369999999</v>
      </c>
      <c r="E75" s="4">
        <f ca="1">OFFSET(Taranaki_Reference,31,7)</f>
        <v>0.14285123250000001</v>
      </c>
      <c r="F75" s="4">
        <f ca="1">OFFSET(Taranaki_Reference,32,7)</f>
        <v>0.1462277857</v>
      </c>
      <c r="G75" s="4">
        <f ca="1">OFFSET(Taranaki_Reference,33,7)</f>
        <v>0.14691548679999999</v>
      </c>
      <c r="H75" s="4">
        <f ca="1">OFFSET(Taranaki_Reference,34,7)</f>
        <v>0.14645045810000001</v>
      </c>
      <c r="I75" s="1">
        <f ca="1">H75*('Updated Population'!I$70/'Updated Population'!H$70)</f>
        <v>0.14741326439801319</v>
      </c>
      <c r="J75" s="1">
        <f ca="1">I75*('Updated Population'!J$70/'Updated Population'!I$70)</f>
        <v>0.14791007370650591</v>
      </c>
      <c r="K75" s="1">
        <f ca="1">J75*('Updated Population'!K$70/'Updated Population'!J$70)</f>
        <v>0.14808961777750446</v>
      </c>
    </row>
    <row r="76" spans="1:11" x14ac:dyDescent="0.25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OFFSET(Taranaki_Reference,36,7)</f>
        <v>0.25975179180000002</v>
      </c>
      <c r="D76" s="4">
        <f ca="1">OFFSET(Taranaki_Reference,37,7)</f>
        <v>0.26352924189999999</v>
      </c>
      <c r="E76" s="4">
        <f ca="1">OFFSET(Taranaki_Reference,38,7)</f>
        <v>0.2600842042</v>
      </c>
      <c r="F76" s="4">
        <f ca="1">OFFSET(Taranaki_Reference,39,7)</f>
        <v>0.25323412960000002</v>
      </c>
      <c r="G76" s="4">
        <f ca="1">OFFSET(Taranaki_Reference,40,7)</f>
        <v>0.2476314322</v>
      </c>
      <c r="H76" s="4">
        <f ca="1">OFFSET(Taranaki_Reference,41,7)</f>
        <v>0.24167250270000001</v>
      </c>
      <c r="I76" s="1">
        <f ca="1">H76*('Updated Population'!I$70/'Updated Population'!H$70)</f>
        <v>0.24326132536860023</v>
      </c>
      <c r="J76" s="1">
        <f ca="1">I76*('Updated Population'!J$70/'Updated Population'!I$70)</f>
        <v>0.24408115994273388</v>
      </c>
      <c r="K76" s="1">
        <f ca="1">J76*('Updated Population'!K$70/'Updated Population'!J$70)</f>
        <v>0.24437744351566429</v>
      </c>
    </row>
    <row r="77" spans="1:11" x14ac:dyDescent="0.25">
      <c r="A77" t="str">
        <f ca="1">OFFSET(Taranaki_Reference,42,2)</f>
        <v>Local Train</v>
      </c>
      <c r="B77" s="4">
        <f ca="1">OFFSET(Taranaki_Reference,42,7)</f>
        <v>8.8777196999999999E-3</v>
      </c>
      <c r="C77" s="4">
        <f ca="1">OFFSET(Taranaki_Reference,43,7)</f>
        <v>8.5546935999999997E-3</v>
      </c>
      <c r="D77" s="4">
        <f ca="1">OFFSET(Taranaki_Reference,44,7)</f>
        <v>7.6426771999999997E-3</v>
      </c>
      <c r="E77" s="4">
        <f ca="1">OFFSET(Taranaki_Reference,45,7)</f>
        <v>7.4122861000000002E-3</v>
      </c>
      <c r="F77" s="4">
        <f ca="1">OFFSET(Taranaki_Reference,46,7)</f>
        <v>8.0642386000000007E-3</v>
      </c>
      <c r="G77" s="4">
        <f ca="1">OFFSET(Taranaki_Reference,47,7)</f>
        <v>9.3440367000000007E-3</v>
      </c>
      <c r="H77" s="4">
        <f ca="1">OFFSET(Taranaki_Reference,48,7)</f>
        <v>1.0562789600000001E-2</v>
      </c>
      <c r="I77" s="1">
        <f ca="1">H77*('Updated Population'!I$70/'Updated Population'!H$70)</f>
        <v>1.0632232334993181E-2</v>
      </c>
      <c r="J77" s="1">
        <f ca="1">I77*('Updated Population'!J$70/'Updated Population'!I$70)</f>
        <v>1.0668064877035125E-2</v>
      </c>
      <c r="K77" s="1">
        <f ca="1">J77*('Updated Population'!K$70/'Updated Population'!J$70)</f>
        <v>1.0681014554833947E-2</v>
      </c>
    </row>
    <row r="78" spans="1:11" x14ac:dyDescent="0.25">
      <c r="A78" t="str">
        <f ca="1">OFFSET(Taranaki_Reference,49,2)</f>
        <v>Local Bus</v>
      </c>
      <c r="B78" s="4">
        <f ca="1">OFFSET(Taranaki_Reference,49,7)</f>
        <v>0.4632962336</v>
      </c>
      <c r="C78" s="4">
        <f ca="1">OFFSET(Taranaki_Reference,50,7)</f>
        <v>0.46992084690000002</v>
      </c>
      <c r="D78" s="4">
        <f ca="1">OFFSET(Taranaki_Reference,51,7)</f>
        <v>0.46911211520000001</v>
      </c>
      <c r="E78" s="4">
        <f ca="1">OFFSET(Taranaki_Reference,52,7)</f>
        <v>0.45844926000000003</v>
      </c>
      <c r="F78" s="4">
        <f ca="1">OFFSET(Taranaki_Reference,53,7)</f>
        <v>0.44235985880000001</v>
      </c>
      <c r="G78" s="4">
        <f ca="1">OFFSET(Taranaki_Reference,54,7)</f>
        <v>0.44989020099999999</v>
      </c>
      <c r="H78" s="4">
        <f ca="1">OFFSET(Taranaki_Reference,55,7)</f>
        <v>0.45703947709999998</v>
      </c>
      <c r="I78" s="1">
        <f ca="1">H78*('Updated Population'!I$70/'Updated Population'!H$70)</f>
        <v>0.46004418253214047</v>
      </c>
      <c r="J78" s="1">
        <f ca="1">I78*('Updated Population'!J$70/'Updated Population'!I$70)</f>
        <v>0.46159461446330508</v>
      </c>
      <c r="K78" s="1">
        <f ca="1">J78*('Updated Population'!K$70/'Updated Population'!J$70)</f>
        <v>0.4621549317841942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OFFSET(Taranaki_Reference,57,7)</f>
        <v>5.90471682E-2</v>
      </c>
      <c r="D80" s="4">
        <f ca="1">OFFSET(Taranaki_Reference,58,7)</f>
        <v>6.2038836100000001E-2</v>
      </c>
      <c r="E80" s="4">
        <f ca="1">OFFSET(Taranaki_Reference,59,7)</f>
        <v>6.7968314399999993E-2</v>
      </c>
      <c r="F80" s="4">
        <f ca="1">OFFSET(Taranaki_Reference,60,7)</f>
        <v>7.9599653800000003E-2</v>
      </c>
      <c r="G80" s="4">
        <f ca="1">OFFSET(Taranaki_Reference,61,7)</f>
        <v>8.7074746199999997E-2</v>
      </c>
      <c r="H80" s="4">
        <f ca="1">OFFSET(Taranaki_Reference,62,7)</f>
        <v>9.0784232699999995E-2</v>
      </c>
      <c r="I80" s="1">
        <f ca="1">H80*('Updated Population'!I$70/'Updated Population'!H$70)</f>
        <v>9.1381073653164988E-2</v>
      </c>
      <c r="J80" s="1">
        <f ca="1">I80*('Updated Population'!J$70/'Updated Population'!I$70)</f>
        <v>9.1689044365273864E-2</v>
      </c>
      <c r="K80" s="1">
        <f ca="1">J80*('Updated Population'!K$70/'Updated Population'!J$70)</f>
        <v>9.1800343236802875E-2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OFFSET(Manawatu_Reference,1,7)</f>
        <v>8.1247810713999993</v>
      </c>
      <c r="D82" s="4">
        <f ca="1">OFFSET(Manawatu_Reference,2,7)</f>
        <v>7.8011748351000003</v>
      </c>
      <c r="E82" s="4">
        <f ca="1">OFFSET(Manawatu_Reference,3,7)</f>
        <v>7.2675200347000004</v>
      </c>
      <c r="F82" s="4">
        <f ca="1">OFFSET(Manawatu_Reference,4,7)</f>
        <v>6.7515508337999997</v>
      </c>
      <c r="G82" s="4">
        <f ca="1">OFFSET(Manawatu_Reference,5,7)</f>
        <v>6.2596861104999997</v>
      </c>
      <c r="H82" s="4">
        <f ca="1">OFFSET(Manawatu_Reference,6,7)</f>
        <v>5.8106014674999997</v>
      </c>
      <c r="I82" s="1">
        <f ca="1">H82*('Updated Population'!I$81/'Updated Population'!H$81)</f>
        <v>5.7627424080586813</v>
      </c>
      <c r="J82" s="1">
        <f ca="1">I82*('Updated Population'!J$81/'Updated Population'!I$81)</f>
        <v>5.6970848269162904</v>
      </c>
      <c r="K82" s="1">
        <f ca="1">J82*('Updated Population'!K$81/'Updated Population'!J$81)</f>
        <v>5.6200714043724505</v>
      </c>
    </row>
    <row r="83" spans="1:11" x14ac:dyDescent="0.25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OFFSET(Manawatu_Reference,8,7)</f>
        <v>1.8991032335</v>
      </c>
      <c r="D83" s="4">
        <f ca="1">OFFSET(Manawatu_Reference,9,7)</f>
        <v>1.9954511542</v>
      </c>
      <c r="E83" s="4">
        <f ca="1">OFFSET(Manawatu_Reference,10,7)</f>
        <v>2.0410659093999999</v>
      </c>
      <c r="F83" s="4">
        <f ca="1">OFFSET(Manawatu_Reference,11,7)</f>
        <v>2.0715566698000001</v>
      </c>
      <c r="G83" s="4">
        <f ca="1">OFFSET(Manawatu_Reference,12,7)</f>
        <v>2.0586256419</v>
      </c>
      <c r="H83" s="4">
        <f ca="1">OFFSET(Manawatu_Reference,13,7)</f>
        <v>2.0326408398</v>
      </c>
      <c r="I83" s="1">
        <f ca="1">H83*('Updated Population'!I$81/'Updated Population'!H$81)</f>
        <v>2.0158989793714452</v>
      </c>
      <c r="J83" s="1">
        <f ca="1">I83*('Updated Population'!J$81/'Updated Population'!I$81)</f>
        <v>1.9929309128779904</v>
      </c>
      <c r="K83" s="1">
        <f ca="1">J83*('Updated Population'!K$81/'Updated Population'!J$81)</f>
        <v>1.9659903923912645</v>
      </c>
    </row>
    <row r="84" spans="1:11" x14ac:dyDescent="0.25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OFFSET(Manawatu_Reference,15,7)</f>
        <v>44.807852394999998</v>
      </c>
      <c r="D84" s="4">
        <f ca="1">OFFSET(Manawatu_Reference,16,7)</f>
        <v>46.076519619000003</v>
      </c>
      <c r="E84" s="4">
        <f ca="1">OFFSET(Manawatu_Reference,17,7)</f>
        <v>46.767616027999999</v>
      </c>
      <c r="F84" s="4">
        <f ca="1">OFFSET(Manawatu_Reference,18,7)</f>
        <v>47.250167257999998</v>
      </c>
      <c r="G84" s="4">
        <f ca="1">OFFSET(Manawatu_Reference,19,7)</f>
        <v>47.081388214</v>
      </c>
      <c r="H84" s="4">
        <f ca="1">OFFSET(Manawatu_Reference,20,7)</f>
        <v>46.625082728000002</v>
      </c>
      <c r="I84" s="1">
        <f ca="1">H84*('Updated Population'!I$81/'Updated Population'!H$81)</f>
        <v>46.241054909500207</v>
      </c>
      <c r="J84" s="1">
        <f ca="1">I84*('Updated Population'!J$81/'Updated Population'!I$81)</f>
        <v>45.714209251678575</v>
      </c>
      <c r="K84" s="1">
        <f ca="1">J84*('Updated Population'!K$81/'Updated Population'!J$81)</f>
        <v>45.096242726636909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OFFSET(Manawatu_Reference,22,7)</f>
        <v>20.338517210999999</v>
      </c>
      <c r="D85" s="4">
        <f ca="1">OFFSET(Manawatu_Reference,23,7)</f>
        <v>20.141180162000001</v>
      </c>
      <c r="E85" s="4">
        <f ca="1">OFFSET(Manawatu_Reference,24,7)</f>
        <v>19.836699343999999</v>
      </c>
      <c r="F85" s="4">
        <f ca="1">OFFSET(Manawatu_Reference,25,7)</f>
        <v>19.719286969999999</v>
      </c>
      <c r="G85" s="4">
        <f ca="1">OFFSET(Manawatu_Reference,26,7)</f>
        <v>19.491724972</v>
      </c>
      <c r="H85" s="4">
        <f ca="1">OFFSET(Manawatu_Reference,27,7)</f>
        <v>19.192984224</v>
      </c>
      <c r="I85" s="1">
        <f ca="1">H85*('Updated Population'!I$81/'Updated Population'!H$81)</f>
        <v>19.03490107581467</v>
      </c>
      <c r="J85" s="1">
        <f ca="1">I85*('Updated Population'!J$81/'Updated Population'!I$81)</f>
        <v>18.81802767189938</v>
      </c>
      <c r="K85" s="1">
        <f ca="1">J85*('Updated Population'!K$81/'Updated Population'!J$81)</f>
        <v>18.563644814601798</v>
      </c>
    </row>
    <row r="86" spans="1:11" x14ac:dyDescent="0.25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OFFSET(Manawatu_Reference,29,7)</f>
        <v>0.3145015203</v>
      </c>
      <c r="D86" s="4">
        <f ca="1">OFFSET(Manawatu_Reference,30,7)</f>
        <v>0.33970839009999998</v>
      </c>
      <c r="E86" s="4">
        <f ca="1">OFFSET(Manawatu_Reference,31,7)</f>
        <v>0.34063163829999998</v>
      </c>
      <c r="F86" s="4">
        <f ca="1">OFFSET(Manawatu_Reference,32,7)</f>
        <v>0.34002711569999999</v>
      </c>
      <c r="G86" s="4">
        <f ca="1">OFFSET(Manawatu_Reference,33,7)</f>
        <v>0.35993467200000001</v>
      </c>
      <c r="H86" s="4">
        <f ca="1">OFFSET(Manawatu_Reference,34,7)</f>
        <v>0.3812399702</v>
      </c>
      <c r="I86" s="1">
        <f ca="1">H86*('Updated Population'!I$81/'Updated Population'!H$81)</f>
        <v>0.37809988453119941</v>
      </c>
      <c r="J86" s="1">
        <f ca="1">I86*('Updated Population'!J$81/'Updated Population'!I$81)</f>
        <v>0.37379201822542452</v>
      </c>
      <c r="K86" s="1">
        <f ca="1">J86*('Updated Population'!K$81/'Updated Population'!J$81)</f>
        <v>0.36873908264210598</v>
      </c>
    </row>
    <row r="87" spans="1:11" x14ac:dyDescent="0.25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OFFSET(Manawatu_Reference,36,7)</f>
        <v>0.15677724530000001</v>
      </c>
      <c r="D87" s="4">
        <f ca="1">OFFSET(Manawatu_Reference,37,7)</f>
        <v>0.1456914866</v>
      </c>
      <c r="E87" s="4">
        <f ca="1">OFFSET(Manawatu_Reference,38,7)</f>
        <v>0.12919011559999999</v>
      </c>
      <c r="F87" s="4">
        <f ca="1">OFFSET(Manawatu_Reference,39,7)</f>
        <v>0.11908908109999999</v>
      </c>
      <c r="G87" s="4">
        <f ca="1">OFFSET(Manawatu_Reference,40,7)</f>
        <v>0.1149457868</v>
      </c>
      <c r="H87" s="4">
        <f ca="1">OFFSET(Manawatu_Reference,41,7)</f>
        <v>0.1094982769</v>
      </c>
      <c r="I87" s="1">
        <f ca="1">H87*('Updated Population'!I$81/'Updated Population'!H$81)</f>
        <v>0.10859639357997017</v>
      </c>
      <c r="J87" s="1">
        <f ca="1">I87*('Updated Population'!J$81/'Updated Population'!I$81)</f>
        <v>0.10735910480001759</v>
      </c>
      <c r="K87" s="1">
        <f ca="1">J87*('Updated Population'!K$81/'Updated Population'!J$81)</f>
        <v>0.10590782008983933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OFFSET(Manawatu_Reference,43,7)</f>
        <v>1.5706345661000001</v>
      </c>
      <c r="D89" s="4">
        <f ca="1">OFFSET(Manawatu_Reference,44,7)</f>
        <v>1.4308727184000001</v>
      </c>
      <c r="E89" s="4">
        <f ca="1">OFFSET(Manawatu_Reference,45,7)</f>
        <v>1.3233301480999999</v>
      </c>
      <c r="F89" s="4">
        <f ca="1">OFFSET(Manawatu_Reference,46,7)</f>
        <v>1.2273890479</v>
      </c>
      <c r="G89" s="4">
        <f ca="1">OFFSET(Manawatu_Reference,47,7)</f>
        <v>1.1292344717</v>
      </c>
      <c r="H89" s="4">
        <f ca="1">OFFSET(Manawatu_Reference,48,7)</f>
        <v>1.0251418752999999</v>
      </c>
      <c r="I89" s="1">
        <f ca="1">H89*('Updated Population'!I$81/'Updated Population'!H$81)</f>
        <v>1.0166982871069041</v>
      </c>
      <c r="J89" s="1">
        <f ca="1">I89*('Updated Population'!J$81/'Updated Population'!I$81)</f>
        <v>1.0051145747775621</v>
      </c>
      <c r="K89" s="1">
        <f ca="1">J89*('Updated Population'!K$81/'Updated Population'!J$81)</f>
        <v>0.99152739540354251</v>
      </c>
    </row>
    <row r="90" spans="1:11" x14ac:dyDescent="0.25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OFFSET(Manawatu_Reference,50,7)</f>
        <v>1.47507109E-2</v>
      </c>
      <c r="D90" s="4">
        <f ca="1">OFFSET(Manawatu_Reference,51,7)</f>
        <v>1.5651498E-2</v>
      </c>
      <c r="E90" s="4">
        <f ca="1">OFFSET(Manawatu_Reference,52,7)</f>
        <v>1.7139927100000001E-2</v>
      </c>
      <c r="F90" s="4">
        <f ca="1">OFFSET(Manawatu_Reference,53,7)</f>
        <v>1.7394124899999999E-2</v>
      </c>
      <c r="G90" s="4">
        <f ca="1">OFFSET(Manawatu_Reference,54,7)</f>
        <v>1.6840176599999999E-2</v>
      </c>
      <c r="H90" s="4">
        <f ca="1">OFFSET(Manawatu_Reference,55,7)</f>
        <v>1.6169605E-2</v>
      </c>
      <c r="I90" s="1">
        <f ca="1">H90*('Updated Population'!I$81/'Updated Population'!H$81)</f>
        <v>1.6036423935842353E-2</v>
      </c>
      <c r="J90" s="1">
        <f ca="1">I90*('Updated Population'!J$81/'Updated Population'!I$81)</f>
        <v>1.585371356441764E-2</v>
      </c>
      <c r="K90" s="1">
        <f ca="1">J90*('Updated Population'!K$81/'Updated Population'!J$81)</f>
        <v>1.5639402424822695E-2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OFFSET(Manawatu_Reference,57,7)</f>
        <v>3.7408448300000001E-2</v>
      </c>
      <c r="D91" s="4">
        <f ca="1">OFFSET(Manawatu_Reference,58,7)</f>
        <v>3.3477788600000002E-2</v>
      </c>
      <c r="E91" s="4">
        <f ca="1">OFFSET(Manawatu_Reference,59,7)</f>
        <v>2.9040679999999999E-2</v>
      </c>
      <c r="F91" s="4">
        <f ca="1">OFFSET(Manawatu_Reference,60,7)</f>
        <v>2.6102468E-2</v>
      </c>
      <c r="G91" s="4">
        <f ca="1">OFFSET(Manawatu_Reference,61,7)</f>
        <v>2.3498210700000001E-2</v>
      </c>
      <c r="H91" s="4">
        <f ca="1">OFFSET(Manawatu_Reference,62,7)</f>
        <v>2.0664275100000001E-2</v>
      </c>
      <c r="I91" s="1">
        <f ca="1">H91*('Updated Population'!I$81/'Updated Population'!H$81)</f>
        <v>2.0494073654271153E-2</v>
      </c>
      <c r="J91" s="1">
        <f ca="1">I91*('Updated Population'!J$81/'Updated Population'!I$81)</f>
        <v>2.0260575224424322E-2</v>
      </c>
      <c r="K91" s="1">
        <f ca="1">J91*('Updated Population'!K$81/'Updated Population'!J$81)</f>
        <v>1.9986691951110937E-2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OFFSET(Wellington_Reference,1,7)</f>
        <v>34.628282974999998</v>
      </c>
      <c r="D93" s="4">
        <f ca="1">OFFSET(Wellington_Reference,2,7)</f>
        <v>35.277926403000002</v>
      </c>
      <c r="E93" s="4">
        <f ca="1">OFFSET(Wellington_Reference,3,7)</f>
        <v>36.091399938000002</v>
      </c>
      <c r="F93" s="4">
        <f ca="1">OFFSET(Wellington_Reference,4,7)</f>
        <v>36.692474709000003</v>
      </c>
      <c r="G93" s="4">
        <f ca="1">OFFSET(Wellington_Reference,5,7)</f>
        <v>37.223403345000001</v>
      </c>
      <c r="H93" s="4">
        <f ca="1">OFFSET(Wellington_Reference,6,7)</f>
        <v>37.663206666000001</v>
      </c>
      <c r="I93" s="1">
        <f ca="1">H93*('Updated Population'!I$92/'Updated Population'!H$92)</f>
        <v>37.912285840070112</v>
      </c>
      <c r="J93" s="1">
        <f ca="1">I93*('Updated Population'!J$92/'Updated Population'!I$92)</f>
        <v>38.041532812980485</v>
      </c>
      <c r="K93" s="1">
        <f ca="1">J93*('Updated Population'!K$92/'Updated Population'!J$92)</f>
        <v>38.089187984538796</v>
      </c>
    </row>
    <row r="94" spans="1:11" x14ac:dyDescent="0.25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OFFSET(Wellington_Reference,8,7)</f>
        <v>3.8706390237999999</v>
      </c>
      <c r="D94" s="4">
        <f ca="1">OFFSET(Wellington_Reference,9,7)</f>
        <v>3.9188412526</v>
      </c>
      <c r="E94" s="4">
        <f ca="1">OFFSET(Wellington_Reference,10,7)</f>
        <v>3.9715236813999999</v>
      </c>
      <c r="F94" s="4">
        <f ca="1">OFFSET(Wellington_Reference,11,7)</f>
        <v>4.1712015988999998</v>
      </c>
      <c r="G94" s="4">
        <f ca="1">OFFSET(Wellington_Reference,12,7)</f>
        <v>4.4943216531000001</v>
      </c>
      <c r="H94" s="4">
        <f ca="1">OFFSET(Wellington_Reference,13,7)</f>
        <v>4.8322216795999999</v>
      </c>
      <c r="I94" s="1">
        <f ca="1">H94*('Updated Population'!I$92/'Updated Population'!H$92)</f>
        <v>4.8641787510079686</v>
      </c>
      <c r="J94" s="1">
        <f ca="1">I94*('Updated Population'!J$92/'Updated Population'!I$92)</f>
        <v>4.8807612483523588</v>
      </c>
      <c r="K94" s="1">
        <f ca="1">J94*('Updated Population'!K$92/'Updated Population'!J$92)</f>
        <v>4.8868754476873031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OFFSET(Wellington_Reference,15,7)</f>
        <v>96.431207155999999</v>
      </c>
      <c r="D95" s="4">
        <f ca="1">OFFSET(Wellington_Reference,16,7)</f>
        <v>98.909793128000004</v>
      </c>
      <c r="E95" s="4">
        <f ca="1">OFFSET(Wellington_Reference,17,7)</f>
        <v>102.84637115</v>
      </c>
      <c r="F95" s="4">
        <f ca="1">OFFSET(Wellington_Reference,18,7)</f>
        <v>106.37558653000001</v>
      </c>
      <c r="G95" s="4">
        <f ca="1">OFFSET(Wellington_Reference,19,7)</f>
        <v>108.99849632999999</v>
      </c>
      <c r="H95" s="4">
        <f ca="1">OFFSET(Wellington_Reference,20,7)</f>
        <v>111.17557921</v>
      </c>
      <c r="I95" s="1">
        <f ca="1">H95*('Updated Population'!I$92/'Updated Population'!H$92)</f>
        <v>111.91081988379507</v>
      </c>
      <c r="J95" s="1">
        <f ca="1">I95*('Updated Population'!J$92/'Updated Population'!I$92)</f>
        <v>112.2923356480229</v>
      </c>
      <c r="K95" s="1">
        <f ca="1">J95*('Updated Population'!K$92/'Updated Population'!J$92)</f>
        <v>112.43300586092673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OFFSET(Wellington_Reference,22,7)</f>
        <v>49.178630364999997</v>
      </c>
      <c r="D96" s="4">
        <f ca="1">OFFSET(Wellington_Reference,23,7)</f>
        <v>48.766577740000002</v>
      </c>
      <c r="E96" s="4">
        <f ca="1">OFFSET(Wellington_Reference,24,7)</f>
        <v>48.654322915999998</v>
      </c>
      <c r="F96" s="4">
        <f ca="1">OFFSET(Wellington_Reference,25,7)</f>
        <v>48.637526184999999</v>
      </c>
      <c r="G96" s="4">
        <f ca="1">OFFSET(Wellington_Reference,26,7)</f>
        <v>48.282370092000001</v>
      </c>
      <c r="H96" s="4">
        <f ca="1">OFFSET(Wellington_Reference,27,7)</f>
        <v>47.707554029000001</v>
      </c>
      <c r="I96" s="1">
        <f ca="1">H96*('Updated Population'!I$92/'Updated Population'!H$92)</f>
        <v>48.023059776023281</v>
      </c>
      <c r="J96" s="1">
        <f ca="1">I96*('Updated Population'!J$92/'Updated Population'!I$92)</f>
        <v>48.186775441497211</v>
      </c>
      <c r="K96" s="1">
        <f ca="1">J96*('Updated Population'!K$92/'Updated Population'!J$92)</f>
        <v>48.247139703415776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OFFSET(Wellington_Reference,29,7)</f>
        <v>0.80752725110000001</v>
      </c>
      <c r="D97" s="4">
        <f ca="1">OFFSET(Wellington_Reference,30,7)</f>
        <v>0.84598605199999999</v>
      </c>
      <c r="E97" s="4">
        <f ca="1">OFFSET(Wellington_Reference,31,7)</f>
        <v>0.89929059430000002</v>
      </c>
      <c r="F97" s="4">
        <f ca="1">OFFSET(Wellington_Reference,32,7)</f>
        <v>0.94109277199999997</v>
      </c>
      <c r="G97" s="4">
        <f ca="1">OFFSET(Wellington_Reference,33,7)</f>
        <v>0.96691873650000004</v>
      </c>
      <c r="H97" s="4">
        <f ca="1">OFFSET(Wellington_Reference,34,7)</f>
        <v>0.98696370619999996</v>
      </c>
      <c r="I97" s="1">
        <f ca="1">H97*('Updated Population'!I$92/'Updated Population'!H$92)</f>
        <v>0.99349082182659887</v>
      </c>
      <c r="J97" s="1">
        <f ca="1">I97*('Updated Population'!J$92/'Updated Population'!I$92)</f>
        <v>0.99687773660870915</v>
      </c>
      <c r="K97" s="1">
        <f ca="1">J97*('Updated Population'!K$92/'Updated Population'!J$92)</f>
        <v>0.99812653958923836</v>
      </c>
    </row>
    <row r="98" spans="1:11" x14ac:dyDescent="0.25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OFFSET(Wellington_Reference,36,7)</f>
        <v>0.72229804269999998</v>
      </c>
      <c r="D98" s="4">
        <f ca="1">OFFSET(Wellington_Reference,37,7)</f>
        <v>0.71145422179999995</v>
      </c>
      <c r="E98" s="4">
        <f ca="1">OFFSET(Wellington_Reference,38,7)</f>
        <v>0.7154514797</v>
      </c>
      <c r="F98" s="4">
        <f ca="1">OFFSET(Wellington_Reference,39,7)</f>
        <v>0.73612926219999997</v>
      </c>
      <c r="G98" s="4">
        <f ca="1">OFFSET(Wellington_Reference,40,7)</f>
        <v>0.75474360689999997</v>
      </c>
      <c r="H98" s="4">
        <f ca="1">OFFSET(Wellington_Reference,41,7)</f>
        <v>0.76316885479999996</v>
      </c>
      <c r="I98" s="1">
        <f ca="1">H98*('Updated Population'!I$92/'Updated Population'!H$92)</f>
        <v>0.76821594146246452</v>
      </c>
      <c r="J98" s="1">
        <f ca="1">I98*('Updated Population'!J$92/'Updated Population'!I$92)</f>
        <v>0.77083487046596377</v>
      </c>
      <c r="K98" s="1">
        <f ca="1">J98*('Updated Population'!K$92/'Updated Population'!J$92)</f>
        <v>0.7718005063191713</v>
      </c>
    </row>
    <row r="99" spans="1:11" x14ac:dyDescent="0.25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5.8119776274000001</v>
      </c>
      <c r="D99" s="4">
        <f ca="1">OFFSET(Wellington_Reference,44,7)</f>
        <v>6.0056745876999997</v>
      </c>
      <c r="E99" s="4">
        <f ca="1">OFFSET(Wellington_Reference,45,7)</f>
        <v>6.1237727758</v>
      </c>
      <c r="F99" s="4">
        <f ca="1">OFFSET(Wellington_Reference,46,7)</f>
        <v>6.1345499878999998</v>
      </c>
      <c r="G99" s="4">
        <f ca="1">OFFSET(Wellington_Reference,47,7)</f>
        <v>6.1617167924</v>
      </c>
      <c r="H99" s="4">
        <f ca="1">OFFSET(Wellington_Reference,48,7)</f>
        <v>6.1591517609000004</v>
      </c>
      <c r="I99" s="1">
        <f ca="1">H99*('Updated Population'!I$92/'Updated Population'!H$92)</f>
        <v>6.199884257396703</v>
      </c>
      <c r="J99" s="1">
        <f ca="1">I99*('Updated Population'!J$92/'Updated Population'!I$92)</f>
        <v>6.2210203154028987</v>
      </c>
      <c r="K99" s="1">
        <f ca="1">J99*('Updated Population'!K$92/'Updated Population'!J$92)</f>
        <v>6.2288134764160406</v>
      </c>
    </row>
    <row r="100" spans="1:11" x14ac:dyDescent="0.25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9.6849274415999993</v>
      </c>
      <c r="D100" s="4">
        <f ca="1">OFFSET(Wellington_Reference,51,7)</f>
        <v>9.7519610038</v>
      </c>
      <c r="E100" s="4">
        <f ca="1">OFFSET(Wellington_Reference,52,7)</f>
        <v>9.6209603155999996</v>
      </c>
      <c r="F100" s="4">
        <f ca="1">OFFSET(Wellington_Reference,53,7)</f>
        <v>9.3692021358000002</v>
      </c>
      <c r="G100" s="4">
        <f ca="1">OFFSET(Wellington_Reference,54,7)</f>
        <v>9.0822456122999995</v>
      </c>
      <c r="H100" s="4">
        <f ca="1">OFFSET(Wellington_Reference,55,7)</f>
        <v>8.7596172426999992</v>
      </c>
      <c r="I100" s="1">
        <f ca="1">H100*('Updated Population'!I$92/'Updated Population'!H$92)</f>
        <v>8.8175474727871688</v>
      </c>
      <c r="J100" s="1">
        <f ca="1">I100*('Updated Population'!J$92/'Updated Population'!I$92)</f>
        <v>8.8476074202184236</v>
      </c>
      <c r="K100" s="1">
        <f ca="1">J100*('Updated Population'!K$92/'Updated Population'!J$92)</f>
        <v>8.8586909444171962</v>
      </c>
    </row>
    <row r="101" spans="1:11" x14ac:dyDescent="0.25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OFFSET(Wellington_Reference,57,7)</f>
        <v>6.6079242999999996E-2</v>
      </c>
      <c r="D101" s="4">
        <f ca="1">OFFSET(Wellington_Reference,58,7)</f>
        <v>7.2143657599999994E-2</v>
      </c>
      <c r="E101" s="4">
        <f ca="1">OFFSET(Wellington_Reference,59,7)</f>
        <v>7.9054137400000002E-2</v>
      </c>
      <c r="F101" s="4">
        <f ca="1">OFFSET(Wellington_Reference,60,7)</f>
        <v>8.6297288700000002E-2</v>
      </c>
      <c r="G101" s="4">
        <f ca="1">OFFSET(Wellington_Reference,61,7)</f>
        <v>9.5575168599999996E-2</v>
      </c>
      <c r="H101" s="4">
        <f ca="1">OFFSET(Wellington_Reference,62,7)</f>
        <v>0.10545870340000001</v>
      </c>
      <c r="I101" s="1">
        <f ca="1">H101*('Updated Population'!I$92/'Updated Population'!H$92)</f>
        <v>0.1061561364936375</v>
      </c>
      <c r="J101" s="1">
        <f ca="1">I101*('Updated Population'!J$92/'Updated Population'!I$92)</f>
        <v>0.10651803393647545</v>
      </c>
      <c r="K101" s="1">
        <f ca="1">J101*('Updated Population'!K$92/'Updated Population'!J$92)</f>
        <v>0.10665147059914233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OFFSET(Wellington_Reference,64,7)</f>
        <v>0.34000227849999998</v>
      </c>
      <c r="D102" s="4">
        <f ca="1">OFFSET(Wellington_Reference,65,7)</f>
        <v>0.35020196920000002</v>
      </c>
      <c r="E102" s="4">
        <f ca="1">OFFSET(Wellington_Reference,66,7)</f>
        <v>0.39326157960000002</v>
      </c>
      <c r="F102" s="4">
        <f ca="1">OFFSET(Wellington_Reference,67,7)</f>
        <v>0.42035086579999997</v>
      </c>
      <c r="G102" s="4">
        <f ca="1">OFFSET(Wellington_Reference,68,7)</f>
        <v>0.41294815779999999</v>
      </c>
      <c r="H102" s="4">
        <f ca="1">OFFSET(Wellington_Reference,69,7)</f>
        <v>0.40237083429999998</v>
      </c>
      <c r="I102" s="1">
        <f ca="1">H102*('Updated Population'!I$92/'Updated Population'!H$92)</f>
        <v>0.4050318449772406</v>
      </c>
      <c r="J102" s="1">
        <f ca="1">I102*('Updated Population'!J$92/'Updated Population'!I$92)</f>
        <v>0.40641264116865045</v>
      </c>
      <c r="K102" s="1">
        <f ca="1">J102*('Updated Population'!K$92/'Updated Population'!J$92)</f>
        <v>0.40692176008963543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OFFSET(Nelson_Reference,0,7)</f>
        <v>7.2640217022</v>
      </c>
      <c r="C104" s="4">
        <f ca="1">OFFSET(Nelson_Reference,1,7)</f>
        <v>7.4192933844000004</v>
      </c>
      <c r="D104" s="4">
        <f ca="1">OFFSET(Nelson_Reference,2,7)</f>
        <v>7.5926687733999998</v>
      </c>
      <c r="E104" s="4">
        <f ca="1">OFFSET(Nelson_Reference,3,7)</f>
        <v>7.8321744404000002</v>
      </c>
      <c r="F104" s="4">
        <f ca="1">OFFSET(Nelson_Reference,4,7)</f>
        <v>7.8844276371999999</v>
      </c>
      <c r="G104" s="4">
        <f ca="1">OFFSET(Nelson_Reference,5,7)</f>
        <v>7.7826606298999996</v>
      </c>
      <c r="H104" s="4">
        <f ca="1">OFFSET(Nelson_Reference,6,7)</f>
        <v>7.6338057050000003</v>
      </c>
      <c r="I104" s="1">
        <f ca="1">H104*('Updated Population'!I$103/'Updated Population'!H$103)</f>
        <v>7.6221841051224972</v>
      </c>
      <c r="J104" s="1">
        <f ca="1">I104*('Updated Population'!J$103/'Updated Population'!I$103)</f>
        <v>7.5867125763331016</v>
      </c>
      <c r="K104" s="1">
        <f ca="1">J104*('Updated Population'!K$103/'Updated Population'!J$103)</f>
        <v>7.5355338006350845</v>
      </c>
    </row>
    <row r="105" spans="1:11" x14ac:dyDescent="0.25">
      <c r="A105" t="str">
        <f ca="1">OFFSET(Nelson_Reference,7,2)</f>
        <v>Cyclist</v>
      </c>
      <c r="B105" s="4">
        <f ca="1">OFFSET(Nelson_Reference,7,7)</f>
        <v>1.0417220854</v>
      </c>
      <c r="C105" s="4">
        <f ca="1">OFFSET(Nelson_Reference,8,7)</f>
        <v>1.0420593668</v>
      </c>
      <c r="D105" s="4">
        <f ca="1">OFFSET(Nelson_Reference,9,7)</f>
        <v>1.0627563765000001</v>
      </c>
      <c r="E105" s="4">
        <f ca="1">OFFSET(Nelson_Reference,10,7)</f>
        <v>1.1028986735999999</v>
      </c>
      <c r="F105" s="4">
        <f ca="1">OFFSET(Nelson_Reference,11,7)</f>
        <v>1.1355188607</v>
      </c>
      <c r="G105" s="4">
        <f ca="1">OFFSET(Nelson_Reference,12,7)</f>
        <v>1.1735064523000001</v>
      </c>
      <c r="H105" s="4">
        <f ca="1">OFFSET(Nelson_Reference,13,7)</f>
        <v>1.2112505582999999</v>
      </c>
      <c r="I105" s="1">
        <f ca="1">H105*('Updated Population'!I$103/'Updated Population'!H$103)</f>
        <v>1.2094065672575314</v>
      </c>
      <c r="J105" s="1">
        <f ca="1">I105*('Updated Population'!J$103/'Updated Population'!I$103)</f>
        <v>1.2037783248434275</v>
      </c>
      <c r="K105" s="1">
        <f ca="1">J105*('Updated Population'!K$103/'Updated Population'!J$103)</f>
        <v>1.1956578246587384</v>
      </c>
    </row>
    <row r="106" spans="1:11" x14ac:dyDescent="0.25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OFFSET(Nelson_Reference,15,7)</f>
        <v>24.179165622999999</v>
      </c>
      <c r="D106" s="4">
        <f ca="1">OFFSET(Nelson_Reference,16,7)</f>
        <v>24.278405261</v>
      </c>
      <c r="E106" s="4">
        <f ca="1">OFFSET(Nelson_Reference,17,7)</f>
        <v>24.400132134</v>
      </c>
      <c r="F106" s="4">
        <f ca="1">OFFSET(Nelson_Reference,18,7)</f>
        <v>24.417601918999999</v>
      </c>
      <c r="G106" s="4">
        <f ca="1">OFFSET(Nelson_Reference,19,7)</f>
        <v>24.204137880000001</v>
      </c>
      <c r="H106" s="4">
        <f ca="1">OFFSET(Nelson_Reference,20,7)</f>
        <v>23.912650791000001</v>
      </c>
      <c r="I106" s="1">
        <f ca="1">H106*('Updated Population'!I$103/'Updated Population'!H$103)</f>
        <v>23.876246503251174</v>
      </c>
      <c r="J106" s="1">
        <f ca="1">I106*('Updated Population'!J$103/'Updated Population'!I$103)</f>
        <v>23.765133080439252</v>
      </c>
      <c r="K106" s="1">
        <f ca="1">J106*('Updated Population'!K$103/'Updated Population'!J$103)</f>
        <v>23.604817211988998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OFFSET(Nelson_Reference,22,7)</f>
        <v>11.755853864000001</v>
      </c>
      <c r="D107" s="4">
        <f ca="1">OFFSET(Nelson_Reference,23,7)</f>
        <v>11.544163153</v>
      </c>
      <c r="E107" s="4">
        <f ca="1">OFFSET(Nelson_Reference,24,7)</f>
        <v>11.408438206</v>
      </c>
      <c r="F107" s="4">
        <f ca="1">OFFSET(Nelson_Reference,25,7)</f>
        <v>11.113787231</v>
      </c>
      <c r="G107" s="4">
        <f ca="1">OFFSET(Nelson_Reference,26,7)</f>
        <v>10.706755230000001</v>
      </c>
      <c r="H107" s="4">
        <f ca="1">OFFSET(Nelson_Reference,27,7)</f>
        <v>10.282828726</v>
      </c>
      <c r="I107" s="1">
        <f ca="1">H107*('Updated Population'!I$103/'Updated Population'!H$103)</f>
        <v>10.267174290233552</v>
      </c>
      <c r="J107" s="1">
        <f ca="1">I107*('Updated Population'!J$103/'Updated Population'!I$103)</f>
        <v>10.219393711412712</v>
      </c>
      <c r="K107" s="1">
        <f ca="1">J107*('Updated Population'!K$103/'Updated Population'!J$103)</f>
        <v>10.150455280799475</v>
      </c>
    </row>
    <row r="108" spans="1:11" x14ac:dyDescent="0.25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OFFSET(Nelson_Reference,29,7)</f>
        <v>9.4911018299999997E-2</v>
      </c>
      <c r="D108" s="4">
        <f ca="1">OFFSET(Nelson_Reference,30,7)</f>
        <v>0.1067897837</v>
      </c>
      <c r="E108" s="4">
        <f ca="1">OFFSET(Nelson_Reference,31,7)</f>
        <v>0.1130422738</v>
      </c>
      <c r="F108" s="4">
        <f ca="1">OFFSET(Nelson_Reference,32,7)</f>
        <v>0.1164617048</v>
      </c>
      <c r="G108" s="4">
        <f ca="1">OFFSET(Nelson_Reference,33,7)</f>
        <v>0.1157559365</v>
      </c>
      <c r="H108" s="4">
        <f ca="1">OFFSET(Nelson_Reference,34,7)</f>
        <v>0.1146745373</v>
      </c>
      <c r="I108" s="1">
        <f ca="1">H108*('Updated Population'!I$103/'Updated Population'!H$103)</f>
        <v>0.11449995837565489</v>
      </c>
      <c r="J108" s="1">
        <f ca="1">I108*('Updated Population'!J$103/'Updated Population'!I$103)</f>
        <v>0.11396710735632867</v>
      </c>
      <c r="K108" s="1">
        <f ca="1">J108*('Updated Population'!K$103/'Updated Population'!J$103)</f>
        <v>0.11319830308627678</v>
      </c>
    </row>
    <row r="109" spans="1:11" x14ac:dyDescent="0.25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OFFSET(Nelson_Reference,36,7)</f>
        <v>0.61347351159999997</v>
      </c>
      <c r="D109" s="4">
        <f ca="1">OFFSET(Nelson_Reference,37,7)</f>
        <v>0.61676123650000003</v>
      </c>
      <c r="E109" s="4">
        <f ca="1">OFFSET(Nelson_Reference,38,7)</f>
        <v>0.61142580940000002</v>
      </c>
      <c r="F109" s="4">
        <f ca="1">OFFSET(Nelson_Reference,39,7)</f>
        <v>0.61322040229999997</v>
      </c>
      <c r="G109" s="4">
        <f ca="1">OFFSET(Nelson_Reference,40,7)</f>
        <v>0.61067612059999998</v>
      </c>
      <c r="H109" s="4">
        <f ca="1">OFFSET(Nelson_Reference,41,7)</f>
        <v>0.60537409180000001</v>
      </c>
      <c r="I109" s="1">
        <f ca="1">H109*('Updated Population'!I$103/'Updated Population'!H$103)</f>
        <v>0.60445247868290186</v>
      </c>
      <c r="J109" s="1">
        <f ca="1">I109*('Updated Population'!J$103/'Updated Population'!I$103)</f>
        <v>0.60163952465244064</v>
      </c>
      <c r="K109" s="1">
        <f ca="1">J109*('Updated Population'!K$103/'Updated Population'!J$103)</f>
        <v>0.59758095857741855</v>
      </c>
    </row>
    <row r="110" spans="1:11" x14ac:dyDescent="0.25">
      <c r="A110" t="str">
        <f ca="1">OFFSET(Nelson_Reference,42,2)</f>
        <v>Local Train</v>
      </c>
      <c r="B110" s="4">
        <f ca="1">OFFSET(Nelson_Reference,42,7)</f>
        <v>9.9048728700000005E-2</v>
      </c>
      <c r="C110" s="4">
        <f ca="1">OFFSET(Nelson_Reference,43,7)</f>
        <v>8.7578540199999999E-2</v>
      </c>
      <c r="D110" s="4">
        <f ca="1">OFFSET(Nelson_Reference,44,7)</f>
        <v>7.2689966199999997E-2</v>
      </c>
      <c r="E110" s="4">
        <f ca="1">OFFSET(Nelson_Reference,45,7)</f>
        <v>5.46395566E-2</v>
      </c>
      <c r="F110" s="4">
        <f ca="1">OFFSET(Nelson_Reference,46,7)</f>
        <v>4.46646999E-2</v>
      </c>
      <c r="G110" s="4">
        <f ca="1">OFFSET(Nelson_Reference,47,7)</f>
        <v>3.9616024399999998E-2</v>
      </c>
      <c r="H110" s="4">
        <f ca="1">OFFSET(Nelson_Reference,48,7)</f>
        <v>3.3130818499999999E-2</v>
      </c>
      <c r="I110" s="1">
        <f ca="1">H110*('Updated Population'!I$103/'Updated Population'!H$103)</f>
        <v>3.3080380601643616E-2</v>
      </c>
      <c r="J110" s="1">
        <f ca="1">I110*('Updated Population'!J$103/'Updated Population'!I$103)</f>
        <v>3.2926433693947335E-2</v>
      </c>
      <c r="K110" s="1">
        <f ca="1">J110*('Updated Population'!K$103/'Updated Population'!J$103)</f>
        <v>3.2704317125327752E-2</v>
      </c>
    </row>
    <row r="111" spans="1:11" x14ac:dyDescent="0.25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OFFSET(Nelson_Reference,50,7)</f>
        <v>0.85904426140000001</v>
      </c>
      <c r="D111" s="4">
        <f ca="1">OFFSET(Nelson_Reference,51,7)</f>
        <v>0.79714238800000004</v>
      </c>
      <c r="E111" s="4">
        <f ca="1">OFFSET(Nelson_Reference,52,7)</f>
        <v>0.77485717359999995</v>
      </c>
      <c r="F111" s="4">
        <f ca="1">OFFSET(Nelson_Reference,53,7)</f>
        <v>0.72189484479999999</v>
      </c>
      <c r="G111" s="4">
        <f ca="1">OFFSET(Nelson_Reference,54,7)</f>
        <v>0.70853911260000002</v>
      </c>
      <c r="H111" s="4">
        <f ca="1">OFFSET(Nelson_Reference,55,7)</f>
        <v>0.69653890289999998</v>
      </c>
      <c r="I111" s="1">
        <f ca="1">H111*('Updated Population'!I$103/'Updated Population'!H$103)</f>
        <v>0.69547850173949932</v>
      </c>
      <c r="J111" s="1">
        <f ca="1">I111*('Updated Population'!J$103/'Updated Population'!I$103)</f>
        <v>0.69224193786796029</v>
      </c>
      <c r="K111" s="1">
        <f ca="1">J111*('Updated Population'!K$103/'Updated Population'!J$103)</f>
        <v>0.6875721820929197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OFFSET(Nelson_Reference,57,7)</f>
        <v>0.50557466539999996</v>
      </c>
      <c r="D113" s="4">
        <f ca="1">OFFSET(Nelson_Reference,58,7)</f>
        <v>0.50187198659999999</v>
      </c>
      <c r="E113" s="4">
        <f ca="1">OFFSET(Nelson_Reference,59,7)</f>
        <v>0.51573438640000002</v>
      </c>
      <c r="F113" s="4">
        <f ca="1">OFFSET(Nelson_Reference,60,7)</f>
        <v>0.51974025000000001</v>
      </c>
      <c r="G113" s="4">
        <f ca="1">OFFSET(Nelson_Reference,61,7)</f>
        <v>0.53604662540000003</v>
      </c>
      <c r="H113" s="4">
        <f ca="1">OFFSET(Nelson_Reference,62,7)</f>
        <v>0.54695967249999999</v>
      </c>
      <c r="I113" s="1">
        <f ca="1">H113*('Updated Population'!I$103/'Updated Population'!H$103)</f>
        <v>0.54612698868427723</v>
      </c>
      <c r="J113" s="1">
        <f ca="1">I113*('Updated Population'!J$103/'Updated Population'!I$103)</f>
        <v>0.54358546529221419</v>
      </c>
      <c r="K113" s="1">
        <f ca="1">J113*('Updated Population'!K$103/'Updated Population'!J$103)</f>
        <v>0.53991852281601216</v>
      </c>
    </row>
    <row r="114" spans="1:11" x14ac:dyDescent="0.25">
      <c r="A114" t="str">
        <f ca="1">OFFSET(West_Coast_Reference,0,0)</f>
        <v>12 WEST COAST</v>
      </c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OFFSET(West_Coast_Reference,1,7)</f>
        <v>1.1045135034</v>
      </c>
      <c r="D115" s="4">
        <f ca="1">OFFSET(West_Coast_Reference,2,7)</f>
        <v>1.0206355013999999</v>
      </c>
      <c r="E115" s="4">
        <f ca="1">OFFSET(West_Coast_Reference,3,7)</f>
        <v>0.97248027240000001</v>
      </c>
      <c r="F115" s="4">
        <f ca="1">OFFSET(West_Coast_Reference,4,7)</f>
        <v>0.91566530140000002</v>
      </c>
      <c r="G115" s="4">
        <f ca="1">OFFSET(West_Coast_Reference,5,7)</f>
        <v>0.85890678330000003</v>
      </c>
      <c r="H115" s="4">
        <f ca="1">OFFSET(West_Coast_Reference,6,7)</f>
        <v>0.81030989580000001</v>
      </c>
      <c r="I115" s="1">
        <f ca="1">H115*('Updated Population'!I$114/'Updated Population'!H$114)</f>
        <v>0.78947082478628849</v>
      </c>
      <c r="J115" s="1">
        <f ca="1">I115*('Updated Population'!J$114/'Updated Population'!I$114)</f>
        <v>0.76671928742662154</v>
      </c>
      <c r="K115" s="1">
        <f ca="1">J115*('Updated Population'!K$114/'Updated Population'!J$114)</f>
        <v>0.74302317639393378</v>
      </c>
    </row>
    <row r="116" spans="1:11" x14ac:dyDescent="0.25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OFFSET(West_Coast_Reference,8,7)</f>
        <v>0.16907585429999999</v>
      </c>
      <c r="D116" s="4">
        <f ca="1">OFFSET(West_Coast_Reference,9,7)</f>
        <v>0.1587344114</v>
      </c>
      <c r="E116" s="4">
        <f ca="1">OFFSET(West_Coast_Reference,10,7)</f>
        <v>0.14992278340000001</v>
      </c>
      <c r="F116" s="4">
        <f ca="1">OFFSET(West_Coast_Reference,11,7)</f>
        <v>0.13901431689999999</v>
      </c>
      <c r="G116" s="4">
        <f ca="1">OFFSET(West_Coast_Reference,12,7)</f>
        <v>0.1324652861</v>
      </c>
      <c r="H116" s="4">
        <f ca="1">OFFSET(West_Coast_Reference,13,7)</f>
        <v>0.12561356639999999</v>
      </c>
      <c r="I116" s="1">
        <f ca="1">H116*('Updated Population'!I$114/'Updated Population'!H$114)</f>
        <v>0.12238311093590769</v>
      </c>
      <c r="J116" s="1">
        <f ca="1">I116*('Updated Population'!J$114/'Updated Population'!I$114)</f>
        <v>0.11885618652878434</v>
      </c>
      <c r="K116" s="1">
        <f ca="1">J116*('Updated Population'!K$114/'Updated Population'!J$114)</f>
        <v>0.11518283509613571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OFFSET(West_Coast_Reference,15,7)</f>
        <v>5.0606306735000004</v>
      </c>
      <c r="D117" s="4">
        <f ca="1">OFFSET(West_Coast_Reference,16,7)</f>
        <v>4.8319052183000002</v>
      </c>
      <c r="E117" s="4">
        <f ca="1">OFFSET(West_Coast_Reference,17,7)</f>
        <v>4.7289966861000003</v>
      </c>
      <c r="F117" s="4">
        <f ca="1">OFFSET(West_Coast_Reference,18,7)</f>
        <v>4.5356870396</v>
      </c>
      <c r="G117" s="4">
        <f ca="1">OFFSET(West_Coast_Reference,19,7)</f>
        <v>4.4185398068000001</v>
      </c>
      <c r="H117" s="4">
        <f ca="1">OFFSET(West_Coast_Reference,20,7)</f>
        <v>4.2975288203000002</v>
      </c>
      <c r="I117" s="1">
        <f ca="1">H117*('Updated Population'!I$114/'Updated Population'!H$114)</f>
        <v>4.1870075139036533</v>
      </c>
      <c r="J117" s="1">
        <f ca="1">I117*('Updated Population'!J$114/'Updated Population'!I$114)</f>
        <v>4.0663433235536521</v>
      </c>
      <c r="K117" s="1">
        <f ca="1">J117*('Updated Population'!K$114/'Updated Population'!J$114)</f>
        <v>3.940669528108435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OFFSET(West_Coast_Reference,22,7)</f>
        <v>3.3375342696999999</v>
      </c>
      <c r="D118" s="4">
        <f ca="1">OFFSET(West_Coast_Reference,23,7)</f>
        <v>3.1416209746999999</v>
      </c>
      <c r="E118" s="4">
        <f ca="1">OFFSET(West_Coast_Reference,24,7)</f>
        <v>3.0709438500999999</v>
      </c>
      <c r="F118" s="4">
        <f ca="1">OFFSET(West_Coast_Reference,25,7)</f>
        <v>2.8936343896999999</v>
      </c>
      <c r="G118" s="4">
        <f ca="1">OFFSET(West_Coast_Reference,26,7)</f>
        <v>2.6930939808000001</v>
      </c>
      <c r="H118" s="4">
        <f ca="1">OFFSET(West_Coast_Reference,27,7)</f>
        <v>2.4948878249000002</v>
      </c>
      <c r="I118" s="1">
        <f ca="1">H118*('Updated Population'!I$114/'Updated Population'!H$114)</f>
        <v>2.4307257742773731</v>
      </c>
      <c r="J118" s="1">
        <f ca="1">I118*('Updated Population'!J$114/'Updated Population'!I$114)</f>
        <v>2.360675372757409</v>
      </c>
      <c r="K118" s="1">
        <f ca="1">J118*('Updated Population'!K$114/'Updated Population'!J$114)</f>
        <v>2.2877166945784091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OFFSET(West_Coast_Reference,29,7)</f>
        <v>7.6289899699999997E-2</v>
      </c>
      <c r="D119" s="4">
        <f ca="1">OFFSET(West_Coast_Reference,30,7)</f>
        <v>8.2384308200000006E-2</v>
      </c>
      <c r="E119" s="4">
        <f ca="1">OFFSET(West_Coast_Reference,31,7)</f>
        <v>8.3902759300000004E-2</v>
      </c>
      <c r="F119" s="4">
        <f ca="1">OFFSET(West_Coast_Reference,32,7)</f>
        <v>7.9800362E-2</v>
      </c>
      <c r="G119" s="4">
        <f ca="1">OFFSET(West_Coast_Reference,33,7)</f>
        <v>7.6957602700000002E-2</v>
      </c>
      <c r="H119" s="4">
        <f ca="1">OFFSET(West_Coast_Reference,34,7)</f>
        <v>7.3297641299999994E-2</v>
      </c>
      <c r="I119" s="1">
        <f ca="1">H119*('Updated Population'!I$114/'Updated Population'!H$114)</f>
        <v>7.1412615879348759E-2</v>
      </c>
      <c r="J119" s="1">
        <f ca="1">I119*('Updated Population'!J$114/'Updated Population'!I$114)</f>
        <v>6.9354595814363623E-2</v>
      </c>
      <c r="K119" s="1">
        <f ca="1">J119*('Updated Population'!K$114/'Updated Population'!J$114)</f>
        <v>6.7211133102527743E-2</v>
      </c>
    </row>
    <row r="120" spans="1:11" x14ac:dyDescent="0.25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OFFSET(West_Coast_Reference,36,7)</f>
        <v>1.1118691199999999E-2</v>
      </c>
      <c r="D120" s="4">
        <f ca="1">OFFSET(West_Coast_Reference,37,7)</f>
        <v>1.1256846500000001E-2</v>
      </c>
      <c r="E120" s="4">
        <f ca="1">OFFSET(West_Coast_Reference,38,7)</f>
        <v>1.1908579399999999E-2</v>
      </c>
      <c r="F120" s="4">
        <f ca="1">OFFSET(West_Coast_Reference,39,7)</f>
        <v>1.2908842699999999E-2</v>
      </c>
      <c r="G120" s="4">
        <f ca="1">OFFSET(West_Coast_Reference,40,7)</f>
        <v>1.42679882E-2</v>
      </c>
      <c r="H120" s="4">
        <f ca="1">OFFSET(West_Coast_Reference,41,7)</f>
        <v>1.5176650200000001E-2</v>
      </c>
      <c r="I120" s="1">
        <f ca="1">H120*('Updated Population'!I$114/'Updated Population'!H$114)</f>
        <v>1.4786346079431639E-2</v>
      </c>
      <c r="J120" s="1">
        <f ca="1">I120*('Updated Population'!J$114/'Updated Population'!I$114)</f>
        <v>1.4360222536069261E-2</v>
      </c>
      <c r="K120" s="1">
        <f ca="1">J120*('Updated Population'!K$114/'Updated Population'!J$114)</f>
        <v>1.3916407657209352E-2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OFFSET(West_Coast_Reference,43,7)</f>
        <v>0.1708121444</v>
      </c>
      <c r="D122" s="4">
        <f ca="1">OFFSET(West_Coast_Reference,44,7)</f>
        <v>0.15341595820000001</v>
      </c>
      <c r="E122" s="4">
        <f ca="1">OFFSET(West_Coast_Reference,45,7)</f>
        <v>0.14486248400000001</v>
      </c>
      <c r="F122" s="4">
        <f ca="1">OFFSET(West_Coast_Reference,46,7)</f>
        <v>0.1344948923</v>
      </c>
      <c r="G122" s="4">
        <f ca="1">OFFSET(West_Coast_Reference,47,7)</f>
        <v>0.1235634905</v>
      </c>
      <c r="H122" s="4">
        <f ca="1">OFFSET(West_Coast_Reference,48,7)</f>
        <v>0.113677634</v>
      </c>
      <c r="I122" s="1">
        <f ca="1">H122*('Updated Population'!I$114/'Updated Population'!H$114)</f>
        <v>0.11075413979133318</v>
      </c>
      <c r="J122" s="1">
        <f ca="1">I122*('Updated Population'!J$114/'Updated Population'!I$114)</f>
        <v>0.10756234742854079</v>
      </c>
      <c r="K122" s="1">
        <f ca="1">J122*('Updated Population'!K$114/'Updated Population'!J$114)</f>
        <v>0.1042380416892683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OFFSET(West_Coast_Reference,50,7)</f>
        <v>3.5103360999999998E-3</v>
      </c>
      <c r="D124" s="4">
        <f ca="1">OFFSET(West_Coast_Reference,51,7)</f>
        <v>3.2047709999999999E-3</v>
      </c>
      <c r="E124" s="4">
        <f ca="1">OFFSET(West_Coast_Reference,52,7)</f>
        <v>2.7431955000000001E-3</v>
      </c>
      <c r="F124" s="4">
        <f ca="1">OFFSET(West_Coast_Reference,53,7)</f>
        <v>2.4925037999999999E-3</v>
      </c>
      <c r="G124" s="4">
        <f ca="1">OFFSET(West_Coast_Reference,54,7)</f>
        <v>2.5155822999999998E-3</v>
      </c>
      <c r="H124" s="4">
        <f ca="1">OFFSET(West_Coast_Reference,55,7)</f>
        <v>2.5123369999999999E-3</v>
      </c>
      <c r="I124" s="1">
        <f ca="1">H124*('Updated Population'!I$114/'Updated Population'!H$114)</f>
        <v>2.4477262018044697E-3</v>
      </c>
      <c r="J124" s="1">
        <f ca="1">I124*('Updated Population'!J$114/'Updated Population'!I$114)</f>
        <v>2.3771858697514579E-3</v>
      </c>
      <c r="K124" s="1">
        <f ca="1">J124*('Updated Population'!K$114/'Updated Population'!J$114)</f>
        <v>2.3037169206344605E-3</v>
      </c>
    </row>
    <row r="125" spans="1:11" x14ac:dyDescent="0.25">
      <c r="A125" t="str">
        <f ca="1">OFFSET(Canterbury_Reference,0,0)</f>
        <v>13 CANTERBURY</v>
      </c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OFFSET(Canterbury_Reference,1,7)</f>
        <v>28.254144254</v>
      </c>
      <c r="D126" s="4">
        <f ca="1">OFFSET(Canterbury_Reference,2,7)</f>
        <v>28.463007369</v>
      </c>
      <c r="E126" s="4">
        <f ca="1">OFFSET(Canterbury_Reference,3,7)</f>
        <v>28.51192416</v>
      </c>
      <c r="F126" s="4">
        <f ca="1">OFFSET(Canterbury_Reference,4,7)</f>
        <v>28.247148519</v>
      </c>
      <c r="G126" s="4">
        <f ca="1">OFFSET(Canterbury_Reference,5,7)</f>
        <v>27.789374018</v>
      </c>
      <c r="H126" s="4">
        <f ca="1">OFFSET(Canterbury_Reference,6,7)</f>
        <v>27.290085767000001</v>
      </c>
      <c r="I126" s="1">
        <f ca="1">H126*('Updated Population'!I$125/'Updated Population'!H$125)</f>
        <v>27.980506592899985</v>
      </c>
      <c r="J126" s="1">
        <f ca="1">I126*('Updated Population'!J$125/'Updated Population'!I$125)</f>
        <v>28.597074498451839</v>
      </c>
      <c r="K126" s="1">
        <f ca="1">J126*('Updated Population'!K$125/'Updated Population'!J$125)</f>
        <v>29.164417659735154</v>
      </c>
    </row>
    <row r="127" spans="1:11" x14ac:dyDescent="0.25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OFFSET(Canterbury_Reference,8,7)</f>
        <v>7.8378756414000001</v>
      </c>
      <c r="D127" s="4">
        <f ca="1">OFFSET(Canterbury_Reference,9,7)</f>
        <v>7.9296589745999997</v>
      </c>
      <c r="E127" s="4">
        <f ca="1">OFFSET(Canterbury_Reference,10,7)</f>
        <v>7.9263498508000003</v>
      </c>
      <c r="F127" s="4">
        <f ca="1">OFFSET(Canterbury_Reference,11,7)</f>
        <v>7.9811847995000003</v>
      </c>
      <c r="G127" s="4">
        <f ca="1">OFFSET(Canterbury_Reference,12,7)</f>
        <v>8.0739824757999994</v>
      </c>
      <c r="H127" s="4">
        <f ca="1">OFFSET(Canterbury_Reference,13,7)</f>
        <v>8.1826118609999998</v>
      </c>
      <c r="I127" s="1">
        <f ca="1">H127*('Updated Population'!I$125/'Updated Population'!H$125)</f>
        <v>8.3896264408487049</v>
      </c>
      <c r="J127" s="1">
        <f ca="1">I127*('Updated Population'!J$125/'Updated Population'!I$125)</f>
        <v>8.5744970894848205</v>
      </c>
      <c r="K127" s="1">
        <f ca="1">J127*('Updated Population'!K$125/'Updated Population'!J$125)</f>
        <v>8.7446082763975337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OFFSET(Canterbury_Reference,15,7)</f>
        <v>122.72302619</v>
      </c>
      <c r="D128" s="4">
        <f ca="1">OFFSET(Canterbury_Reference,16,7)</f>
        <v>128.30051982000001</v>
      </c>
      <c r="E128" s="4">
        <f ca="1">OFFSET(Canterbury_Reference,17,7)</f>
        <v>134.54109561999999</v>
      </c>
      <c r="F128" s="4">
        <f ca="1">OFFSET(Canterbury_Reference,18,7)</f>
        <v>140.26407354</v>
      </c>
      <c r="G128" s="4">
        <f ca="1">OFFSET(Canterbury_Reference,19,7)</f>
        <v>144.25808574000001</v>
      </c>
      <c r="H128" s="4">
        <f ca="1">OFFSET(Canterbury_Reference,20,7)</f>
        <v>147.69919095</v>
      </c>
      <c r="I128" s="1">
        <f ca="1">H128*('Updated Population'!I$125/'Updated Population'!H$125)</f>
        <v>151.43588119975252</v>
      </c>
      <c r="J128" s="1">
        <f ca="1">I128*('Updated Population'!J$125/'Updated Population'!I$125)</f>
        <v>154.77286524565335</v>
      </c>
      <c r="K128" s="1">
        <f ca="1">J128*('Updated Population'!K$125/'Updated Population'!J$125)</f>
        <v>157.84343551164679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OFFSET(Canterbury_Reference,22,7)</f>
        <v>56.016323798000002</v>
      </c>
      <c r="D129" s="4">
        <f ca="1">OFFSET(Canterbury_Reference,23,7)</f>
        <v>56.70104044</v>
      </c>
      <c r="E129" s="4">
        <f ca="1">OFFSET(Canterbury_Reference,24,7)</f>
        <v>57.862792802000001</v>
      </c>
      <c r="F129" s="4">
        <f ca="1">OFFSET(Canterbury_Reference,25,7)</f>
        <v>58.729080967000002</v>
      </c>
      <c r="G129" s="4">
        <f ca="1">OFFSET(Canterbury_Reference,26,7)</f>
        <v>59.387033621</v>
      </c>
      <c r="H129" s="4">
        <f ca="1">OFFSET(Canterbury_Reference,27,7)</f>
        <v>59.785038673999999</v>
      </c>
      <c r="I129" s="1">
        <f ca="1">H129*('Updated Population'!I$125/'Updated Population'!H$125)</f>
        <v>61.297559965804759</v>
      </c>
      <c r="J129" s="1">
        <f ca="1">I129*('Updated Population'!J$125/'Updated Population'!I$125)</f>
        <v>62.648289911957541</v>
      </c>
      <c r="K129" s="1">
        <f ca="1">J129*('Updated Population'!K$125/'Updated Population'!J$125)</f>
        <v>63.891182042394448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OFFSET(Canterbury_Reference,29,7)</f>
        <v>0.95403280580000005</v>
      </c>
      <c r="D130" s="4">
        <f ca="1">OFFSET(Canterbury_Reference,30,7)</f>
        <v>0.99633355749999997</v>
      </c>
      <c r="E130" s="4">
        <f ca="1">OFFSET(Canterbury_Reference,31,7)</f>
        <v>1.0318682409</v>
      </c>
      <c r="F130" s="4">
        <f ca="1">OFFSET(Canterbury_Reference,32,7)</f>
        <v>1.0695799653</v>
      </c>
      <c r="G130" s="4">
        <f ca="1">OFFSET(Canterbury_Reference,33,7)</f>
        <v>1.0783943313</v>
      </c>
      <c r="H130" s="4">
        <f ca="1">OFFSET(Canterbury_Reference,34,7)</f>
        <v>1.0758449926</v>
      </c>
      <c r="I130" s="1">
        <f ca="1">H130*('Updated Population'!I$125/'Updated Population'!H$125)</f>
        <v>1.103063147745172</v>
      </c>
      <c r="J130" s="1">
        <f ca="1">I130*('Updated Population'!J$125/'Updated Population'!I$125)</f>
        <v>1.127369831844639</v>
      </c>
      <c r="K130" s="1">
        <f ca="1">J130*('Updated Population'!K$125/'Updated Population'!J$125)</f>
        <v>1.1497359506016049</v>
      </c>
    </row>
    <row r="131" spans="1:11" x14ac:dyDescent="0.25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OFFSET(Canterbury_Reference,36,7)</f>
        <v>0.42296851670000002</v>
      </c>
      <c r="D131" s="4">
        <f ca="1">OFFSET(Canterbury_Reference,37,7)</f>
        <v>0.4291402554</v>
      </c>
      <c r="E131" s="4">
        <f ca="1">OFFSET(Canterbury_Reference,38,7)</f>
        <v>0.43696345250000002</v>
      </c>
      <c r="F131" s="4">
        <f ca="1">OFFSET(Canterbury_Reference,39,7)</f>
        <v>0.45144591319999999</v>
      </c>
      <c r="G131" s="4">
        <f ca="1">OFFSET(Canterbury_Reference,40,7)</f>
        <v>0.47812873760000002</v>
      </c>
      <c r="H131" s="4">
        <f ca="1">OFFSET(Canterbury_Reference,41,7)</f>
        <v>0.50235576410000005</v>
      </c>
      <c r="I131" s="1">
        <f ca="1">H131*('Updated Population'!I$125/'Updated Population'!H$125)</f>
        <v>0.5150650272553744</v>
      </c>
      <c r="J131" s="1">
        <f ca="1">I131*('Updated Population'!J$125/'Updated Population'!I$125)</f>
        <v>0.52641480621750503</v>
      </c>
      <c r="K131" s="1">
        <f ca="1">J131*('Updated Population'!K$125/'Updated Population'!J$125)</f>
        <v>0.53685845633010487</v>
      </c>
    </row>
    <row r="132" spans="1:11" x14ac:dyDescent="0.25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7.2939090999999999E-3</v>
      </c>
      <c r="D132" s="4">
        <f ca="1">OFFSET(Canterbury_Reference,44,7)</f>
        <v>6.1357468000000004E-3</v>
      </c>
      <c r="E132" s="4">
        <f ca="1">OFFSET(Canterbury_Reference,45,7)</f>
        <v>5.6627932000000002E-3</v>
      </c>
      <c r="F132" s="4">
        <f ca="1">OFFSET(Canterbury_Reference,46,7)</f>
        <v>5.3311143999999998E-3</v>
      </c>
      <c r="G132" s="4">
        <f ca="1">OFFSET(Canterbury_Reference,47,7)</f>
        <v>4.4621642000000003E-3</v>
      </c>
      <c r="H132" s="4">
        <f ca="1">OFFSET(Canterbury_Reference,48,7)</f>
        <v>3.6613496000000001E-3</v>
      </c>
      <c r="I132" s="1">
        <f ca="1">H132*('Updated Population'!I$125/'Updated Population'!H$125)</f>
        <v>3.7539792837731948E-3</v>
      </c>
      <c r="J132" s="1">
        <f ca="1">I132*('Updated Population'!J$125/'Updated Population'!I$125)</f>
        <v>3.8367005574855301E-3</v>
      </c>
      <c r="K132" s="1">
        <f ca="1">J132*('Updated Population'!K$125/'Updated Population'!J$125)</f>
        <v>3.9128176380386175E-3</v>
      </c>
    </row>
    <row r="133" spans="1:11" x14ac:dyDescent="0.25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8.0130594146000007</v>
      </c>
      <c r="D133" s="4">
        <f ca="1">OFFSET(Canterbury_Reference,51,7)</f>
        <v>7.8205246438999998</v>
      </c>
      <c r="E133" s="4">
        <f ca="1">OFFSET(Canterbury_Reference,52,7)</f>
        <v>7.6642940755</v>
      </c>
      <c r="F133" s="4">
        <f ca="1">OFFSET(Canterbury_Reference,53,7)</f>
        <v>7.3520729450999998</v>
      </c>
      <c r="G133" s="4">
        <f ca="1">OFFSET(Canterbury_Reference,54,7)</f>
        <v>7.0564301036000003</v>
      </c>
      <c r="H133" s="4">
        <f ca="1">OFFSET(Canterbury_Reference,55,7)</f>
        <v>6.7467374597000003</v>
      </c>
      <c r="I133" s="1">
        <f ca="1">H133*('Updated Population'!I$125/'Updated Population'!H$125)</f>
        <v>6.9174253823700393</v>
      </c>
      <c r="J133" s="1">
        <f ca="1">I133*('Updated Population'!J$125/'Updated Population'!I$125)</f>
        <v>7.0698551629266708</v>
      </c>
      <c r="K133" s="1">
        <f ca="1">J133*('Updated Population'!K$125/'Updated Population'!J$125)</f>
        <v>7.2101154534737733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OFFSET(Canterbury_Reference,57,7)</f>
        <v>0.97577669160000002</v>
      </c>
      <c r="D135" s="4">
        <f ca="1">OFFSET(Canterbury_Reference,58,7)</f>
        <v>1.0437420708</v>
      </c>
      <c r="E135" s="4">
        <f ca="1">OFFSET(Canterbury_Reference,59,7)</f>
        <v>1.1187183241</v>
      </c>
      <c r="F135" s="4">
        <f ca="1">OFFSET(Canterbury_Reference,60,7)</f>
        <v>1.1602123471000001</v>
      </c>
      <c r="G135" s="4">
        <f ca="1">OFFSET(Canterbury_Reference,61,7)</f>
        <v>1.1771374241000001</v>
      </c>
      <c r="H135" s="4">
        <f ca="1">OFFSET(Canterbury_Reference,62,7)</f>
        <v>1.1728690889</v>
      </c>
      <c r="I135" s="1">
        <f ca="1">H135*('Updated Population'!I$125/'Updated Population'!H$125)</f>
        <v>1.2025418884633527</v>
      </c>
      <c r="J135" s="1">
        <f ca="1">I135*('Updated Population'!J$125/'Updated Population'!I$125)</f>
        <v>1.2290406486286301</v>
      </c>
      <c r="K135" s="1">
        <f ca="1">J135*('Updated Population'!K$125/'Updated Population'!J$125)</f>
        <v>1.253423835341537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OFFSET(Otago_Reference,1,7)</f>
        <v>11.758384660000001</v>
      </c>
      <c r="D137" s="4">
        <f ca="1">OFFSET(Otago_Reference,2,7)</f>
        <v>11.7176154</v>
      </c>
      <c r="E137" s="4">
        <f ca="1">OFFSET(Otago_Reference,3,7)</f>
        <v>11.697498669</v>
      </c>
      <c r="F137" s="4">
        <f ca="1">OFFSET(Otago_Reference,4,7)</f>
        <v>11.631373774</v>
      </c>
      <c r="G137" s="4">
        <f ca="1">OFFSET(Otago_Reference,5,7)</f>
        <v>11.484434583000001</v>
      </c>
      <c r="H137" s="4">
        <f ca="1">OFFSET(Otago_Reference,6,7)</f>
        <v>11.361074028999999</v>
      </c>
      <c r="I137" s="1">
        <f ca="1">H137*('Updated Population'!I$136/'Updated Population'!H$136)</f>
        <v>11.47444212374131</v>
      </c>
      <c r="J137" s="1">
        <f ca="1">I137*('Updated Population'!J$136/'Updated Population'!I$136)</f>
        <v>11.552051880606747</v>
      </c>
      <c r="K137" s="1">
        <f ca="1">J137*('Updated Population'!K$136/'Updated Population'!J$136)</f>
        <v>11.605192545022129</v>
      </c>
    </row>
    <row r="138" spans="1:11" x14ac:dyDescent="0.25">
      <c r="A138" t="str">
        <f ca="1">OFFSET(Otago_Reference,7,2)</f>
        <v>Cyclist</v>
      </c>
      <c r="B138" s="4">
        <f ca="1">OFFSET(Otago_Reference,7,7)</f>
        <v>1.6089304994</v>
      </c>
      <c r="C138" s="4">
        <f ca="1">OFFSET(Otago_Reference,8,7)</f>
        <v>1.7152031285</v>
      </c>
      <c r="D138" s="4">
        <f ca="1">OFFSET(Otago_Reference,9,7)</f>
        <v>1.7643427628999999</v>
      </c>
      <c r="E138" s="4">
        <f ca="1">OFFSET(Otago_Reference,10,7)</f>
        <v>1.7522984483999999</v>
      </c>
      <c r="F138" s="4">
        <f ca="1">OFFSET(Otago_Reference,11,7)</f>
        <v>1.7488423435</v>
      </c>
      <c r="G138" s="4">
        <f ca="1">OFFSET(Otago_Reference,12,7)</f>
        <v>1.7659083202000001</v>
      </c>
      <c r="H138" s="4">
        <f ca="1">OFFSET(Otago_Reference,13,7)</f>
        <v>1.778792095</v>
      </c>
      <c r="I138" s="1">
        <f ca="1">H138*('Updated Population'!I$136/'Updated Population'!H$136)</f>
        <v>1.7965420251770507</v>
      </c>
      <c r="J138" s="1">
        <f ca="1">I138*('Updated Population'!J$136/'Updated Population'!I$136)</f>
        <v>1.8086933078510943</v>
      </c>
      <c r="K138" s="1">
        <f ca="1">J138*('Updated Population'!K$136/'Updated Population'!J$136)</f>
        <v>1.817013488983956</v>
      </c>
    </row>
    <row r="139" spans="1:11" x14ac:dyDescent="0.25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OFFSET(Otago_Reference,15,7)</f>
        <v>33.859180950999999</v>
      </c>
      <c r="D139" s="4">
        <f ca="1">OFFSET(Otago_Reference,16,7)</f>
        <v>34.711763513000001</v>
      </c>
      <c r="E139" s="4">
        <f ca="1">OFFSET(Otago_Reference,17,7)</f>
        <v>35.963697607999997</v>
      </c>
      <c r="F139" s="4">
        <f ca="1">OFFSET(Otago_Reference,18,7)</f>
        <v>37.045879835999997</v>
      </c>
      <c r="G139" s="4">
        <f ca="1">OFFSET(Otago_Reference,19,7)</f>
        <v>37.670587916999999</v>
      </c>
      <c r="H139" s="4">
        <f ca="1">OFFSET(Otago_Reference,20,7)</f>
        <v>38.216697154999999</v>
      </c>
      <c r="I139" s="1">
        <f ca="1">H139*('Updated Population'!I$136/'Updated Population'!H$136)</f>
        <v>38.598047908697126</v>
      </c>
      <c r="J139" s="1">
        <f ca="1">I139*('Updated Population'!J$136/'Updated Population'!I$136)</f>
        <v>38.859113769796942</v>
      </c>
      <c r="K139" s="1">
        <f ca="1">J139*('Updated Population'!K$136/'Updated Population'!J$136)</f>
        <v>39.037869816399066</v>
      </c>
    </row>
    <row r="140" spans="1:11" x14ac:dyDescent="0.25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OFFSET(Otago_Reference,22,7)</f>
        <v>19.987106318999999</v>
      </c>
      <c r="D140" s="4">
        <f ca="1">OFFSET(Otago_Reference,23,7)</f>
        <v>19.851116201</v>
      </c>
      <c r="E140" s="4">
        <f ca="1">OFFSET(Otago_Reference,24,7)</f>
        <v>19.839399728</v>
      </c>
      <c r="F140" s="4">
        <f ca="1">OFFSET(Otago_Reference,25,7)</f>
        <v>19.627047925999999</v>
      </c>
      <c r="G140" s="4">
        <f ca="1">OFFSET(Otago_Reference,26,7)</f>
        <v>19.457236610999999</v>
      </c>
      <c r="H140" s="4">
        <f ca="1">OFFSET(Otago_Reference,27,7)</f>
        <v>19.256775448999999</v>
      </c>
      <c r="I140" s="1">
        <f ca="1">H140*('Updated Population'!I$136/'Updated Population'!H$136)</f>
        <v>19.448931924518231</v>
      </c>
      <c r="J140" s="1">
        <f ca="1">I140*('Updated Population'!J$136/'Updated Population'!I$136)</f>
        <v>19.580478788555414</v>
      </c>
      <c r="K140" s="1">
        <f ca="1">J140*('Updated Population'!K$136/'Updated Population'!J$136)</f>
        <v>19.670551068627315</v>
      </c>
    </row>
    <row r="141" spans="1:11" x14ac:dyDescent="0.25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OFFSET(Otago_Reference,29,7)</f>
        <v>0.232872627</v>
      </c>
      <c r="D141" s="4">
        <f ca="1">OFFSET(Otago_Reference,30,7)</f>
        <v>0.2338044655</v>
      </c>
      <c r="E141" s="4">
        <f ca="1">OFFSET(Otago_Reference,31,7)</f>
        <v>0.23332802480000001</v>
      </c>
      <c r="F141" s="4">
        <f ca="1">OFFSET(Otago_Reference,32,7)</f>
        <v>0.23336042800000001</v>
      </c>
      <c r="G141" s="4">
        <f ca="1">OFFSET(Otago_Reference,33,7)</f>
        <v>0.22102028979999999</v>
      </c>
      <c r="H141" s="4">
        <f ca="1">OFFSET(Otago_Reference,34,7)</f>
        <v>0.2065213052</v>
      </c>
      <c r="I141" s="1">
        <f ca="1">H141*('Updated Population'!I$136/'Updated Population'!H$136)</f>
        <v>0.20858210744759115</v>
      </c>
      <c r="J141" s="1">
        <f ca="1">I141*('Updated Population'!J$136/'Updated Population'!I$136)</f>
        <v>0.20999289556878392</v>
      </c>
      <c r="K141" s="1">
        <f ca="1">J141*('Updated Population'!K$136/'Updated Population'!J$136)</f>
        <v>0.21095888517031686</v>
      </c>
    </row>
    <row r="142" spans="1:11" x14ac:dyDescent="0.25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OFFSET(Otago_Reference,36,7)</f>
        <v>0.4483653239</v>
      </c>
      <c r="D142" s="4">
        <f ca="1">OFFSET(Otago_Reference,37,7)</f>
        <v>0.45441215769999999</v>
      </c>
      <c r="E142" s="4">
        <f ca="1">OFFSET(Otago_Reference,38,7)</f>
        <v>0.46299173389999998</v>
      </c>
      <c r="F142" s="4">
        <f ca="1">OFFSET(Otago_Reference,39,7)</f>
        <v>0.46033657350000001</v>
      </c>
      <c r="G142" s="4">
        <f ca="1">OFFSET(Otago_Reference,40,7)</f>
        <v>0.44490873279999998</v>
      </c>
      <c r="H142" s="4">
        <f ca="1">OFFSET(Otago_Reference,41,7)</f>
        <v>0.42725955630000001</v>
      </c>
      <c r="I142" s="1">
        <f ca="1">H142*('Updated Population'!I$136/'Updated Population'!H$136)</f>
        <v>0.43152302661399566</v>
      </c>
      <c r="J142" s="1">
        <f ca="1">I142*('Updated Population'!J$136/'Updated Population'!I$136)</f>
        <v>0.4344417216421449</v>
      </c>
      <c r="K142" s="1">
        <f ca="1">J142*('Updated Population'!K$136/'Updated Population'!J$136)</f>
        <v>0.43644019965942105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OFFSET(Otago_Reference,42,7)</f>
        <v>1.347401772</v>
      </c>
      <c r="C144" s="4">
        <f ca="1">OFFSET(Otago_Reference,43,7)</f>
        <v>1.2900961945</v>
      </c>
      <c r="D144" s="4">
        <f ca="1">OFFSET(Otago_Reference,44,7)</f>
        <v>1.2436842792</v>
      </c>
      <c r="E144" s="4">
        <f ca="1">OFFSET(Otago_Reference,45,7)</f>
        <v>1.1903317034000001</v>
      </c>
      <c r="F144" s="4">
        <f ca="1">OFFSET(Otago_Reference,46,7)</f>
        <v>1.1413124115</v>
      </c>
      <c r="G144" s="4">
        <f ca="1">OFFSET(Otago_Reference,47,7)</f>
        <v>1.0718506929</v>
      </c>
      <c r="H144" s="4">
        <f ca="1">OFFSET(Otago_Reference,48,7)</f>
        <v>1.0035783852</v>
      </c>
      <c r="I144" s="1">
        <f ca="1">H144*('Updated Population'!I$136/'Updated Population'!H$136)</f>
        <v>1.0135927350020757</v>
      </c>
      <c r="J144" s="1">
        <f ca="1">I144*('Updated Population'!J$136/'Updated Population'!I$136)</f>
        <v>1.0204483786033731</v>
      </c>
      <c r="K144" s="1">
        <f ca="1">J144*('Updated Population'!K$136/'Updated Population'!J$136)</f>
        <v>1.0251425494226385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OFFSET(Otago_Reference,50,7)</f>
        <v>0.2702658382</v>
      </c>
      <c r="D146" s="4">
        <f ca="1">OFFSET(Otago_Reference,51,7)</f>
        <v>0.28511958729999998</v>
      </c>
      <c r="E146" s="4">
        <f ca="1">OFFSET(Otago_Reference,52,7)</f>
        <v>0.28830048559999999</v>
      </c>
      <c r="F146" s="4">
        <f ca="1">OFFSET(Otago_Reference,53,7)</f>
        <v>0.2854091117</v>
      </c>
      <c r="G146" s="4">
        <f ca="1">OFFSET(Otago_Reference,54,7)</f>
        <v>0.28457323940000001</v>
      </c>
      <c r="H146" s="4">
        <f ca="1">OFFSET(Otago_Reference,55,7)</f>
        <v>0.28645659080000002</v>
      </c>
      <c r="I146" s="1">
        <f ca="1">H146*('Updated Population'!I$136/'Updated Population'!H$136)</f>
        <v>0.28931503867580755</v>
      </c>
      <c r="J146" s="1">
        <f ca="1">I146*('Updated Population'!J$136/'Updated Population'!I$136)</f>
        <v>0.2912718806352686</v>
      </c>
      <c r="K146" s="1">
        <f ca="1">J146*('Updated Population'!K$136/'Updated Population'!J$136)</f>
        <v>0.29261176219245416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OFFSET(Southland_Reference,1,7)</f>
        <v>2.2903714635000001</v>
      </c>
      <c r="D148" s="4">
        <f ca="1">OFFSET(Southland_Reference,2,7)</f>
        <v>2.2892631520000002</v>
      </c>
      <c r="E148" s="4">
        <f ca="1">OFFSET(Southland_Reference,3,7)</f>
        <v>2.2693279764000001</v>
      </c>
      <c r="F148" s="4">
        <f ca="1">OFFSET(Southland_Reference,4,7)</f>
        <v>2.2193257948</v>
      </c>
      <c r="G148" s="4">
        <f ca="1">OFFSET(Southland_Reference,5,7)</f>
        <v>2.1552544251999999</v>
      </c>
      <c r="H148" s="4">
        <f ca="1">OFFSET(Southland_Reference,6,7)</f>
        <v>2.0780095142000001</v>
      </c>
      <c r="I148" s="1">
        <f ca="1">H148*('Updated Population'!I$147/'Updated Population'!H$147)</f>
        <v>2.0501733304311358</v>
      </c>
      <c r="J148" s="1">
        <f ca="1">I148*('Updated Population'!J$147/'Updated Population'!I$147)</f>
        <v>2.0162713944949506</v>
      </c>
      <c r="K148" s="1">
        <f ca="1">J148*('Updated Population'!K$147/'Updated Population'!J$147)</f>
        <v>1.9786686206561903</v>
      </c>
    </row>
    <row r="149" spans="1:11" x14ac:dyDescent="0.25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OFFSET(Southland_Reference,8,7)</f>
        <v>0.5430200288</v>
      </c>
      <c r="D149" s="4">
        <f ca="1">OFFSET(Southland_Reference,9,7)</f>
        <v>0.54979784269999998</v>
      </c>
      <c r="E149" s="4">
        <f ca="1">OFFSET(Southland_Reference,10,7)</f>
        <v>0.518384171</v>
      </c>
      <c r="F149" s="4">
        <f ca="1">OFFSET(Southland_Reference,11,7)</f>
        <v>0.49327534140000001</v>
      </c>
      <c r="G149" s="4">
        <f ca="1">OFFSET(Southland_Reference,12,7)</f>
        <v>0.46472311199999999</v>
      </c>
      <c r="H149" s="4">
        <f ca="1">OFFSET(Southland_Reference,13,7)</f>
        <v>0.4355834569</v>
      </c>
      <c r="I149" s="1">
        <f ca="1">H149*('Updated Population'!I$147/'Updated Population'!H$147)</f>
        <v>0.42974855524527222</v>
      </c>
      <c r="J149" s="1">
        <f ca="1">I149*('Updated Population'!J$147/'Updated Population'!I$147)</f>
        <v>0.4226421765931172</v>
      </c>
      <c r="K149" s="1">
        <f ca="1">J149*('Updated Population'!K$147/'Updated Population'!J$147)</f>
        <v>0.41476004414579692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OFFSET(Southland_Reference,15,7)</f>
        <v>15.594350167</v>
      </c>
      <c r="D150" s="4">
        <f ca="1">OFFSET(Southland_Reference,16,7)</f>
        <v>16.008576709</v>
      </c>
      <c r="E150" s="4">
        <f ca="1">OFFSET(Southland_Reference,17,7)</f>
        <v>16.183636717999999</v>
      </c>
      <c r="F150" s="4">
        <f ca="1">OFFSET(Southland_Reference,18,7)</f>
        <v>16.368136016000001</v>
      </c>
      <c r="G150" s="4">
        <f ca="1">OFFSET(Southland_Reference,19,7)</f>
        <v>16.411560755</v>
      </c>
      <c r="H150" s="4">
        <f ca="1">OFFSET(Southland_Reference,20,7)</f>
        <v>16.40376221</v>
      </c>
      <c r="I150" s="1">
        <f ca="1">H150*('Updated Population'!I$147/'Updated Population'!H$147)</f>
        <v>16.184023976725307</v>
      </c>
      <c r="J150" s="1">
        <f ca="1">I150*('Updated Population'!J$147/'Updated Population'!I$147)</f>
        <v>15.916402826891479</v>
      </c>
      <c r="K150" s="1">
        <f ca="1">J150*('Updated Population'!K$147/'Updated Population'!J$147)</f>
        <v>15.619567342610793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OFFSET(Southland_Reference,22,7)</f>
        <v>7.6456324514</v>
      </c>
      <c r="D151" s="4">
        <f ca="1">OFFSET(Southland_Reference,23,7)</f>
        <v>7.6504562911000003</v>
      </c>
      <c r="E151" s="4">
        <f ca="1">OFFSET(Southland_Reference,24,7)</f>
        <v>7.5992882773000003</v>
      </c>
      <c r="F151" s="4">
        <f ca="1">OFFSET(Southland_Reference,25,7)</f>
        <v>7.4602710687</v>
      </c>
      <c r="G151" s="4">
        <f ca="1">OFFSET(Southland_Reference,26,7)</f>
        <v>7.2299544631000003</v>
      </c>
      <c r="H151" s="4">
        <f ca="1">OFFSET(Southland_Reference,27,7)</f>
        <v>6.9496726449999997</v>
      </c>
      <c r="I151" s="1">
        <f ca="1">H151*('Updated Population'!I$147/'Updated Population'!H$147)</f>
        <v>6.85657761172045</v>
      </c>
      <c r="J151" s="1">
        <f ca="1">I151*('Updated Population'!J$147/'Updated Population'!I$147)</f>
        <v>6.7431963422035226</v>
      </c>
      <c r="K151" s="1">
        <f ca="1">J151*('Updated Population'!K$147/'Updated Population'!J$147)</f>
        <v>6.6174380302527904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OFFSET(Southland_Reference,29,7)</f>
        <v>7.5924466400000001E-2</v>
      </c>
      <c r="D152" s="4">
        <f ca="1">OFFSET(Southland_Reference,30,7)</f>
        <v>8.2236102899999997E-2</v>
      </c>
      <c r="E152" s="4">
        <f ca="1">OFFSET(Southland_Reference,31,7)</f>
        <v>8.6748699100000007E-2</v>
      </c>
      <c r="F152" s="4">
        <f ca="1">OFFSET(Southland_Reference,32,7)</f>
        <v>9.02596757E-2</v>
      </c>
      <c r="G152" s="4">
        <f ca="1">OFFSET(Southland_Reference,33,7)</f>
        <v>9.1836675800000003E-2</v>
      </c>
      <c r="H152" s="4">
        <f ca="1">OFFSET(Southland_Reference,34,7)</f>
        <v>9.3162798899999996E-2</v>
      </c>
      <c r="I152" s="1">
        <f ca="1">H152*('Updated Population'!I$147/'Updated Population'!H$147)</f>
        <v>9.1914827332554822E-2</v>
      </c>
      <c r="J152" s="1">
        <f ca="1">I152*('Updated Population'!J$147/'Updated Population'!I$147)</f>
        <v>9.0394911654421151E-2</v>
      </c>
      <c r="K152" s="1">
        <f ca="1">J152*('Updated Population'!K$147/'Updated Population'!J$147)</f>
        <v>8.8709077382112117E-2</v>
      </c>
    </row>
    <row r="153" spans="1:11" x14ac:dyDescent="0.25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OFFSET(Southland_Reference,36,7)</f>
        <v>0.32962729860000001</v>
      </c>
      <c r="D153" s="4">
        <f ca="1">OFFSET(Southland_Reference,37,7)</f>
        <v>0.37833424249999997</v>
      </c>
      <c r="E153" s="4">
        <f ca="1">OFFSET(Southland_Reference,38,7)</f>
        <v>0.39919420680000001</v>
      </c>
      <c r="F153" s="4">
        <f ca="1">OFFSET(Southland_Reference,39,7)</f>
        <v>0.40415125349999997</v>
      </c>
      <c r="G153" s="4">
        <f ca="1">OFFSET(Southland_Reference,40,7)</f>
        <v>0.39858936490000002</v>
      </c>
      <c r="H153" s="4">
        <f ca="1">OFFSET(Southland_Reference,41,7)</f>
        <v>0.39006193779999998</v>
      </c>
      <c r="I153" s="1">
        <f ca="1">H153*('Updated Population'!I$147/'Updated Population'!H$147)</f>
        <v>0.38483682419602294</v>
      </c>
      <c r="J153" s="1">
        <f ca="1">I153*('Updated Population'!J$147/'Updated Population'!I$147)</f>
        <v>0.37847311183759763</v>
      </c>
      <c r="K153" s="1">
        <f ca="1">J153*('Updated Population'!K$147/'Updated Population'!J$147)</f>
        <v>0.37141471738368742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OFFSET(Southland_Reference,43,7)</f>
        <v>1.2138591996999999</v>
      </c>
      <c r="D155" s="4">
        <f ca="1">OFFSET(Southland_Reference,44,7)</f>
        <v>1.2307665538000001</v>
      </c>
      <c r="E155" s="4">
        <f ca="1">OFFSET(Southland_Reference,45,7)</f>
        <v>1.2554180856999999</v>
      </c>
      <c r="F155" s="4">
        <f ca="1">OFFSET(Southland_Reference,46,7)</f>
        <v>1.2238665762000001</v>
      </c>
      <c r="G155" s="4">
        <f ca="1">OFFSET(Southland_Reference,47,7)</f>
        <v>1.1815845474</v>
      </c>
      <c r="H155" s="4">
        <f ca="1">OFFSET(Southland_Reference,48,7)</f>
        <v>1.1321857501000001</v>
      </c>
      <c r="I155" s="1">
        <f ca="1">H155*('Updated Population'!I$147/'Updated Population'!H$147)</f>
        <v>1.1170194429272409</v>
      </c>
      <c r="J155" s="1">
        <f ca="1">I155*('Updated Population'!J$147/'Updated Population'!I$147)</f>
        <v>1.0985482624511838</v>
      </c>
      <c r="K155" s="1">
        <f ca="1">J155*('Updated Population'!K$147/'Updated Population'!J$147)</f>
        <v>1.0780607120268213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OFFSET(Southland_Reference,50,7)</f>
        <v>9.4530381100000005E-2</v>
      </c>
      <c r="D157" s="4">
        <f ca="1">OFFSET(Southland_Reference,51,7)</f>
        <v>0.10075407240000001</v>
      </c>
      <c r="E157" s="4">
        <f ca="1">OFFSET(Southland_Reference,52,7)</f>
        <v>0.10682907210000001</v>
      </c>
      <c r="F157" s="4">
        <f ca="1">OFFSET(Southland_Reference,53,7)</f>
        <v>0.11273388819999999</v>
      </c>
      <c r="G157" s="4">
        <f ca="1">OFFSET(Southland_Reference,54,7)</f>
        <v>0.1137987003</v>
      </c>
      <c r="H157" s="4">
        <f ca="1">OFFSET(Southland_Reference,55,7)</f>
        <v>0.112228777</v>
      </c>
      <c r="I157" s="1">
        <f ca="1">H157*('Updated Population'!I$147/'Updated Population'!H$147)</f>
        <v>0.11072540522071843</v>
      </c>
      <c r="J157" s="1">
        <f ca="1">I157*('Updated Population'!J$147/'Updated Population'!I$147)</f>
        <v>0.10889443535169201</v>
      </c>
      <c r="K157" s="1">
        <f ca="1">J157*('Updated Population'!K$147/'Updated Population'!J$147)</f>
        <v>0.1068635912718677</v>
      </c>
    </row>
    <row r="158" spans="1:11" x14ac:dyDescent="0.25">
      <c r="A158" t="s">
        <v>12</v>
      </c>
      <c r="I158" s="1"/>
      <c r="J158" s="1"/>
      <c r="K158" s="1"/>
    </row>
    <row r="159" spans="1:11" x14ac:dyDescent="0.25">
      <c r="A159" t="str">
        <f t="shared" ref="A159:A168" ca="1" si="0">A5</f>
        <v>Pedestrian</v>
      </c>
      <c r="B159" s="4">
        <f ca="1">B5+B16+B27+B38+B49+B60+B71+B82+B93+B104+B115+B126+B137+B148</f>
        <v>205.0143830817</v>
      </c>
      <c r="C159" s="4">
        <f t="shared" ref="C159:I159" ca="1" si="1">C5+C16+C27+C38+C49+C60+C71+C82+C93+C104+C115+C126+C137+C148</f>
        <v>215.13752862799998</v>
      </c>
      <c r="D159" s="4">
        <f t="shared" ca="1" si="1"/>
        <v>220.62973743609999</v>
      </c>
      <c r="E159" s="4">
        <f t="shared" ca="1" si="1"/>
        <v>224.49874503549998</v>
      </c>
      <c r="F159" s="4">
        <f t="shared" ca="1" si="1"/>
        <v>226.40543979360001</v>
      </c>
      <c r="G159" s="4">
        <f t="shared" ca="1" si="1"/>
        <v>227.4327921478</v>
      </c>
      <c r="H159" s="4">
        <f t="shared" ca="1" si="1"/>
        <v>227.52570368110003</v>
      </c>
      <c r="I159" s="1">
        <f t="shared" ca="1" si="1"/>
        <v>232.97016436067418</v>
      </c>
      <c r="J159" s="1">
        <f t="shared" ref="J159:K159" ca="1" si="2">J5+J16+J27+J38+J49+J60+J71+J82+J93+J104+J115+J126+J137+J148</f>
        <v>237.86071427489915</v>
      </c>
      <c r="K159" s="1">
        <f t="shared" ca="1" si="2"/>
        <v>242.40809879097463</v>
      </c>
    </row>
    <row r="160" spans="1:11" x14ac:dyDescent="0.25">
      <c r="A160" t="str">
        <f t="shared" ca="1" si="0"/>
        <v>Cyclist</v>
      </c>
      <c r="B160" s="4">
        <f t="shared" ref="B160:I168" ca="1" si="3">B6+B17+B28+B39+B50+B61+B72+B83+B94+B105+B116+B127+B138+B149</f>
        <v>24.928098629399997</v>
      </c>
      <c r="C160" s="4">
        <f t="shared" ca="1" si="3"/>
        <v>26.640397528400005</v>
      </c>
      <c r="D160" s="4">
        <f t="shared" ca="1" si="3"/>
        <v>27.4178917413</v>
      </c>
      <c r="E160" s="4">
        <f t="shared" ca="1" si="3"/>
        <v>27.869299334000004</v>
      </c>
      <c r="F160" s="4">
        <f t="shared" ca="1" si="3"/>
        <v>28.563978465600002</v>
      </c>
      <c r="G160" s="4">
        <f t="shared" ca="1" si="3"/>
        <v>29.570414874099999</v>
      </c>
      <c r="H160" s="4">
        <f t="shared" ca="1" si="3"/>
        <v>30.599816868100003</v>
      </c>
      <c r="I160" s="1">
        <f t="shared" ca="1" si="3"/>
        <v>31.192025053247153</v>
      </c>
      <c r="J160" s="1">
        <f t="shared" ref="J160:K160" ca="1" si="4">J6+J17+J28+J39+J50+J61+J72+J83+J94+J105+J116+J127+J138+J149</f>
        <v>31.703444379102944</v>
      </c>
      <c r="K160" s="1">
        <f t="shared" ca="1" si="4"/>
        <v>32.163060112823658</v>
      </c>
    </row>
    <row r="161" spans="1:11" x14ac:dyDescent="0.25">
      <c r="A161" t="str">
        <f t="shared" ca="1" si="0"/>
        <v>Light Vehicle Driver</v>
      </c>
      <c r="B161" s="4">
        <f t="shared" ca="1" si="3"/>
        <v>820.39837236829999</v>
      </c>
      <c r="C161" s="4">
        <f t="shared" ca="1" si="3"/>
        <v>891.47617551429994</v>
      </c>
      <c r="D161" s="4">
        <f t="shared" ca="1" si="3"/>
        <v>932.92499938060007</v>
      </c>
      <c r="E161" s="4">
        <f t="shared" ca="1" si="3"/>
        <v>976.24844911710011</v>
      </c>
      <c r="F161" s="4">
        <f t="shared" ca="1" si="3"/>
        <v>1016.6785991071001</v>
      </c>
      <c r="G161" s="4">
        <f t="shared" ca="1" si="3"/>
        <v>1047.9151735348998</v>
      </c>
      <c r="H161" s="4">
        <f t="shared" ca="1" si="3"/>
        <v>1074.4004356879002</v>
      </c>
      <c r="I161" s="1">
        <f t="shared" ca="1" si="3"/>
        <v>1100.3782842154251</v>
      </c>
      <c r="J161" s="1">
        <f t="shared" ref="J161:K161" ca="1" si="5">J7+J18+J29+J40+J51+J62+J73+J84+J95+J106+J117+J128+J139+J150</f>
        <v>1123.7517955096205</v>
      </c>
      <c r="K161" s="1">
        <f t="shared" ca="1" si="5"/>
        <v>1145.5141657394927</v>
      </c>
    </row>
    <row r="162" spans="1:11" x14ac:dyDescent="0.25">
      <c r="A162" t="str">
        <f t="shared" ca="1" si="0"/>
        <v>Light Vehicle Passenger</v>
      </c>
      <c r="B162" s="4">
        <f t="shared" ca="1" si="3"/>
        <v>430.09037615619997</v>
      </c>
      <c r="C162" s="4">
        <f t="shared" ca="1" si="3"/>
        <v>447.02844596490002</v>
      </c>
      <c r="D162" s="4">
        <f t="shared" ca="1" si="3"/>
        <v>456.23330326959996</v>
      </c>
      <c r="E162" s="4">
        <f t="shared" ca="1" si="3"/>
        <v>465.90710687709998</v>
      </c>
      <c r="F162" s="4">
        <f t="shared" ca="1" si="3"/>
        <v>473.13183516930002</v>
      </c>
      <c r="G162" s="4">
        <f t="shared" ca="1" si="3"/>
        <v>477.56513385849991</v>
      </c>
      <c r="H162" s="4">
        <f t="shared" ca="1" si="3"/>
        <v>479.53974784559995</v>
      </c>
      <c r="I162" s="1">
        <f t="shared" ca="1" si="3"/>
        <v>490.89221690554194</v>
      </c>
      <c r="J162" s="1">
        <f t="shared" ref="J162:K162" ca="1" si="6">J8+J19+J30+J41+J52+J63+J74+J85+J96+J107+J118+J129+J140+J151</f>
        <v>501.07389738370847</v>
      </c>
      <c r="K162" s="1">
        <f t="shared" ca="1" si="6"/>
        <v>510.52937238758</v>
      </c>
    </row>
    <row r="163" spans="1:11" x14ac:dyDescent="0.25">
      <c r="A163" t="str">
        <f t="shared" ca="1" si="0"/>
        <v>Taxi/Vehicle Share</v>
      </c>
      <c r="B163" s="4">
        <f t="shared" ca="1" si="3"/>
        <v>4.6704390591000005</v>
      </c>
      <c r="C163" s="4">
        <f t="shared" ca="1" si="3"/>
        <v>5.2875735441999998</v>
      </c>
      <c r="D163" s="4">
        <f t="shared" ca="1" si="3"/>
        <v>5.7797338245999992</v>
      </c>
      <c r="E163" s="4">
        <f t="shared" ca="1" si="3"/>
        <v>6.2337283978999993</v>
      </c>
      <c r="F163" s="4">
        <f t="shared" ca="1" si="3"/>
        <v>6.6346200926999996</v>
      </c>
      <c r="G163" s="4">
        <f t="shared" ca="1" si="3"/>
        <v>6.9227999671000005</v>
      </c>
      <c r="H163" s="4">
        <f t="shared" ca="1" si="3"/>
        <v>7.1830756643999996</v>
      </c>
      <c r="I163" s="1">
        <f t="shared" ca="1" si="3"/>
        <v>7.3779400581683339</v>
      </c>
      <c r="J163" s="1">
        <f t="shared" ref="J163:K163" ca="1" si="7">J9+J20+J31+J42+J53+J64+J75+J86+J97+J108+J119+J130+J141+J152</f>
        <v>7.5564878131826019</v>
      </c>
      <c r="K163" s="1">
        <f t="shared" ca="1" si="7"/>
        <v>7.7252606477819592</v>
      </c>
    </row>
    <row r="164" spans="1:11" x14ac:dyDescent="0.25">
      <c r="A164" t="str">
        <f t="shared" ca="1" si="0"/>
        <v>Motorcyclist</v>
      </c>
      <c r="B164" s="4">
        <f t="shared" ca="1" si="3"/>
        <v>6.0136150244</v>
      </c>
      <c r="C164" s="4">
        <f t="shared" ca="1" si="3"/>
        <v>6.4137216643999997</v>
      </c>
      <c r="D164" s="4">
        <f t="shared" ca="1" si="3"/>
        <v>6.6191520118000016</v>
      </c>
      <c r="E164" s="4">
        <f t="shared" ca="1" si="3"/>
        <v>6.7990142546000003</v>
      </c>
      <c r="F164" s="4">
        <f t="shared" ca="1" si="3"/>
        <v>6.9542189526999998</v>
      </c>
      <c r="G164" s="4">
        <f t="shared" ca="1" si="3"/>
        <v>7.0092120184000004</v>
      </c>
      <c r="H164" s="4">
        <f t="shared" ca="1" si="3"/>
        <v>7.0226017970999992</v>
      </c>
      <c r="I164" s="1">
        <f t="shared" ca="1" si="3"/>
        <v>7.1640153681075436</v>
      </c>
      <c r="J164" s="1">
        <f t="shared" ref="J164:K164" ca="1" si="8">J10+J21+J32+J43+J54+J65+J76+J87+J98+J109+J120+J131+J142+J153</f>
        <v>7.2875709989110966</v>
      </c>
      <c r="K164" s="1">
        <f t="shared" ca="1" si="8"/>
        <v>7.3999167558088876</v>
      </c>
    </row>
    <row r="165" spans="1:11" x14ac:dyDescent="0.25">
      <c r="A165" t="str">
        <f t="shared" ca="1" si="0"/>
        <v>Local Train</v>
      </c>
      <c r="B165" s="4">
        <f t="shared" ca="1" si="3"/>
        <v>9.9999446903999978</v>
      </c>
      <c r="C165" s="4">
        <f t="shared" ca="1" si="3"/>
        <v>10.826776257100001</v>
      </c>
      <c r="D165" s="4">
        <f t="shared" ca="1" si="3"/>
        <v>11.3623810719</v>
      </c>
      <c r="E165" s="4">
        <f t="shared" ca="1" si="3"/>
        <v>11.719774512500001</v>
      </c>
      <c r="F165" s="4">
        <f t="shared" ca="1" si="3"/>
        <v>11.911556309700002</v>
      </c>
      <c r="G165" s="4">
        <f t="shared" ca="1" si="3"/>
        <v>12.056291615500001</v>
      </c>
      <c r="H165" s="4">
        <f t="shared" ca="1" si="3"/>
        <v>12.119344510399999</v>
      </c>
      <c r="I165" s="1">
        <f t="shared" ca="1" si="3"/>
        <v>12.410827337514718</v>
      </c>
      <c r="J165" s="1">
        <f t="shared" ref="J165:K165" ca="1" si="9">J11+J22+J33+J44+J55+J66+J77+J88+J99+J110+J121+J132+J143+J154</f>
        <v>12.67283771506051</v>
      </c>
      <c r="K165" s="1">
        <f t="shared" ca="1" si="9"/>
        <v>12.916620585965219</v>
      </c>
    </row>
    <row r="166" spans="1:11" x14ac:dyDescent="0.25">
      <c r="A166" t="str">
        <f t="shared" ca="1" si="0"/>
        <v>Local Bus</v>
      </c>
      <c r="B166" s="4">
        <f t="shared" ca="1" si="3"/>
        <v>54.150595508499997</v>
      </c>
      <c r="C166" s="4">
        <f t="shared" ca="1" si="3"/>
        <v>55.769050788499996</v>
      </c>
      <c r="D166" s="4">
        <f t="shared" ca="1" si="3"/>
        <v>56.076506987199998</v>
      </c>
      <c r="E166" s="4">
        <f t="shared" ca="1" si="3"/>
        <v>55.841255652199997</v>
      </c>
      <c r="F166" s="4">
        <f t="shared" ca="1" si="3"/>
        <v>54.646721923500003</v>
      </c>
      <c r="G166" s="4">
        <f t="shared" ca="1" si="3"/>
        <v>53.408809928900006</v>
      </c>
      <c r="H166" s="4">
        <f t="shared" ca="1" si="3"/>
        <v>51.860283561799996</v>
      </c>
      <c r="I166" s="1">
        <f t="shared" ca="1" si="3"/>
        <v>53.224624333268039</v>
      </c>
      <c r="J166" s="1">
        <f t="shared" ref="J166:K166" ca="1" si="10">J12+J23+J34+J45+J56+J67+J78+J89+J100+J111+J122+J133+J144+J155</f>
        <v>54.468010006691621</v>
      </c>
      <c r="K166" s="1">
        <f t="shared" ca="1" si="10"/>
        <v>55.637863835766197</v>
      </c>
    </row>
    <row r="167" spans="1:11" x14ac:dyDescent="0.25">
      <c r="A167" t="str">
        <f t="shared" ca="1" si="0"/>
        <v>Local Ferry</v>
      </c>
      <c r="B167" s="4">
        <f t="shared" ca="1" si="3"/>
        <v>1.3964695746999998</v>
      </c>
      <c r="C167" s="4">
        <f t="shared" ca="1" si="3"/>
        <v>1.5916558242999996</v>
      </c>
      <c r="D167" s="4">
        <f t="shared" ca="1" si="3"/>
        <v>1.7298331187</v>
      </c>
      <c r="E167" s="4">
        <f t="shared" ca="1" si="3"/>
        <v>1.8357656115000003</v>
      </c>
      <c r="F167" s="4">
        <f t="shared" ca="1" si="3"/>
        <v>1.9181040588000002</v>
      </c>
      <c r="G167" s="4">
        <f t="shared" ca="1" si="3"/>
        <v>2.0314610237999999</v>
      </c>
      <c r="H167" s="4">
        <f t="shared" ca="1" si="3"/>
        <v>2.1282552637000003</v>
      </c>
      <c r="I167" s="1">
        <f t="shared" ca="1" si="3"/>
        <v>2.2115368670458571</v>
      </c>
      <c r="J167" s="1">
        <f t="shared" ref="J167:K167" ca="1" si="11">J13+J24+J35+J46+J57+J68+J79+J90+J101+J112+J123+J134+J145+J156</f>
        <v>2.2910093190166703</v>
      </c>
      <c r="K167" s="1">
        <f t="shared" ca="1" si="11"/>
        <v>2.3684852430233159</v>
      </c>
    </row>
    <row r="168" spans="1:11" x14ac:dyDescent="0.25">
      <c r="A168" t="str">
        <f t="shared" ca="1" si="0"/>
        <v>Other Household Travel</v>
      </c>
      <c r="B168" s="4">
        <f t="shared" ca="1" si="3"/>
        <v>5.6740244923000009</v>
      </c>
      <c r="C168" s="4">
        <f t="shared" ca="1" si="3"/>
        <v>6.175234380700001</v>
      </c>
      <c r="D168" s="4">
        <f t="shared" ca="1" si="3"/>
        <v>6.5292238453000007</v>
      </c>
      <c r="E168" s="4">
        <f t="shared" ca="1" si="3"/>
        <v>6.7579170425999981</v>
      </c>
      <c r="F168" s="4">
        <f t="shared" ca="1" si="3"/>
        <v>6.9397819944999997</v>
      </c>
      <c r="G168" s="4">
        <f t="shared" ca="1" si="3"/>
        <v>7.1470233125</v>
      </c>
      <c r="H168" s="4">
        <f t="shared" ca="1" si="3"/>
        <v>7.3021397600999993</v>
      </c>
      <c r="I168" s="1">
        <f t="shared" ca="1" si="3"/>
        <v>7.5037509810806258</v>
      </c>
      <c r="J168" s="1">
        <f t="shared" ref="J168:K168" ca="1" si="12">J14+J25+J36+J47+J58+J69+J80+J91+J102+J113+J124+J135+J146+J157</f>
        <v>7.6886390564749254</v>
      </c>
      <c r="K168" s="1">
        <f t="shared" ca="1" si="12"/>
        <v>7.8634271836380876</v>
      </c>
    </row>
    <row r="170" spans="1:11" x14ac:dyDescent="0.25">
      <c r="B170" s="4"/>
      <c r="C170" s="4"/>
      <c r="D170" s="4"/>
      <c r="E170" s="4"/>
      <c r="F170" s="4"/>
      <c r="G170" s="4"/>
      <c r="H170" s="4"/>
    </row>
    <row r="171" spans="1:11" x14ac:dyDescent="0.25">
      <c r="B171" s="4"/>
      <c r="C171" s="4"/>
      <c r="D171" s="4"/>
      <c r="E171" s="4"/>
      <c r="F171" s="4"/>
      <c r="G171" s="4"/>
      <c r="H171" s="4"/>
    </row>
    <row r="172" spans="1:11" x14ac:dyDescent="0.25">
      <c r="B172" s="4"/>
      <c r="C172" s="4"/>
      <c r="D172" s="4"/>
      <c r="E172" s="4"/>
      <c r="F172" s="4"/>
      <c r="G172" s="4"/>
      <c r="H172" s="4"/>
    </row>
    <row r="173" spans="1:11" x14ac:dyDescent="0.25">
      <c r="B173" s="4"/>
      <c r="C173" s="4"/>
      <c r="D173" s="4"/>
      <c r="E173" s="4"/>
      <c r="F173" s="4"/>
      <c r="G173" s="4"/>
      <c r="H173" s="4"/>
    </row>
    <row r="174" spans="1:11" x14ac:dyDescent="0.25">
      <c r="B174" s="4"/>
      <c r="C174" s="4"/>
      <c r="D174" s="4"/>
      <c r="E174" s="4"/>
      <c r="F174" s="4"/>
      <c r="G174" s="4"/>
      <c r="H174" s="4"/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1" spans="2:8" x14ac:dyDescent="0.25">
      <c r="B181" s="4"/>
      <c r="C181" s="4"/>
      <c r="D181" s="4"/>
      <c r="E181" s="4"/>
      <c r="F181" s="4"/>
      <c r="G181" s="4"/>
      <c r="H181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0"/>
  <sheetViews>
    <sheetView topLeftCell="A130" workbookViewId="0">
      <selection activeCell="H158" sqref="H158"/>
    </sheetView>
  </sheetViews>
  <sheetFormatPr defaultRowHeight="12.5" x14ac:dyDescent="0.25"/>
  <cols>
    <col min="1" max="1" width="26.1796875" customWidth="1"/>
  </cols>
  <sheetData>
    <row r="2" spans="1:8" ht="13" x14ac:dyDescent="0.3">
      <c r="A2" s="3" t="s">
        <v>15</v>
      </c>
    </row>
    <row r="3" spans="1:8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</row>
    <row r="4" spans="1:8" x14ac:dyDescent="0.25">
      <c r="A4" t="str">
        <f ca="1">OFFSET(Northland_Reference,0,0)</f>
        <v>01 NORTHLAND</v>
      </c>
      <c r="B4" s="5">
        <f>[3]Population!D4</f>
        <v>164700</v>
      </c>
      <c r="C4" s="5">
        <f>[3]Population!E4</f>
        <v>171100</v>
      </c>
      <c r="D4" s="5">
        <f>[3]Population!F4</f>
        <v>175500</v>
      </c>
      <c r="E4" s="5">
        <f>[3]Population!G4</f>
        <v>179100</v>
      </c>
      <c r="F4" s="5">
        <f>[3]Population!H4</f>
        <v>181600</v>
      </c>
      <c r="G4" s="5">
        <f>[3]Population!I4</f>
        <v>182700</v>
      </c>
      <c r="H4" s="5">
        <f>[3]Population!J4</f>
        <v>182900</v>
      </c>
    </row>
    <row r="5" spans="1:8" x14ac:dyDescent="0.25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</row>
    <row r="6" spans="1:8" x14ac:dyDescent="0.25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</row>
    <row r="7" spans="1:8" x14ac:dyDescent="0.25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</row>
    <row r="8" spans="1:8" x14ac:dyDescent="0.25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</row>
    <row r="9" spans="1:8" x14ac:dyDescent="0.25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</row>
    <row r="10" spans="1:8" x14ac:dyDescent="0.25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</row>
    <row r="11" spans="1:8" x14ac:dyDescent="0.25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</row>
    <row r="12" spans="1:8" x14ac:dyDescent="0.25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</row>
    <row r="13" spans="1:8" x14ac:dyDescent="0.25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</row>
    <row r="14" spans="1:8" x14ac:dyDescent="0.25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</row>
    <row r="15" spans="1:8" x14ac:dyDescent="0.25">
      <c r="A15" t="str">
        <f ca="1">OFFSET(Auckland_Reference,0,0)</f>
        <v>02 AUCKLAND</v>
      </c>
      <c r="B15">
        <f>[3]Population!D5</f>
        <v>1493200</v>
      </c>
      <c r="C15">
        <f>[3]Population!E5</f>
        <v>1646500</v>
      </c>
      <c r="D15">
        <f>[3]Population!F5</f>
        <v>1767500</v>
      </c>
      <c r="E15">
        <f>[3]Population!G5</f>
        <v>1890900</v>
      </c>
      <c r="F15">
        <f>[3]Population!H5</f>
        <v>2010500</v>
      </c>
      <c r="G15">
        <f>[3]Population!I5</f>
        <v>2123000</v>
      </c>
      <c r="H15">
        <f>[3]Population!J5</f>
        <v>2229300</v>
      </c>
    </row>
    <row r="16" spans="1:8" x14ac:dyDescent="0.25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</row>
    <row r="17" spans="1:8" x14ac:dyDescent="0.25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</row>
    <row r="18" spans="1:8" x14ac:dyDescent="0.25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</row>
    <row r="19" spans="1:8" x14ac:dyDescent="0.25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</row>
    <row r="20" spans="1:8" x14ac:dyDescent="0.25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</row>
    <row r="21" spans="1:8" x14ac:dyDescent="0.25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</row>
    <row r="22" spans="1:8" x14ac:dyDescent="0.25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</row>
    <row r="23" spans="1:8" x14ac:dyDescent="0.25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</row>
    <row r="24" spans="1:8" x14ac:dyDescent="0.25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</row>
    <row r="25" spans="1:8" x14ac:dyDescent="0.25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</row>
    <row r="26" spans="1:8" x14ac:dyDescent="0.25">
      <c r="A26" t="str">
        <f ca="1">OFFSET(Waikato_Reference,0,0)</f>
        <v>03 WAIKATO</v>
      </c>
      <c r="B26">
        <f>[3]Population!D6</f>
        <v>424600</v>
      </c>
      <c r="C26">
        <f>[3]Population!E6</f>
        <v>449500</v>
      </c>
      <c r="D26">
        <f>[3]Population!F6</f>
        <v>466800</v>
      </c>
      <c r="E26">
        <f>[3]Population!G6</f>
        <v>482800</v>
      </c>
      <c r="F26">
        <f>[3]Population!H6</f>
        <v>496600</v>
      </c>
      <c r="G26">
        <f>[3]Population!I6</f>
        <v>507900</v>
      </c>
      <c r="H26">
        <f>[3]Population!J6</f>
        <v>517400</v>
      </c>
    </row>
    <row r="27" spans="1:8" x14ac:dyDescent="0.25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</row>
    <row r="28" spans="1:8" x14ac:dyDescent="0.25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</row>
    <row r="29" spans="1:8" x14ac:dyDescent="0.25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</row>
    <row r="30" spans="1:8" x14ac:dyDescent="0.25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</row>
    <row r="31" spans="1:8" x14ac:dyDescent="0.25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</row>
    <row r="32" spans="1:8" x14ac:dyDescent="0.25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</row>
    <row r="33" spans="1:8" x14ac:dyDescent="0.25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</row>
    <row r="34" spans="1:8" x14ac:dyDescent="0.25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</row>
    <row r="35" spans="1:8" x14ac:dyDescent="0.25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</row>
    <row r="36" spans="1:8" x14ac:dyDescent="0.25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</row>
    <row r="37" spans="1:8" x14ac:dyDescent="0.25">
      <c r="A37" t="str">
        <f ca="1">OFFSET(BOP_Reference,0,0)</f>
        <v>04 BAY OF PLENTY</v>
      </c>
      <c r="B37">
        <f>[3]Population!D7</f>
        <v>279700</v>
      </c>
      <c r="C37">
        <f>[3]Population!E7</f>
        <v>291200</v>
      </c>
      <c r="D37">
        <f>[3]Population!F7</f>
        <v>301100</v>
      </c>
      <c r="E37">
        <f>[3]Population!G7</f>
        <v>310200</v>
      </c>
      <c r="F37">
        <f>[3]Population!H7</f>
        <v>318000</v>
      </c>
      <c r="G37">
        <f>[3]Population!I7</f>
        <v>324100</v>
      </c>
      <c r="H37">
        <f>[3]Population!J7</f>
        <v>328700</v>
      </c>
    </row>
    <row r="38" spans="1:8" x14ac:dyDescent="0.25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</row>
    <row r="39" spans="1:8" x14ac:dyDescent="0.25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</row>
    <row r="40" spans="1:8" x14ac:dyDescent="0.25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</row>
    <row r="41" spans="1:8" x14ac:dyDescent="0.25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</row>
    <row r="42" spans="1:8" x14ac:dyDescent="0.25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</row>
    <row r="43" spans="1:8" x14ac:dyDescent="0.25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</row>
    <row r="44" spans="1:8" x14ac:dyDescent="0.25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</row>
    <row r="45" spans="1:8" x14ac:dyDescent="0.25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</row>
    <row r="46" spans="1:8" x14ac:dyDescent="0.25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</row>
    <row r="47" spans="1:8" x14ac:dyDescent="0.25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</row>
    <row r="48" spans="1:8" x14ac:dyDescent="0.25">
      <c r="A48" t="str">
        <f ca="1">OFFSET(Gisborne_Reference,0,0)</f>
        <v>05 GISBORNE</v>
      </c>
      <c r="B48">
        <f>[3]Population!D8</f>
        <v>47000</v>
      </c>
      <c r="C48">
        <f>[3]Population!E8</f>
        <v>47800</v>
      </c>
      <c r="D48">
        <f>[3]Population!F8</f>
        <v>48300</v>
      </c>
      <c r="E48">
        <f>[3]Population!G8</f>
        <v>48600</v>
      </c>
      <c r="F48">
        <f>[3]Population!H8</f>
        <v>48600</v>
      </c>
      <c r="G48">
        <f>[3]Population!I8</f>
        <v>48200</v>
      </c>
      <c r="H48">
        <f>[3]Population!J8</f>
        <v>47600</v>
      </c>
    </row>
    <row r="49" spans="1:8" x14ac:dyDescent="0.25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</row>
    <row r="50" spans="1:8" x14ac:dyDescent="0.25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</row>
    <row r="51" spans="1:8" x14ac:dyDescent="0.25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</row>
    <row r="52" spans="1:8" x14ac:dyDescent="0.25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</row>
    <row r="53" spans="1:8" x14ac:dyDescent="0.25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</row>
    <row r="54" spans="1:8" x14ac:dyDescent="0.25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</row>
    <row r="55" spans="1:8" x14ac:dyDescent="0.25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</row>
    <row r="56" spans="1:8" x14ac:dyDescent="0.25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</row>
    <row r="57" spans="1:8" x14ac:dyDescent="0.25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</row>
    <row r="58" spans="1:8" x14ac:dyDescent="0.25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</row>
    <row r="59" spans="1:8" x14ac:dyDescent="0.25">
      <c r="A59" t="str">
        <f ca="1">OFFSET(Hawkes_Bay_Reference,0,0)</f>
        <v>06 HAWKE`S BAY</v>
      </c>
      <c r="B59">
        <f>[3]Population!D9</f>
        <v>158000</v>
      </c>
      <c r="C59">
        <f>[3]Population!E9</f>
        <v>162400</v>
      </c>
      <c r="D59">
        <f>[3]Population!F9</f>
        <v>164600</v>
      </c>
      <c r="E59">
        <f>[3]Population!G9</f>
        <v>166200</v>
      </c>
      <c r="F59">
        <f>[3]Population!H9</f>
        <v>166600</v>
      </c>
      <c r="G59">
        <f>[3]Population!I9</f>
        <v>165800</v>
      </c>
      <c r="H59">
        <f>[3]Population!J9</f>
        <v>164000</v>
      </c>
    </row>
    <row r="60" spans="1:8" x14ac:dyDescent="0.25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</row>
    <row r="61" spans="1:8" x14ac:dyDescent="0.25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</row>
    <row r="62" spans="1:8" x14ac:dyDescent="0.25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</row>
    <row r="63" spans="1:8" x14ac:dyDescent="0.25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</row>
    <row r="64" spans="1:8" x14ac:dyDescent="0.25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</row>
    <row r="65" spans="1:8" x14ac:dyDescent="0.25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</row>
    <row r="66" spans="1:8" x14ac:dyDescent="0.25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</row>
    <row r="67" spans="1:8" x14ac:dyDescent="0.25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</row>
    <row r="68" spans="1:8" x14ac:dyDescent="0.25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</row>
    <row r="69" spans="1:8" x14ac:dyDescent="0.25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</row>
    <row r="70" spans="1:8" x14ac:dyDescent="0.25">
      <c r="A70" t="str">
        <f ca="1">OFFSET(Taranaki_Reference,0,0)</f>
        <v>07 TARANAKI</v>
      </c>
      <c r="B70">
        <f>[3]Population!D10</f>
        <v>113600</v>
      </c>
      <c r="C70">
        <f>[3]Population!E10</f>
        <v>118800</v>
      </c>
      <c r="D70">
        <f>[3]Population!F10</f>
        <v>122000</v>
      </c>
      <c r="E70">
        <f>[3]Population!G10</f>
        <v>124900</v>
      </c>
      <c r="F70">
        <f>[3]Population!H10</f>
        <v>127200</v>
      </c>
      <c r="G70">
        <f>[3]Population!I10</f>
        <v>128900</v>
      </c>
      <c r="H70">
        <f>[3]Population!J10</f>
        <v>130200</v>
      </c>
    </row>
    <row r="71" spans="1:8" x14ac:dyDescent="0.25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</row>
    <row r="72" spans="1:8" x14ac:dyDescent="0.25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</row>
    <row r="73" spans="1:8" x14ac:dyDescent="0.25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</row>
    <row r="74" spans="1:8" x14ac:dyDescent="0.25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</row>
    <row r="75" spans="1:8" x14ac:dyDescent="0.25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</row>
    <row r="76" spans="1:8" x14ac:dyDescent="0.25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</row>
    <row r="77" spans="1:8" x14ac:dyDescent="0.25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</row>
    <row r="78" spans="1:8" x14ac:dyDescent="0.25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</row>
    <row r="79" spans="1:8" x14ac:dyDescent="0.25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</row>
    <row r="80" spans="1:8" x14ac:dyDescent="0.25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</row>
    <row r="81" spans="1:8" x14ac:dyDescent="0.25">
      <c r="A81" t="str">
        <f ca="1">OFFSET(Manawatu_Reference,0,0)</f>
        <v>08 MANAWATU-WANGANUI</v>
      </c>
      <c r="B81">
        <f>[3]Population!D11</f>
        <v>231200</v>
      </c>
      <c r="C81">
        <f>[3]Population!E11</f>
        <v>234800</v>
      </c>
      <c r="D81">
        <f>[3]Population!F11</f>
        <v>237000</v>
      </c>
      <c r="E81">
        <f>[3]Population!G11</f>
        <v>238500</v>
      </c>
      <c r="F81">
        <f>[3]Population!H11</f>
        <v>238600</v>
      </c>
      <c r="G81">
        <f>[3]Population!I11</f>
        <v>237300</v>
      </c>
      <c r="H81">
        <f>[3]Population!J11</f>
        <v>234700</v>
      </c>
    </row>
    <row r="82" spans="1:8" x14ac:dyDescent="0.25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</row>
    <row r="83" spans="1:8" x14ac:dyDescent="0.25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</row>
    <row r="84" spans="1:8" x14ac:dyDescent="0.25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</row>
    <row r="85" spans="1:8" x14ac:dyDescent="0.25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</row>
    <row r="86" spans="1:8" x14ac:dyDescent="0.25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</row>
    <row r="87" spans="1:8" x14ac:dyDescent="0.25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</row>
    <row r="88" spans="1:8" x14ac:dyDescent="0.25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</row>
    <row r="89" spans="1:8" x14ac:dyDescent="0.25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</row>
    <row r="90" spans="1:8" x14ac:dyDescent="0.25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</row>
    <row r="91" spans="1:8" x14ac:dyDescent="0.25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</row>
    <row r="92" spans="1:8" x14ac:dyDescent="0.25">
      <c r="A92" t="str">
        <f ca="1">OFFSET(Wellington_Reference,0,0)</f>
        <v>09 WELLINGTON</v>
      </c>
      <c r="B92">
        <f>[3]Population!D12</f>
        <v>486700</v>
      </c>
      <c r="C92">
        <f>[3]Population!E12</f>
        <v>505800</v>
      </c>
      <c r="D92">
        <f>[3]Population!F12</f>
        <v>518200</v>
      </c>
      <c r="E92">
        <f>[3]Population!G12</f>
        <v>529500</v>
      </c>
      <c r="F92">
        <f>[3]Population!H12</f>
        <v>538500</v>
      </c>
      <c r="G92">
        <f>[3]Population!I12</f>
        <v>544700</v>
      </c>
      <c r="H92">
        <f>[3]Population!J12</f>
        <v>548400</v>
      </c>
    </row>
    <row r="93" spans="1:8" x14ac:dyDescent="0.25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</row>
    <row r="94" spans="1:8" x14ac:dyDescent="0.25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</row>
    <row r="95" spans="1:8" x14ac:dyDescent="0.25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</row>
    <row r="96" spans="1:8" x14ac:dyDescent="0.25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</row>
    <row r="97" spans="1:8" x14ac:dyDescent="0.25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</row>
    <row r="98" spans="1:8" x14ac:dyDescent="0.25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</row>
    <row r="99" spans="1:8" x14ac:dyDescent="0.25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</row>
    <row r="100" spans="1:8" x14ac:dyDescent="0.25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</row>
    <row r="101" spans="1:8" x14ac:dyDescent="0.25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</row>
    <row r="102" spans="1:8" x14ac:dyDescent="0.25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</row>
    <row r="103" spans="1:8" x14ac:dyDescent="0.25">
      <c r="A103" t="str">
        <f ca="1">OFFSET(Nelson_Reference,0,0)</f>
        <v>10 NELS-MARLB-TAS</v>
      </c>
      <c r="B103">
        <f>[3]Population!D13</f>
        <v>142200</v>
      </c>
      <c r="C103">
        <f>[3]Population!E13</f>
        <v>147900</v>
      </c>
      <c r="D103">
        <f>[3]Population!F13</f>
        <v>151500</v>
      </c>
      <c r="E103">
        <f>[3]Population!G13</f>
        <v>154400</v>
      </c>
      <c r="F103">
        <f>[3]Population!H13</f>
        <v>156200</v>
      </c>
      <c r="G103">
        <f>[3]Population!I13</f>
        <v>156900</v>
      </c>
      <c r="H103">
        <f>[3]Population!J13</f>
        <v>156600</v>
      </c>
    </row>
    <row r="104" spans="1:8" x14ac:dyDescent="0.25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</row>
    <row r="105" spans="1:8" x14ac:dyDescent="0.25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</row>
    <row r="106" spans="1:8" x14ac:dyDescent="0.25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</row>
    <row r="107" spans="1:8" x14ac:dyDescent="0.25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</row>
    <row r="108" spans="1:8" x14ac:dyDescent="0.25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</row>
    <row r="109" spans="1:8" x14ac:dyDescent="0.25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</row>
    <row r="110" spans="1:8" x14ac:dyDescent="0.25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</row>
    <row r="111" spans="1:8" x14ac:dyDescent="0.25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</row>
    <row r="112" spans="1:8" x14ac:dyDescent="0.25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</row>
    <row r="113" spans="1:8" x14ac:dyDescent="0.25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</row>
    <row r="114" spans="1:8" x14ac:dyDescent="0.25">
      <c r="A114" t="str">
        <f ca="1">OFFSET(West_Coast_Reference,0,0)</f>
        <v>12 WEST COAST</v>
      </c>
      <c r="B114">
        <f>[3]Population!D14</f>
        <v>33000</v>
      </c>
      <c r="C114">
        <f>[3]Population!E14</f>
        <v>33800</v>
      </c>
      <c r="D114">
        <f>[3]Population!F14</f>
        <v>34000</v>
      </c>
      <c r="E114">
        <f>[3]Population!G14</f>
        <v>34100</v>
      </c>
      <c r="F114">
        <f>[3]Population!H14</f>
        <v>34000</v>
      </c>
      <c r="G114">
        <f>[3]Population!I14</f>
        <v>33700</v>
      </c>
      <c r="H114">
        <f>[3]Population!J14</f>
        <v>33200</v>
      </c>
    </row>
    <row r="115" spans="1:8" x14ac:dyDescent="0.25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</row>
    <row r="116" spans="1:8" x14ac:dyDescent="0.25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</row>
    <row r="117" spans="1:8" x14ac:dyDescent="0.25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</row>
    <row r="118" spans="1:8" x14ac:dyDescent="0.25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</row>
    <row r="119" spans="1:8" x14ac:dyDescent="0.25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</row>
    <row r="120" spans="1:8" x14ac:dyDescent="0.25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</row>
    <row r="121" spans="1:8" x14ac:dyDescent="0.25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</row>
    <row r="122" spans="1:8" x14ac:dyDescent="0.25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</row>
    <row r="123" spans="1:8" x14ac:dyDescent="0.25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</row>
    <row r="124" spans="1:8" x14ac:dyDescent="0.25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</row>
    <row r="125" spans="1:8" x14ac:dyDescent="0.25">
      <c r="A125" t="str">
        <f ca="1">OFFSET(Canterbury_Reference,0,0)</f>
        <v>13 CANTERBURY</v>
      </c>
      <c r="B125">
        <f>[3]Population!D15</f>
        <v>562900</v>
      </c>
      <c r="C125">
        <f>[3]Population!E15</f>
        <v>611900</v>
      </c>
      <c r="D125">
        <f>[3]Population!F15</f>
        <v>638900</v>
      </c>
      <c r="E125">
        <f>[3]Population!G15</f>
        <v>665000</v>
      </c>
      <c r="F125">
        <f>[3]Population!H15</f>
        <v>689000</v>
      </c>
      <c r="G125">
        <f>[3]Population!I15</f>
        <v>710300</v>
      </c>
      <c r="H125">
        <f>[3]Population!J15</f>
        <v>729200</v>
      </c>
    </row>
    <row r="126" spans="1:8" x14ac:dyDescent="0.25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</row>
    <row r="127" spans="1:8" x14ac:dyDescent="0.25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</row>
    <row r="128" spans="1:8" x14ac:dyDescent="0.25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</row>
    <row r="129" spans="1:8" x14ac:dyDescent="0.25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</row>
    <row r="130" spans="1:8" x14ac:dyDescent="0.25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</row>
    <row r="131" spans="1:8" x14ac:dyDescent="0.25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</row>
    <row r="132" spans="1:8" x14ac:dyDescent="0.25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</row>
    <row r="133" spans="1:8" x14ac:dyDescent="0.25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</row>
    <row r="134" spans="1:8" x14ac:dyDescent="0.25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</row>
    <row r="135" spans="1:8" x14ac:dyDescent="0.25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</row>
    <row r="136" spans="1:8" x14ac:dyDescent="0.25">
      <c r="A136" t="str">
        <f ca="1">OFFSET(Otago_Reference,0,0)</f>
        <v>14 OTAGO</v>
      </c>
      <c r="B136">
        <f>[3]Population!D16</f>
        <v>208800</v>
      </c>
      <c r="C136">
        <f>[3]Population!E16</f>
        <v>218000</v>
      </c>
      <c r="D136">
        <f>[3]Population!F16</f>
        <v>223800</v>
      </c>
      <c r="E136">
        <f>[3]Population!G16</f>
        <v>229100</v>
      </c>
      <c r="F136">
        <f>[3]Population!H16</f>
        <v>233600</v>
      </c>
      <c r="G136">
        <f>[3]Population!I16</f>
        <v>237100</v>
      </c>
      <c r="H136">
        <f>[3]Population!J16</f>
        <v>239800</v>
      </c>
    </row>
    <row r="137" spans="1:8" x14ac:dyDescent="0.25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</row>
    <row r="138" spans="1:8" x14ac:dyDescent="0.25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</row>
    <row r="139" spans="1:8" x14ac:dyDescent="0.25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</row>
    <row r="140" spans="1:8" x14ac:dyDescent="0.25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</row>
    <row r="141" spans="1:8" x14ac:dyDescent="0.25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</row>
    <row r="142" spans="1:8" x14ac:dyDescent="0.25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</row>
    <row r="143" spans="1:8" x14ac:dyDescent="0.25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</row>
    <row r="144" spans="1:8" x14ac:dyDescent="0.25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</row>
    <row r="145" spans="1:8" x14ac:dyDescent="0.25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</row>
    <row r="146" spans="1:8" x14ac:dyDescent="0.25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</row>
    <row r="147" spans="1:8" x14ac:dyDescent="0.25">
      <c r="A147" t="str">
        <f ca="1">OFFSET(Southland_Reference,0,0)</f>
        <v>15 SOUTHLAND</v>
      </c>
      <c r="B147">
        <f>[3]Population!D17</f>
        <v>96000</v>
      </c>
      <c r="C147">
        <f>[3]Population!E17</f>
        <v>98400</v>
      </c>
      <c r="D147">
        <f>[3]Population!F17</f>
        <v>98900</v>
      </c>
      <c r="E147">
        <f>[3]Population!G17</f>
        <v>99200</v>
      </c>
      <c r="F147">
        <f>[3]Population!H17</f>
        <v>98900</v>
      </c>
      <c r="G147">
        <f>[3]Population!I17</f>
        <v>98000</v>
      </c>
      <c r="H147">
        <f>[3]Population!J17</f>
        <v>96800</v>
      </c>
    </row>
    <row r="148" spans="1:8" x14ac:dyDescent="0.25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</row>
    <row r="149" spans="1:8" x14ac:dyDescent="0.25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</row>
    <row r="150" spans="1:8" x14ac:dyDescent="0.25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</row>
    <row r="151" spans="1:8" x14ac:dyDescent="0.25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</row>
    <row r="152" spans="1:8" x14ac:dyDescent="0.25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</row>
    <row r="153" spans="1:8" x14ac:dyDescent="0.25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</row>
    <row r="154" spans="1:8" x14ac:dyDescent="0.25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</row>
    <row r="155" spans="1:8" x14ac:dyDescent="0.25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</row>
    <row r="156" spans="1:8" x14ac:dyDescent="0.25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</row>
    <row r="157" spans="1:8" x14ac:dyDescent="0.25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</row>
    <row r="158" spans="1:8" x14ac:dyDescent="0.25">
      <c r="A158" t="s">
        <v>12</v>
      </c>
      <c r="B158">
        <f>[3]Population!D18</f>
        <v>4441600</v>
      </c>
      <c r="C158">
        <f>[3]Population!E18</f>
        <v>4737900</v>
      </c>
      <c r="D158">
        <f>[3]Population!F18</f>
        <v>4948100</v>
      </c>
      <c r="E158">
        <f>[3]Population!G18</f>
        <v>5152500</v>
      </c>
      <c r="F158">
        <f>[3]Population!H18</f>
        <v>5337900</v>
      </c>
      <c r="G158">
        <f>[3]Population!I18</f>
        <v>5498600</v>
      </c>
      <c r="H158">
        <f>[3]Population!J18</f>
        <v>5638800</v>
      </c>
    </row>
    <row r="159" spans="1:8" x14ac:dyDescent="0.25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</row>
    <row r="160" spans="1:8" x14ac:dyDescent="0.25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</row>
    <row r="161" spans="1:8" x14ac:dyDescent="0.25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</row>
    <row r="162" spans="1:8" x14ac:dyDescent="0.25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</row>
    <row r="163" spans="1:8" x14ac:dyDescent="0.25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</row>
    <row r="164" spans="1:8" x14ac:dyDescent="0.25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</row>
    <row r="165" spans="1:8" x14ac:dyDescent="0.25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</row>
    <row r="166" spans="1:8" x14ac:dyDescent="0.25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</row>
    <row r="167" spans="1:8" x14ac:dyDescent="0.25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</row>
    <row r="168" spans="1:8" x14ac:dyDescent="0.25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</row>
    <row r="169" spans="1:8" x14ac:dyDescent="0.25">
      <c r="A169" t="s">
        <v>111</v>
      </c>
      <c r="B169" s="5">
        <f>B4+B26+B37+B48+B59+B70+B81+B103+B114+B136+B147</f>
        <v>1898800</v>
      </c>
      <c r="C169">
        <f t="shared" ref="C169:H169" si="1">C4+C26+C37+C48+C59+C70+C81+C103+C114+C136+C147</f>
        <v>1973700</v>
      </c>
      <c r="D169">
        <f t="shared" si="1"/>
        <v>2023500</v>
      </c>
      <c r="E169">
        <f t="shared" si="1"/>
        <v>2067100</v>
      </c>
      <c r="F169">
        <f t="shared" si="1"/>
        <v>2099900</v>
      </c>
      <c r="G169">
        <f t="shared" si="1"/>
        <v>2120600</v>
      </c>
      <c r="H169">
        <f t="shared" si="1"/>
        <v>2131900</v>
      </c>
    </row>
    <row r="170" spans="1:8" x14ac:dyDescent="0.25">
      <c r="B170" s="4"/>
      <c r="C170" s="4"/>
      <c r="D170" s="4"/>
      <c r="E170" s="4"/>
      <c r="F170" s="4"/>
      <c r="G170" s="4"/>
      <c r="H170" s="4"/>
    </row>
    <row r="171" spans="1:8" x14ac:dyDescent="0.25">
      <c r="B171" s="4"/>
      <c r="C171" s="4"/>
      <c r="D171" s="4"/>
      <c r="E171" s="4"/>
      <c r="F171" s="4"/>
      <c r="G171" s="4"/>
      <c r="H171" s="4"/>
    </row>
    <row r="172" spans="1:8" x14ac:dyDescent="0.25">
      <c r="B172" s="4"/>
      <c r="C172" s="4"/>
      <c r="D172" s="4"/>
      <c r="E172" s="4"/>
      <c r="F172" s="4"/>
      <c r="G172" s="4"/>
      <c r="H172" s="4"/>
    </row>
    <row r="173" spans="1:8" x14ac:dyDescent="0.25">
      <c r="B173" s="4"/>
      <c r="C173" s="4"/>
      <c r="D173" s="4"/>
      <c r="E173" s="4"/>
      <c r="F173" s="4"/>
      <c r="G173" s="4"/>
      <c r="H173" s="4"/>
    </row>
    <row r="174" spans="1:8" x14ac:dyDescent="0.25">
      <c r="B174" s="4"/>
      <c r="C174" s="4"/>
      <c r="D174" s="4"/>
      <c r="E174" s="4"/>
      <c r="F174" s="4"/>
      <c r="G174" s="4"/>
      <c r="H174" s="4"/>
    </row>
    <row r="175" spans="1:8" x14ac:dyDescent="0.25">
      <c r="B175" s="4"/>
      <c r="C175" s="4"/>
      <c r="D175" s="4"/>
      <c r="E175" s="4"/>
      <c r="F175" s="4"/>
      <c r="G175" s="4"/>
      <c r="H175" s="4"/>
    </row>
    <row r="176" spans="1:8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1" spans="2:8" x14ac:dyDescent="0.25">
      <c r="B181" s="4"/>
      <c r="C181" s="4"/>
      <c r="D181" s="4"/>
      <c r="E181" s="4"/>
      <c r="F181" s="4"/>
      <c r="G181" s="4"/>
      <c r="H181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190"/>
  <sheetViews>
    <sheetView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8" sqref="H158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15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  <c r="B4" s="5">
        <f>[4]Population!D4</f>
        <v>164700</v>
      </c>
      <c r="C4" s="5">
        <f>[4]Population!E4</f>
        <v>176100</v>
      </c>
      <c r="D4" s="5">
        <f>[4]Population!F4</f>
        <v>183300</v>
      </c>
      <c r="E4" s="5">
        <f>[4]Population!G4</f>
        <v>188600</v>
      </c>
      <c r="F4" s="5">
        <f>[4]Population!H4</f>
        <v>192500</v>
      </c>
      <c r="G4" s="5">
        <f>[4]Population!I4</f>
        <v>195100</v>
      </c>
      <c r="H4" s="5">
        <f>[4]Population!J4</f>
        <v>196700</v>
      </c>
      <c r="I4" s="5">
        <f>[4]Population!K4</f>
        <v>197632.92754735926</v>
      </c>
      <c r="J4" s="5">
        <f>[4]Population!L4</f>
        <v>197938.19645723698</v>
      </c>
      <c r="K4" s="5">
        <f>[4]Population!M4</f>
        <v>197817.89786960755</v>
      </c>
    </row>
    <row r="5" spans="1:11" x14ac:dyDescent="0.25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  <c r="I5" s="5"/>
      <c r="J5" s="5"/>
      <c r="K5" s="5"/>
    </row>
    <row r="6" spans="1:11" x14ac:dyDescent="0.25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  <c r="I6" s="5"/>
      <c r="J6" s="5"/>
      <c r="K6" s="5"/>
    </row>
    <row r="7" spans="1:11" x14ac:dyDescent="0.25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x14ac:dyDescent="0.25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  <c r="I8" s="5"/>
      <c r="J8" s="5"/>
      <c r="K8" s="5"/>
    </row>
    <row r="9" spans="1:11" x14ac:dyDescent="0.25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  <c r="I9" s="5"/>
      <c r="J9" s="5"/>
      <c r="K9" s="5"/>
    </row>
    <row r="10" spans="1:11" x14ac:dyDescent="0.25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1" x14ac:dyDescent="0.25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1" x14ac:dyDescent="0.25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  <c r="I12" s="5"/>
      <c r="J12" s="5"/>
      <c r="K12" s="5"/>
    </row>
    <row r="13" spans="1:11" x14ac:dyDescent="0.25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x14ac:dyDescent="0.25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1" x14ac:dyDescent="0.25">
      <c r="A15" t="str">
        <f ca="1">OFFSET(Auckland_Reference,0,0)</f>
        <v>02 AUCKLAND</v>
      </c>
      <c r="B15">
        <f>[4]Population!D5</f>
        <v>1493200</v>
      </c>
      <c r="C15">
        <f>[4]Population!E5</f>
        <v>1699900</v>
      </c>
      <c r="D15">
        <f>[4]Population!F5</f>
        <v>1859300</v>
      </c>
      <c r="E15">
        <f>[4]Population!G5</f>
        <v>1990100</v>
      </c>
      <c r="F15">
        <f>[4]Population!H5</f>
        <v>2112000</v>
      </c>
      <c r="G15">
        <f>[4]Population!I5</f>
        <v>2222700</v>
      </c>
      <c r="H15">
        <f>[4]Population!J5</f>
        <v>2326200</v>
      </c>
      <c r="I15" s="5">
        <f>[4]Population!K5</f>
        <v>2426169.3209874001</v>
      </c>
      <c r="J15" s="5">
        <f>[4]Population!L5</f>
        <v>2522380.0510219927</v>
      </c>
      <c r="K15" s="5">
        <f>[4]Population!M5</f>
        <v>2616770.3366602762</v>
      </c>
    </row>
    <row r="16" spans="1:11" x14ac:dyDescent="0.25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1:11" x14ac:dyDescent="0.25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25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  <c r="I18" s="5"/>
      <c r="J18" s="5"/>
      <c r="K18" s="5"/>
    </row>
    <row r="19" spans="1:11" x14ac:dyDescent="0.25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  <c r="I19" s="5"/>
      <c r="J19" s="5"/>
      <c r="K19" s="5"/>
    </row>
    <row r="20" spans="1:11" x14ac:dyDescent="0.25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  <c r="I20" s="5"/>
      <c r="J20" s="5"/>
      <c r="K20" s="5"/>
    </row>
    <row r="21" spans="1:11" x14ac:dyDescent="0.25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1:11" x14ac:dyDescent="0.25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  <c r="I22" s="5"/>
      <c r="J22" s="5"/>
      <c r="K22" s="5"/>
    </row>
    <row r="23" spans="1:11" x14ac:dyDescent="0.25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x14ac:dyDescent="0.25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  <c r="I24" s="5"/>
      <c r="J24" s="5"/>
      <c r="K24" s="5"/>
    </row>
    <row r="25" spans="1:11" x14ac:dyDescent="0.25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  <c r="I25" s="5"/>
      <c r="J25" s="5"/>
      <c r="K25" s="5"/>
    </row>
    <row r="26" spans="1:11" x14ac:dyDescent="0.25">
      <c r="A26" t="str">
        <f ca="1">OFFSET(Waikato_Reference,0,0)</f>
        <v>03 WAIKATO</v>
      </c>
      <c r="B26">
        <f>[4]Population!D6</f>
        <v>424600</v>
      </c>
      <c r="C26">
        <f>[4]Population!E6</f>
        <v>467200</v>
      </c>
      <c r="D26">
        <f>[4]Population!F6</f>
        <v>493500</v>
      </c>
      <c r="E26">
        <f>[4]Population!G6</f>
        <v>514600</v>
      </c>
      <c r="F26">
        <f>[4]Population!H6</f>
        <v>533000</v>
      </c>
      <c r="G26">
        <f>[4]Population!I6</f>
        <v>548500</v>
      </c>
      <c r="H26">
        <f>[4]Population!J6</f>
        <v>562100</v>
      </c>
      <c r="I26" s="5">
        <f>[4]Population!K6</f>
        <v>574061.46126187849</v>
      </c>
      <c r="J26" s="5">
        <f>[4]Population!L6</f>
        <v>584411.23967119039</v>
      </c>
      <c r="K26" s="5">
        <f>[4]Population!M6</f>
        <v>593669.03382608329</v>
      </c>
    </row>
    <row r="27" spans="1:11" x14ac:dyDescent="0.25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x14ac:dyDescent="0.25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x14ac:dyDescent="0.25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x14ac:dyDescent="0.25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  <c r="I30" s="5"/>
      <c r="J30" s="5"/>
      <c r="K30" s="5"/>
    </row>
    <row r="31" spans="1:11" x14ac:dyDescent="0.25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  <c r="I31" s="5"/>
      <c r="J31" s="5"/>
      <c r="K31" s="5"/>
    </row>
    <row r="32" spans="1:11" x14ac:dyDescent="0.25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  <c r="I32" s="5"/>
      <c r="J32" s="5"/>
      <c r="K32" s="5"/>
    </row>
    <row r="33" spans="1:11" x14ac:dyDescent="0.25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  <c r="I33" s="5"/>
      <c r="J33" s="5"/>
      <c r="K33" s="5"/>
    </row>
    <row r="34" spans="1:11" x14ac:dyDescent="0.25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  <c r="I34" s="5"/>
      <c r="J34" s="5"/>
      <c r="K34" s="5"/>
    </row>
    <row r="35" spans="1:11" x14ac:dyDescent="0.25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  <c r="I35" s="5"/>
      <c r="J35" s="5"/>
      <c r="K35" s="5"/>
    </row>
    <row r="36" spans="1:11" x14ac:dyDescent="0.25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  <c r="I36" s="5"/>
      <c r="J36" s="5"/>
      <c r="K36" s="5"/>
    </row>
    <row r="37" spans="1:11" x14ac:dyDescent="0.25">
      <c r="A37" t="str">
        <f ca="1">OFFSET(BOP_Reference,0,0)</f>
        <v>04 BAY OF PLENTY</v>
      </c>
      <c r="B37">
        <f>[4]Population!D7</f>
        <v>279700</v>
      </c>
      <c r="C37">
        <f>[4]Population!E7</f>
        <v>303500</v>
      </c>
      <c r="D37">
        <f>[4]Population!F7</f>
        <v>318400</v>
      </c>
      <c r="E37">
        <f>[4]Population!G7</f>
        <v>329800</v>
      </c>
      <c r="F37">
        <f>[4]Population!H7</f>
        <v>339400</v>
      </c>
      <c r="G37">
        <f>[4]Population!I7</f>
        <v>346900</v>
      </c>
      <c r="H37">
        <f>[4]Population!J7</f>
        <v>353100</v>
      </c>
      <c r="I37" s="5">
        <f>[4]Population!K7</f>
        <v>358178.0673412038</v>
      </c>
      <c r="J37" s="5">
        <f>[4]Population!L7</f>
        <v>362172.62499492266</v>
      </c>
      <c r="K37" s="5">
        <f>[4]Population!M7</f>
        <v>365424.7190309171</v>
      </c>
    </row>
    <row r="38" spans="1:11" x14ac:dyDescent="0.25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  <c r="I38" s="5"/>
      <c r="J38" s="5"/>
      <c r="K38" s="5"/>
    </row>
    <row r="39" spans="1:11" x14ac:dyDescent="0.25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  <c r="I39" s="5"/>
      <c r="J39" s="5"/>
      <c r="K39" s="5"/>
    </row>
    <row r="40" spans="1:11" x14ac:dyDescent="0.25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  <c r="I40" s="5"/>
      <c r="J40" s="5"/>
      <c r="K40" s="5"/>
    </row>
    <row r="41" spans="1:11" x14ac:dyDescent="0.25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  <c r="I41" s="5"/>
      <c r="J41" s="5"/>
      <c r="K41" s="5"/>
    </row>
    <row r="42" spans="1:11" x14ac:dyDescent="0.25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  <c r="I42" s="5"/>
      <c r="J42" s="5"/>
      <c r="K42" s="5"/>
    </row>
    <row r="43" spans="1:11" x14ac:dyDescent="0.25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  <c r="I43" s="5"/>
      <c r="J43" s="5"/>
      <c r="K43" s="5"/>
    </row>
    <row r="44" spans="1:11" x14ac:dyDescent="0.25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  <c r="I44" s="5"/>
      <c r="J44" s="5"/>
      <c r="K44" s="5"/>
    </row>
    <row r="45" spans="1:11" x14ac:dyDescent="0.25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  <c r="I45" s="5"/>
      <c r="J45" s="5"/>
      <c r="K45" s="5"/>
    </row>
    <row r="46" spans="1:11" x14ac:dyDescent="0.25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  <c r="I46" s="5"/>
      <c r="J46" s="5"/>
      <c r="K46" s="5"/>
    </row>
    <row r="47" spans="1:11" x14ac:dyDescent="0.25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  <c r="I47" s="5"/>
      <c r="J47" s="5"/>
      <c r="K47" s="5"/>
    </row>
    <row r="48" spans="1:11" x14ac:dyDescent="0.25">
      <c r="A48" t="str">
        <f ca="1">OFFSET(Gisborne_Reference,0,0)</f>
        <v>05 GISBORNE</v>
      </c>
      <c r="B48">
        <f>[4]Population!D8</f>
        <v>47000</v>
      </c>
      <c r="C48">
        <f>[4]Population!E8</f>
        <v>48500</v>
      </c>
      <c r="D48">
        <f>[4]Population!F8</f>
        <v>49400</v>
      </c>
      <c r="E48">
        <f>[4]Population!G8</f>
        <v>50000</v>
      </c>
      <c r="F48">
        <f>[4]Population!H8</f>
        <v>50300</v>
      </c>
      <c r="G48">
        <f>[4]Population!I8</f>
        <v>50200</v>
      </c>
      <c r="H48">
        <f>[4]Population!J8</f>
        <v>49900</v>
      </c>
      <c r="I48" s="5">
        <f>[4]Population!K8</f>
        <v>49431.663701127458</v>
      </c>
      <c r="J48" s="5">
        <f>[4]Population!L8</f>
        <v>48811.850271600131</v>
      </c>
      <c r="K48" s="5">
        <f>[4]Population!M8</f>
        <v>48096.224053239421</v>
      </c>
    </row>
    <row r="49" spans="1:11" x14ac:dyDescent="0.25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  <c r="I49" s="5"/>
      <c r="J49" s="5"/>
      <c r="K49" s="5"/>
    </row>
    <row r="50" spans="1:11" x14ac:dyDescent="0.25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  <c r="I50" s="5"/>
      <c r="J50" s="5"/>
      <c r="K50" s="5"/>
    </row>
    <row r="51" spans="1:11" x14ac:dyDescent="0.25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  <c r="I51" s="5"/>
      <c r="J51" s="5"/>
      <c r="K51" s="5"/>
    </row>
    <row r="52" spans="1:11" x14ac:dyDescent="0.25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  <c r="I52" s="5"/>
      <c r="J52" s="5"/>
      <c r="K52" s="5"/>
    </row>
    <row r="53" spans="1:11" x14ac:dyDescent="0.25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  <c r="I53" s="5"/>
      <c r="J53" s="5"/>
      <c r="K53" s="5"/>
    </row>
    <row r="54" spans="1:11" x14ac:dyDescent="0.25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  <c r="I54" s="5"/>
      <c r="J54" s="5"/>
      <c r="K54" s="5"/>
    </row>
    <row r="55" spans="1:11" x14ac:dyDescent="0.25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  <c r="I55" s="5"/>
      <c r="J55" s="5"/>
      <c r="K55" s="5"/>
    </row>
    <row r="56" spans="1:11" x14ac:dyDescent="0.25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  <c r="I56" s="5"/>
      <c r="J56" s="5"/>
      <c r="K56" s="5"/>
    </row>
    <row r="57" spans="1:11" x14ac:dyDescent="0.25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  <c r="I57" s="5"/>
      <c r="J57" s="5"/>
      <c r="K57" s="5"/>
    </row>
    <row r="58" spans="1:11" x14ac:dyDescent="0.25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  <c r="I58" s="5"/>
      <c r="J58" s="5"/>
      <c r="K58" s="5"/>
    </row>
    <row r="59" spans="1:11" x14ac:dyDescent="0.25">
      <c r="A59" t="str">
        <f ca="1">OFFSET(Hawkes_Bay_Reference,0,0)</f>
        <v>06 HAWKE`S BAY</v>
      </c>
      <c r="B59">
        <f>[4]Population!D9</f>
        <v>158000</v>
      </c>
      <c r="C59">
        <f>[4]Population!E9</f>
        <v>164100</v>
      </c>
      <c r="D59">
        <f>[4]Population!F9</f>
        <v>167400</v>
      </c>
      <c r="E59">
        <f>[4]Population!G9</f>
        <v>169900</v>
      </c>
      <c r="F59">
        <f>[4]Population!H9</f>
        <v>171200</v>
      </c>
      <c r="G59">
        <f>[4]Population!I9</f>
        <v>171400</v>
      </c>
      <c r="H59">
        <f>[4]Population!J9</f>
        <v>170800</v>
      </c>
      <c r="I59" s="5">
        <f>[4]Population!K9</f>
        <v>169618.32437766416</v>
      </c>
      <c r="J59" s="5">
        <f>[4]Population!L9</f>
        <v>167908.6352501736</v>
      </c>
      <c r="K59" s="5">
        <f>[4]Population!M9</f>
        <v>165858.96984434372</v>
      </c>
    </row>
    <row r="60" spans="1:11" x14ac:dyDescent="0.25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  <c r="I60" s="5"/>
      <c r="J60" s="5"/>
      <c r="K60" s="5"/>
    </row>
    <row r="61" spans="1:11" x14ac:dyDescent="0.25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  <c r="I61" s="5"/>
      <c r="J61" s="5"/>
      <c r="K61" s="5"/>
    </row>
    <row r="62" spans="1:11" x14ac:dyDescent="0.25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  <c r="I62" s="5"/>
      <c r="J62" s="5"/>
      <c r="K62" s="5"/>
    </row>
    <row r="63" spans="1:11" x14ac:dyDescent="0.25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x14ac:dyDescent="0.25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x14ac:dyDescent="0.25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  <c r="I65" s="5"/>
      <c r="J65" s="5"/>
      <c r="K65" s="5"/>
    </row>
    <row r="66" spans="1:11" x14ac:dyDescent="0.25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  <c r="I66" s="5"/>
      <c r="J66" s="5"/>
      <c r="K66" s="5"/>
    </row>
    <row r="67" spans="1:11" x14ac:dyDescent="0.25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  <c r="I67" s="5"/>
      <c r="J67" s="5"/>
      <c r="K67" s="5"/>
    </row>
    <row r="68" spans="1:11" x14ac:dyDescent="0.25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  <c r="I68" s="5"/>
      <c r="J68" s="5"/>
      <c r="K68" s="5"/>
    </row>
    <row r="69" spans="1:11" x14ac:dyDescent="0.25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  <c r="I69" s="5"/>
      <c r="J69" s="5"/>
      <c r="K69" s="5"/>
    </row>
    <row r="70" spans="1:11" x14ac:dyDescent="0.25">
      <c r="A70" t="str">
        <f ca="1">OFFSET(Taranaki_Reference,0,0)</f>
        <v>07 TARANAKI</v>
      </c>
      <c r="B70">
        <f>[4]Population!D10</f>
        <v>113600</v>
      </c>
      <c r="C70">
        <f>[4]Population!E10</f>
        <v>119100</v>
      </c>
      <c r="D70">
        <f>[4]Population!F10</f>
        <v>122500</v>
      </c>
      <c r="E70">
        <f>[4]Population!G10</f>
        <v>125500</v>
      </c>
      <c r="F70">
        <f>[4]Population!H10</f>
        <v>127800</v>
      </c>
      <c r="G70">
        <f>[4]Population!I10</f>
        <v>129500</v>
      </c>
      <c r="H70">
        <f>[4]Population!J10</f>
        <v>130800</v>
      </c>
      <c r="I70" s="5">
        <f>[4]Population!K10</f>
        <v>131659.91580643697</v>
      </c>
      <c r="J70" s="5">
        <f>[4]Population!L10</f>
        <v>132103.63348676322</v>
      </c>
      <c r="K70" s="5">
        <f>[4]Population!M10</f>
        <v>132263.99054396391</v>
      </c>
    </row>
    <row r="71" spans="1:11" x14ac:dyDescent="0.25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  <c r="I71" s="5"/>
      <c r="J71" s="5"/>
      <c r="K71" s="5"/>
    </row>
    <row r="72" spans="1:11" x14ac:dyDescent="0.25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  <c r="I72" s="5"/>
      <c r="J72" s="5"/>
      <c r="K72" s="5"/>
    </row>
    <row r="73" spans="1:11" x14ac:dyDescent="0.25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  <c r="I73" s="5"/>
      <c r="J73" s="5"/>
      <c r="K73" s="5"/>
    </row>
    <row r="74" spans="1:11" x14ac:dyDescent="0.25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  <c r="I74" s="5"/>
      <c r="J74" s="5"/>
      <c r="K74" s="5"/>
    </row>
    <row r="75" spans="1:11" x14ac:dyDescent="0.25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  <c r="I75" s="5"/>
      <c r="J75" s="5"/>
      <c r="K75" s="5"/>
    </row>
    <row r="76" spans="1:11" x14ac:dyDescent="0.25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  <c r="I76" s="5"/>
      <c r="J76" s="5"/>
      <c r="K76" s="5"/>
    </row>
    <row r="77" spans="1:11" x14ac:dyDescent="0.25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  <c r="I77" s="5"/>
      <c r="J77" s="5"/>
      <c r="K77" s="5"/>
    </row>
    <row r="78" spans="1:11" x14ac:dyDescent="0.25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  <c r="I78" s="5"/>
      <c r="J78" s="5"/>
      <c r="K78" s="5"/>
    </row>
    <row r="79" spans="1:11" x14ac:dyDescent="0.25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  <c r="I79" s="5"/>
      <c r="J79" s="5"/>
      <c r="K79" s="5"/>
    </row>
    <row r="80" spans="1:11" x14ac:dyDescent="0.25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x14ac:dyDescent="0.25">
      <c r="A81" t="str">
        <f ca="1">OFFSET(Manawatu_Reference,0,0)</f>
        <v>08 MANAWATU-WANGANUI</v>
      </c>
      <c r="B81">
        <f>[4]Population!D11</f>
        <v>231200</v>
      </c>
      <c r="C81">
        <f>[4]Population!E11</f>
        <v>240500</v>
      </c>
      <c r="D81">
        <f>[4]Population!F11</f>
        <v>244600</v>
      </c>
      <c r="E81">
        <f>[4]Population!G11</f>
        <v>247500</v>
      </c>
      <c r="F81">
        <f>[4]Population!H11</f>
        <v>248900</v>
      </c>
      <c r="G81">
        <f>[4]Population!I11</f>
        <v>248800</v>
      </c>
      <c r="H81">
        <f>[4]Population!J11</f>
        <v>247600</v>
      </c>
      <c r="I81" s="5">
        <f>[4]Population!K11</f>
        <v>245560.64087617269</v>
      </c>
      <c r="J81" s="5">
        <f>[4]Population!L11</f>
        <v>242762.85528000264</v>
      </c>
      <c r="K81" s="5">
        <f>[4]Population!M11</f>
        <v>239481.17720785996</v>
      </c>
    </row>
    <row r="82" spans="1:11" x14ac:dyDescent="0.25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  <c r="I82" s="5"/>
      <c r="J82" s="5"/>
      <c r="K82" s="5"/>
    </row>
    <row r="83" spans="1:11" x14ac:dyDescent="0.25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  <c r="I83" s="5"/>
      <c r="J83" s="5"/>
      <c r="K83" s="5"/>
    </row>
    <row r="84" spans="1:11" x14ac:dyDescent="0.25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  <c r="I84" s="5"/>
      <c r="J84" s="5"/>
      <c r="K84" s="5"/>
    </row>
    <row r="85" spans="1:11" x14ac:dyDescent="0.25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  <c r="I85" s="5"/>
      <c r="J85" s="5"/>
      <c r="K85" s="5"/>
    </row>
    <row r="86" spans="1:11" x14ac:dyDescent="0.25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  <c r="I86" s="5"/>
      <c r="J86" s="5"/>
      <c r="K86" s="5"/>
    </row>
    <row r="87" spans="1:11" x14ac:dyDescent="0.25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  <c r="I87" s="5"/>
      <c r="J87" s="5"/>
      <c r="K87" s="5"/>
    </row>
    <row r="88" spans="1:11" x14ac:dyDescent="0.25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  <c r="I88" s="5"/>
      <c r="J88" s="5"/>
      <c r="K88" s="5"/>
    </row>
    <row r="89" spans="1:11" x14ac:dyDescent="0.25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  <c r="I89" s="5"/>
      <c r="J89" s="5"/>
      <c r="K89" s="5"/>
    </row>
    <row r="90" spans="1:11" x14ac:dyDescent="0.25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  <c r="I90" s="5"/>
      <c r="J90" s="5"/>
      <c r="K90" s="5"/>
    </row>
    <row r="91" spans="1:11" x14ac:dyDescent="0.25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  <c r="I91" s="5"/>
      <c r="J91" s="5"/>
      <c r="K91" s="5"/>
    </row>
    <row r="92" spans="1:11" x14ac:dyDescent="0.25">
      <c r="A92" t="str">
        <f ca="1">OFFSET(Wellington_Reference,0,0)</f>
        <v>09 WELLINGTON</v>
      </c>
      <c r="B92">
        <f>[4]Population!D12</f>
        <v>486700</v>
      </c>
      <c r="C92">
        <f>[4]Population!E12</f>
        <v>515200</v>
      </c>
      <c r="D92">
        <f>[4]Population!F12</f>
        <v>532500</v>
      </c>
      <c r="E92">
        <f>[4]Population!G12</f>
        <v>546200</v>
      </c>
      <c r="F92">
        <f>[4]Population!H12</f>
        <v>557400</v>
      </c>
      <c r="G92">
        <f>[4]Population!I12</f>
        <v>565600</v>
      </c>
      <c r="H92">
        <f>[4]Population!J12</f>
        <v>571300</v>
      </c>
      <c r="I92" s="5">
        <f>[4]Population!K12</f>
        <v>575078.1948151195</v>
      </c>
      <c r="J92" s="5">
        <f>[4]Population!L12</f>
        <v>577038.69691146258</v>
      </c>
      <c r="K92" s="5">
        <f>[4]Population!M12</f>
        <v>577761.56152978097</v>
      </c>
    </row>
    <row r="93" spans="1:11" x14ac:dyDescent="0.25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  <c r="I93" s="5"/>
      <c r="J93" s="5"/>
      <c r="K93" s="5"/>
    </row>
    <row r="94" spans="1:11" x14ac:dyDescent="0.25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  <c r="I94" s="5"/>
      <c r="J94" s="5"/>
      <c r="K94" s="5"/>
    </row>
    <row r="95" spans="1:11" x14ac:dyDescent="0.25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  <c r="I95" s="5"/>
      <c r="J95" s="5"/>
      <c r="K95" s="5"/>
    </row>
    <row r="96" spans="1:11" x14ac:dyDescent="0.25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  <c r="I96" s="5"/>
      <c r="J96" s="5"/>
      <c r="K96" s="5"/>
    </row>
    <row r="97" spans="1:11" x14ac:dyDescent="0.25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  <c r="I97" s="5"/>
      <c r="J97" s="5"/>
      <c r="K97" s="5"/>
    </row>
    <row r="98" spans="1:11" x14ac:dyDescent="0.25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  <c r="I98" s="5"/>
      <c r="J98" s="5"/>
      <c r="K98" s="5"/>
    </row>
    <row r="99" spans="1:11" x14ac:dyDescent="0.25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  <c r="I99" s="5"/>
      <c r="J99" s="5"/>
      <c r="K99" s="5"/>
    </row>
    <row r="100" spans="1:11" x14ac:dyDescent="0.25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  <c r="I100" s="5"/>
      <c r="J100" s="5"/>
      <c r="K100" s="5"/>
    </row>
    <row r="101" spans="1:11" x14ac:dyDescent="0.25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  <c r="I101" s="5"/>
      <c r="J101" s="5"/>
      <c r="K101" s="5"/>
    </row>
    <row r="102" spans="1:11" x14ac:dyDescent="0.25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  <c r="I102" s="5"/>
      <c r="J102" s="5"/>
      <c r="K102" s="5"/>
    </row>
    <row r="103" spans="1:11" x14ac:dyDescent="0.25">
      <c r="A103" t="str">
        <f ca="1">OFFSET(Nelson_Reference,0,0)</f>
        <v>10 NELS-MARLB-TAS</v>
      </c>
      <c r="B103">
        <f>[4]Population!D13</f>
        <v>142200</v>
      </c>
      <c r="C103">
        <f>[4]Population!E13</f>
        <v>149100</v>
      </c>
      <c r="D103">
        <f>[4]Population!F13</f>
        <v>153600</v>
      </c>
      <c r="E103">
        <f>[4]Population!G13</f>
        <v>157000</v>
      </c>
      <c r="F103">
        <f>[4]Population!H13</f>
        <v>159400</v>
      </c>
      <c r="G103">
        <f>[4]Population!I13</f>
        <v>160700</v>
      </c>
      <c r="H103">
        <f>[4]Population!J13</f>
        <v>161000</v>
      </c>
      <c r="I103" s="5">
        <f>[4]Population!K13</f>
        <v>160754.89583405922</v>
      </c>
      <c r="J103" s="5">
        <f>[4]Population!L13</f>
        <v>160006.7871768855</v>
      </c>
      <c r="K103" s="5">
        <f>[4]Population!M13</f>
        <v>158927.40643210392</v>
      </c>
    </row>
    <row r="104" spans="1:11" x14ac:dyDescent="0.25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  <c r="I104" s="5"/>
      <c r="J104" s="5"/>
      <c r="K104" s="5"/>
    </row>
    <row r="105" spans="1:11" x14ac:dyDescent="0.25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  <c r="I105" s="5"/>
      <c r="J105" s="5"/>
      <c r="K105" s="5"/>
    </row>
    <row r="106" spans="1:11" x14ac:dyDescent="0.25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  <c r="I106" s="5"/>
      <c r="J106" s="5"/>
      <c r="K106" s="5"/>
    </row>
    <row r="107" spans="1:11" x14ac:dyDescent="0.25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  <c r="I107" s="5"/>
      <c r="J107" s="5"/>
      <c r="K107" s="5"/>
    </row>
    <row r="108" spans="1:11" x14ac:dyDescent="0.25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  <c r="I108" s="5"/>
      <c r="J108" s="5"/>
      <c r="K108" s="5"/>
    </row>
    <row r="109" spans="1:11" x14ac:dyDescent="0.25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  <c r="I109" s="5"/>
      <c r="J109" s="5"/>
      <c r="K109" s="5"/>
    </row>
    <row r="110" spans="1:11" x14ac:dyDescent="0.25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  <c r="I110" s="5"/>
      <c r="J110" s="5"/>
      <c r="K110" s="5"/>
    </row>
    <row r="111" spans="1:11" x14ac:dyDescent="0.25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  <c r="I111" s="5"/>
      <c r="J111" s="5"/>
      <c r="K111" s="5"/>
    </row>
    <row r="112" spans="1:11" x14ac:dyDescent="0.25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  <c r="I112" s="5"/>
      <c r="J112" s="5"/>
      <c r="K112" s="5"/>
    </row>
    <row r="113" spans="1:11" x14ac:dyDescent="0.25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  <c r="I113" s="5"/>
      <c r="J113" s="5"/>
      <c r="K113" s="5"/>
    </row>
    <row r="114" spans="1:11" x14ac:dyDescent="0.25">
      <c r="A114" t="str">
        <f ca="1">OFFSET(West_Coast_Reference,0,0)</f>
        <v>12 WEST COAST</v>
      </c>
      <c r="B114">
        <f>[4]Population!D14</f>
        <v>33000</v>
      </c>
      <c r="C114">
        <f>[4]Population!E14</f>
        <v>32500</v>
      </c>
      <c r="D114">
        <f>[4]Population!F14</f>
        <v>32500</v>
      </c>
      <c r="E114">
        <f>[4]Population!G14</f>
        <v>32300</v>
      </c>
      <c r="F114">
        <f>[4]Population!H14</f>
        <v>31900</v>
      </c>
      <c r="G114">
        <f>[4]Population!I14</f>
        <v>31300</v>
      </c>
      <c r="H114">
        <f>[4]Population!J14</f>
        <v>30600</v>
      </c>
      <c r="I114" s="5">
        <f>[4]Population!K14</f>
        <v>29813.047284347907</v>
      </c>
      <c r="J114" s="5">
        <f>[4]Population!L14</f>
        <v>28953.873470953382</v>
      </c>
      <c r="K114" s="5">
        <f>[4]Population!M14</f>
        <v>28059.029410232182</v>
      </c>
    </row>
    <row r="115" spans="1:11" x14ac:dyDescent="0.25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  <c r="I115" s="5"/>
      <c r="J115" s="5"/>
      <c r="K115" s="5"/>
    </row>
    <row r="116" spans="1:11" x14ac:dyDescent="0.25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  <c r="I116" s="5"/>
      <c r="J116" s="5"/>
      <c r="K116" s="5"/>
    </row>
    <row r="117" spans="1:11" x14ac:dyDescent="0.25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x14ac:dyDescent="0.25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  <c r="I118" s="5"/>
      <c r="J118" s="5"/>
      <c r="K118" s="5"/>
    </row>
    <row r="119" spans="1:11" x14ac:dyDescent="0.25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  <c r="I119" s="5"/>
      <c r="J119" s="5"/>
      <c r="K119" s="5"/>
    </row>
    <row r="120" spans="1:11" x14ac:dyDescent="0.25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  <c r="I120" s="5"/>
      <c r="J120" s="5"/>
      <c r="K120" s="5"/>
    </row>
    <row r="121" spans="1:11" x14ac:dyDescent="0.25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  <c r="I121" s="5"/>
      <c r="J121" s="5"/>
      <c r="K121" s="5"/>
    </row>
    <row r="122" spans="1:11" x14ac:dyDescent="0.25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  <c r="I122" s="5"/>
      <c r="J122" s="5"/>
      <c r="K122" s="5"/>
    </row>
    <row r="123" spans="1:11" x14ac:dyDescent="0.25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  <c r="I123" s="5"/>
      <c r="J123" s="5"/>
      <c r="K123" s="5"/>
    </row>
    <row r="124" spans="1:11" x14ac:dyDescent="0.25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  <c r="I124" s="5"/>
      <c r="J124" s="5"/>
      <c r="K124" s="5"/>
    </row>
    <row r="125" spans="1:11" x14ac:dyDescent="0.25">
      <c r="A125" t="str">
        <f ca="1">OFFSET(Canterbury_Reference,0,0)</f>
        <v>13 CANTERBURY</v>
      </c>
      <c r="B125">
        <f>[4]Population!D15</f>
        <v>562900</v>
      </c>
      <c r="C125">
        <f>[4]Population!E15</f>
        <v>623200</v>
      </c>
      <c r="D125">
        <f>[4]Population!F15</f>
        <v>664200</v>
      </c>
      <c r="E125">
        <f>[4]Population!G15</f>
        <v>694300</v>
      </c>
      <c r="F125">
        <f>[4]Population!H15</f>
        <v>721700</v>
      </c>
      <c r="G125">
        <f>[4]Population!I15</f>
        <v>745800</v>
      </c>
      <c r="H125">
        <f>[4]Population!J15</f>
        <v>767300</v>
      </c>
      <c r="I125" s="5">
        <f>[4]Population!K15</f>
        <v>786712.17423192051</v>
      </c>
      <c r="J125" s="5">
        <f>[4]Population!L15</f>
        <v>804047.86741988454</v>
      </c>
      <c r="K125" s="5">
        <f>[4]Population!M15</f>
        <v>819999.53614564182</v>
      </c>
    </row>
    <row r="126" spans="1:11" x14ac:dyDescent="0.25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  <c r="I126" s="5"/>
      <c r="J126" s="5"/>
      <c r="K126" s="5"/>
    </row>
    <row r="127" spans="1:11" x14ac:dyDescent="0.25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  <c r="I127" s="5"/>
      <c r="J127" s="5"/>
      <c r="K127" s="5"/>
    </row>
    <row r="128" spans="1:11" x14ac:dyDescent="0.25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  <c r="I128" s="5"/>
      <c r="J128" s="5"/>
      <c r="K128" s="5"/>
    </row>
    <row r="129" spans="1:11" x14ac:dyDescent="0.25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  <c r="I129" s="5"/>
      <c r="J129" s="5"/>
      <c r="K129" s="5"/>
    </row>
    <row r="130" spans="1:11" x14ac:dyDescent="0.25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  <c r="I130" s="5"/>
      <c r="J130" s="5"/>
      <c r="K130" s="5"/>
    </row>
    <row r="131" spans="1:11" x14ac:dyDescent="0.25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  <c r="I131" s="5"/>
      <c r="J131" s="5"/>
      <c r="K131" s="5"/>
    </row>
    <row r="132" spans="1:11" x14ac:dyDescent="0.25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  <c r="I132" s="5"/>
      <c r="J132" s="5"/>
      <c r="K132" s="5"/>
    </row>
    <row r="133" spans="1:11" x14ac:dyDescent="0.25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  <c r="I133" s="5"/>
      <c r="J133" s="5"/>
      <c r="K133" s="5"/>
    </row>
    <row r="134" spans="1:11" x14ac:dyDescent="0.25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  <c r="I134" s="5"/>
      <c r="J134" s="5"/>
      <c r="K134" s="5"/>
    </row>
    <row r="135" spans="1:11" x14ac:dyDescent="0.25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  <c r="I135" s="5"/>
      <c r="J135" s="5"/>
      <c r="K135" s="5"/>
    </row>
    <row r="136" spans="1:11" x14ac:dyDescent="0.25">
      <c r="A136" t="str">
        <f ca="1">OFFSET(Otago_Reference,0,0)</f>
        <v>14 OTAGO</v>
      </c>
      <c r="B136">
        <f>[4]Population!D16</f>
        <v>208800</v>
      </c>
      <c r="C136">
        <f>[4]Population!E16</f>
        <v>225800</v>
      </c>
      <c r="D136">
        <f>[4]Population!F16</f>
        <v>236000</v>
      </c>
      <c r="E136">
        <f>[4]Population!G16</f>
        <v>242700</v>
      </c>
      <c r="F136">
        <f>[4]Population!H16</f>
        <v>248300</v>
      </c>
      <c r="G136">
        <f>[4]Population!I16</f>
        <v>252700</v>
      </c>
      <c r="H136">
        <f>[4]Population!J16</f>
        <v>256100</v>
      </c>
      <c r="I136" s="5">
        <f>[4]Population!K16</f>
        <v>258655.53031246335</v>
      </c>
      <c r="J136" s="5">
        <f>[4]Population!L16</f>
        <v>260405.000361026</v>
      </c>
      <c r="K136" s="5">
        <f>[4]Population!M16</f>
        <v>261602.89099372854</v>
      </c>
    </row>
    <row r="137" spans="1:11" x14ac:dyDescent="0.25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  <c r="I137" s="5"/>
      <c r="J137" s="5"/>
      <c r="K137" s="5"/>
    </row>
    <row r="138" spans="1:11" x14ac:dyDescent="0.25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  <c r="I138" s="5"/>
      <c r="J138" s="5"/>
      <c r="K138" s="5"/>
    </row>
    <row r="139" spans="1:11" x14ac:dyDescent="0.25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  <c r="I139" s="5"/>
      <c r="J139" s="5"/>
      <c r="K139" s="5"/>
    </row>
    <row r="140" spans="1:11" x14ac:dyDescent="0.25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  <c r="I140" s="5"/>
      <c r="J140" s="5"/>
      <c r="K140" s="5"/>
    </row>
    <row r="141" spans="1:11" x14ac:dyDescent="0.25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  <c r="I141" s="5"/>
      <c r="J141" s="5"/>
      <c r="K141" s="5"/>
    </row>
    <row r="142" spans="1:11" x14ac:dyDescent="0.25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  <c r="I142" s="5"/>
      <c r="J142" s="5"/>
      <c r="K142" s="5"/>
    </row>
    <row r="143" spans="1:11" x14ac:dyDescent="0.25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  <c r="I143" s="5"/>
      <c r="J143" s="5"/>
      <c r="K143" s="5"/>
    </row>
    <row r="144" spans="1:11" x14ac:dyDescent="0.25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  <c r="I144" s="5"/>
      <c r="J144" s="5"/>
      <c r="K144" s="5"/>
    </row>
    <row r="145" spans="1:11" x14ac:dyDescent="0.25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  <c r="I145" s="5"/>
      <c r="J145" s="5"/>
      <c r="K145" s="5"/>
    </row>
    <row r="146" spans="1:11" x14ac:dyDescent="0.25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  <c r="I146" s="5"/>
      <c r="J146" s="5"/>
      <c r="K146" s="5"/>
    </row>
    <row r="147" spans="1:11" x14ac:dyDescent="0.25">
      <c r="A147" t="str">
        <f ca="1">OFFSET(Southland_Reference,0,0)</f>
        <v>15 SOUTHLAND</v>
      </c>
      <c r="B147">
        <f>[4]Population!D17</f>
        <v>96000</v>
      </c>
      <c r="C147">
        <f>[4]Population!E17</f>
        <v>99200</v>
      </c>
      <c r="D147">
        <f>[4]Population!F17</f>
        <v>100100</v>
      </c>
      <c r="E147">
        <f>[4]Population!G17</f>
        <v>100600</v>
      </c>
      <c r="F147">
        <f>[4]Population!H17</f>
        <v>100600</v>
      </c>
      <c r="G147">
        <f>[4]Population!I17</f>
        <v>100000</v>
      </c>
      <c r="H147">
        <f>[4]Population!J17</f>
        <v>99000</v>
      </c>
      <c r="I147" s="5">
        <f>[4]Population!K17</f>
        <v>97673.835622846746</v>
      </c>
      <c r="J147" s="5">
        <f>[4]Population!L17</f>
        <v>96058.688225904029</v>
      </c>
      <c r="K147" s="5">
        <f>[4]Population!M17</f>
        <v>94267.226452221803</v>
      </c>
    </row>
    <row r="148" spans="1:11" x14ac:dyDescent="0.25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  <c r="I148" s="5"/>
      <c r="J148" s="5"/>
      <c r="K148" s="5"/>
    </row>
    <row r="149" spans="1:11" x14ac:dyDescent="0.25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  <c r="I149" s="5"/>
      <c r="J149" s="5"/>
      <c r="K149" s="5"/>
    </row>
    <row r="150" spans="1:11" x14ac:dyDescent="0.25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  <c r="I150" s="5"/>
      <c r="J150" s="5"/>
      <c r="K150" s="5"/>
    </row>
    <row r="151" spans="1:11" x14ac:dyDescent="0.25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  <c r="I151" s="5"/>
      <c r="J151" s="5"/>
      <c r="K151" s="5"/>
    </row>
    <row r="152" spans="1:11" x14ac:dyDescent="0.25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  <c r="I152" s="5"/>
      <c r="J152" s="5"/>
      <c r="K152" s="5"/>
    </row>
    <row r="153" spans="1:11" x14ac:dyDescent="0.25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  <c r="I153" s="5"/>
      <c r="J153" s="5"/>
      <c r="K153" s="5"/>
    </row>
    <row r="154" spans="1:11" x14ac:dyDescent="0.25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  <c r="I154" s="5"/>
      <c r="J154" s="5"/>
      <c r="K154" s="5"/>
    </row>
    <row r="155" spans="1:11" x14ac:dyDescent="0.25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  <c r="I155" s="5"/>
      <c r="J155" s="5"/>
      <c r="K155" s="5"/>
    </row>
    <row r="156" spans="1:11" x14ac:dyDescent="0.25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  <c r="I156" s="5"/>
      <c r="J156" s="5"/>
      <c r="K156" s="5"/>
    </row>
    <row r="157" spans="1:11" x14ac:dyDescent="0.25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</row>
    <row r="158" spans="1:11" x14ac:dyDescent="0.25">
      <c r="A158" t="s">
        <v>12</v>
      </c>
      <c r="B158">
        <f>[4]Population!D18</f>
        <v>4441600</v>
      </c>
      <c r="C158">
        <f>[4]Population!E18</f>
        <v>4863900</v>
      </c>
      <c r="D158">
        <f>[4]Population!F18</f>
        <v>5157300</v>
      </c>
      <c r="E158">
        <f>[4]Population!G18</f>
        <v>5389100</v>
      </c>
      <c r="F158">
        <f>[4]Population!H18</f>
        <v>5594400</v>
      </c>
      <c r="G158">
        <f>[4]Population!I18</f>
        <v>5769200</v>
      </c>
      <c r="H158">
        <f>[4]Population!J18</f>
        <v>5922500</v>
      </c>
      <c r="I158" s="5">
        <f>[4]Population!K18</f>
        <v>6061000.0000000009</v>
      </c>
      <c r="J158" s="5">
        <f>[4]Population!L18</f>
        <v>6185000</v>
      </c>
      <c r="K158" s="5">
        <f>[4]Population!M18</f>
        <v>6300000</v>
      </c>
    </row>
    <row r="159" spans="1:11" x14ac:dyDescent="0.25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  <c r="I159" s="5"/>
      <c r="J159" s="5"/>
      <c r="K159" s="5"/>
    </row>
    <row r="160" spans="1:11" x14ac:dyDescent="0.25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</row>
    <row r="161" spans="1:11" x14ac:dyDescent="0.25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  <c r="I161" s="5"/>
      <c r="J161" s="5"/>
      <c r="K161" s="5"/>
    </row>
    <row r="162" spans="1:11" x14ac:dyDescent="0.25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  <c r="I162" s="5"/>
      <c r="J162" s="5"/>
      <c r="K162" s="5"/>
    </row>
    <row r="163" spans="1:11" x14ac:dyDescent="0.25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  <c r="I163" s="5"/>
      <c r="J163" s="5"/>
      <c r="K163" s="5"/>
    </row>
    <row r="164" spans="1:11" x14ac:dyDescent="0.25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  <c r="I164" s="5"/>
      <c r="J164" s="5"/>
      <c r="K164" s="5"/>
    </row>
    <row r="165" spans="1:11" x14ac:dyDescent="0.25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  <c r="I165" s="5"/>
      <c r="J165" s="5"/>
      <c r="K165" s="5"/>
    </row>
    <row r="166" spans="1:11" x14ac:dyDescent="0.25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  <c r="I166" s="5"/>
      <c r="J166" s="5"/>
      <c r="K166" s="5"/>
    </row>
    <row r="167" spans="1:11" x14ac:dyDescent="0.25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  <c r="I167" s="5"/>
      <c r="J167" s="5"/>
      <c r="K167" s="5"/>
    </row>
    <row r="168" spans="1:11" x14ac:dyDescent="0.25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  <c r="I168" s="5"/>
      <c r="J168" s="5"/>
      <c r="K168" s="5"/>
    </row>
    <row r="169" spans="1:11" x14ac:dyDescent="0.25">
      <c r="A169" t="s">
        <v>111</v>
      </c>
      <c r="B169" s="5">
        <f>B4+B26+B37+B48+B59+B70+B81+B103+B114+B136+B147</f>
        <v>1898800</v>
      </c>
      <c r="C169">
        <f t="shared" ref="C169:K169" si="1">C4+C26+C37+C48+C59+C70+C81+C103+C114+C136+C147</f>
        <v>2025600</v>
      </c>
      <c r="D169">
        <f t="shared" si="1"/>
        <v>2101300</v>
      </c>
      <c r="E169">
        <f t="shared" si="1"/>
        <v>2158500</v>
      </c>
      <c r="F169">
        <f t="shared" si="1"/>
        <v>2203300</v>
      </c>
      <c r="G169">
        <f t="shared" si="1"/>
        <v>2235100</v>
      </c>
      <c r="H169">
        <f t="shared" si="1"/>
        <v>2257700</v>
      </c>
      <c r="I169" s="5">
        <f t="shared" si="1"/>
        <v>2273040.3099655597</v>
      </c>
      <c r="J169" s="5">
        <f t="shared" si="1"/>
        <v>2281533.3846466583</v>
      </c>
      <c r="K169" s="5">
        <f t="shared" si="1"/>
        <v>2285468.5656643012</v>
      </c>
    </row>
    <row r="170" spans="1:11" x14ac:dyDescent="0.25">
      <c r="B170" s="4"/>
      <c r="C170" s="4"/>
      <c r="D170" s="4"/>
      <c r="E170" s="4"/>
      <c r="F170" s="4"/>
      <c r="G170" s="4"/>
      <c r="H170" s="4"/>
    </row>
    <row r="171" spans="1:11" x14ac:dyDescent="0.25">
      <c r="B171" s="4"/>
      <c r="C171" s="4"/>
      <c r="D171" s="4"/>
      <c r="E171" s="4"/>
      <c r="F171" s="4"/>
      <c r="G171" s="4"/>
      <c r="H171" s="4"/>
    </row>
    <row r="172" spans="1:11" x14ac:dyDescent="0.25">
      <c r="B172" s="4"/>
      <c r="C172" s="4"/>
      <c r="D172" s="4"/>
      <c r="E172" s="4"/>
      <c r="F172" s="4"/>
      <c r="G172" s="4"/>
      <c r="H172" s="4"/>
    </row>
    <row r="173" spans="1:11" x14ac:dyDescent="0.25">
      <c r="B173" s="4"/>
      <c r="C173" s="4"/>
      <c r="D173" s="4"/>
      <c r="E173" s="4"/>
      <c r="F173" s="4"/>
      <c r="G173" s="4"/>
      <c r="H173" s="4"/>
    </row>
    <row r="174" spans="1:11" x14ac:dyDescent="0.25">
      <c r="B174" s="4"/>
      <c r="C174" s="4"/>
      <c r="D174" s="4"/>
      <c r="E174" s="4"/>
      <c r="F174" s="4"/>
      <c r="G174" s="4"/>
      <c r="H174" s="4"/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1" spans="2:8" x14ac:dyDescent="0.25">
      <c r="B181" s="4"/>
      <c r="C181" s="4"/>
      <c r="D181" s="4"/>
      <c r="E181" s="4"/>
      <c r="F181" s="4"/>
      <c r="G181" s="4"/>
      <c r="H181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74"/>
  <sheetViews>
    <sheetView workbookViewId="0">
      <pane ySplit="2" topLeftCell="A620" activePane="bottomLeft" state="frozen"/>
      <selection pane="bottomLeft" activeCell="A627" sqref="A627"/>
    </sheetView>
  </sheetViews>
  <sheetFormatPr defaultRowHeight="12.5" x14ac:dyDescent="0.25"/>
  <cols>
    <col min="1" max="1" width="26.1796875" customWidth="1"/>
    <col min="2" max="2" width="10.36328125" customWidth="1"/>
    <col min="3" max="3" width="26.81640625" customWidth="1"/>
    <col min="4" max="8" width="18.54296875" customWidth="1"/>
  </cols>
  <sheetData>
    <row r="1" spans="1:9" ht="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  <c r="I1" s="2"/>
    </row>
    <row r="2" spans="1:9" ht="13" x14ac:dyDescent="0.3">
      <c r="A2" s="2"/>
      <c r="B2" s="2"/>
      <c r="C2" s="2"/>
      <c r="D2" s="2"/>
      <c r="E2" s="2"/>
      <c r="F2" s="2" t="s">
        <v>6</v>
      </c>
      <c r="G2" s="2" t="s">
        <v>8</v>
      </c>
      <c r="H2" s="2" t="s">
        <v>10</v>
      </c>
      <c r="I2" s="2"/>
    </row>
    <row r="3" spans="1:9" ht="13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t="str">
        <f>'Unformatted Trip Summary'!A2</f>
        <v>01 NORTHLAND</v>
      </c>
      <c r="B4" t="str">
        <f>'Unformatted Trip Summary'!J2</f>
        <v>2012/13</v>
      </c>
      <c r="C4" t="str">
        <f>'Unformatted Trip Summary'!I2</f>
        <v>Pedestrian</v>
      </c>
      <c r="D4">
        <f>'Unformatted Trip Summary'!D2</f>
        <v>259</v>
      </c>
      <c r="E4">
        <f>'Unformatted Trip Summary'!E2</f>
        <v>844</v>
      </c>
      <c r="F4" s="1">
        <f>'Unformatted Trip Summary'!F2</f>
        <v>23.706864376999999</v>
      </c>
      <c r="G4" s="1">
        <f>'Unformatted Trip Summary'!G2</f>
        <v>17.849116999</v>
      </c>
      <c r="H4" s="1">
        <f>'Unformatted Trip Summary'!H2</f>
        <v>5.0772161771000004</v>
      </c>
    </row>
    <row r="5" spans="1:9" x14ac:dyDescent="0.25">
      <c r="A5" t="str">
        <f>'Unformatted Trip Summary'!A3</f>
        <v>01 NORTHLAND</v>
      </c>
      <c r="B5" t="str">
        <f>'Unformatted Trip Summary'!J3</f>
        <v>2017/18</v>
      </c>
      <c r="C5" t="str">
        <f>'Unformatted Trip Summary'!I3</f>
        <v>Pedestrian</v>
      </c>
      <c r="D5">
        <f>'Unformatted Trip Summary'!D3</f>
        <v>259</v>
      </c>
      <c r="E5">
        <f>'Unformatted Trip Summary'!E3</f>
        <v>844</v>
      </c>
      <c r="F5" s="1">
        <f>'Unformatted Trip Summary'!F3</f>
        <v>23.759483304</v>
      </c>
      <c r="G5" s="1">
        <f>'Unformatted Trip Summary'!G3</f>
        <v>17.735698363000001</v>
      </c>
      <c r="H5" s="1">
        <f>'Unformatted Trip Summary'!H3</f>
        <v>5.0494150450999999</v>
      </c>
    </row>
    <row r="6" spans="1:9" x14ac:dyDescent="0.25">
      <c r="A6" t="str">
        <f>'Unformatted Trip Summary'!A4</f>
        <v>01 NORTHLAND</v>
      </c>
      <c r="B6" t="str">
        <f>'Unformatted Trip Summary'!J4</f>
        <v>2022/23</v>
      </c>
      <c r="C6" t="str">
        <f>'Unformatted Trip Summary'!I4</f>
        <v>Pedestrian</v>
      </c>
      <c r="D6">
        <f>'Unformatted Trip Summary'!D4</f>
        <v>259</v>
      </c>
      <c r="E6">
        <f>'Unformatted Trip Summary'!E4</f>
        <v>844</v>
      </c>
      <c r="F6" s="1">
        <f>'Unformatted Trip Summary'!F4</f>
        <v>23.653599746000001</v>
      </c>
      <c r="G6" s="1">
        <f>'Unformatted Trip Summary'!G4</f>
        <v>17.460780533000001</v>
      </c>
      <c r="H6" s="1">
        <f>'Unformatted Trip Summary'!H4</f>
        <v>4.9817022490999996</v>
      </c>
    </row>
    <row r="7" spans="1:9" x14ac:dyDescent="0.25">
      <c r="A7" t="str">
        <f>'Unformatted Trip Summary'!A5</f>
        <v>01 NORTHLAND</v>
      </c>
      <c r="B7" t="str">
        <f>'Unformatted Trip Summary'!J5</f>
        <v>2027/28</v>
      </c>
      <c r="C7" t="str">
        <f>'Unformatted Trip Summary'!I5</f>
        <v>Pedestrian</v>
      </c>
      <c r="D7">
        <f>'Unformatted Trip Summary'!D5</f>
        <v>259</v>
      </c>
      <c r="E7">
        <f>'Unformatted Trip Summary'!E5</f>
        <v>844</v>
      </c>
      <c r="F7" s="1">
        <f>'Unformatted Trip Summary'!F5</f>
        <v>23.444217078000001</v>
      </c>
      <c r="G7" s="1">
        <f>'Unformatted Trip Summary'!G5</f>
        <v>17.146159603000001</v>
      </c>
      <c r="H7" s="1">
        <f>'Unformatted Trip Summary'!H5</f>
        <v>4.8774643942999996</v>
      </c>
    </row>
    <row r="8" spans="1:9" x14ac:dyDescent="0.25">
      <c r="A8" t="str">
        <f>'Unformatted Trip Summary'!A6</f>
        <v>01 NORTHLAND</v>
      </c>
      <c r="B8" t="str">
        <f>'Unformatted Trip Summary'!J6</f>
        <v>2032/33</v>
      </c>
      <c r="C8" t="str">
        <f>'Unformatted Trip Summary'!I6</f>
        <v>Pedestrian</v>
      </c>
      <c r="D8">
        <f>'Unformatted Trip Summary'!D6</f>
        <v>259</v>
      </c>
      <c r="E8">
        <f>'Unformatted Trip Summary'!E6</f>
        <v>844</v>
      </c>
      <c r="F8" s="1">
        <f>'Unformatted Trip Summary'!F6</f>
        <v>23.012227841000001</v>
      </c>
      <c r="G8" s="1">
        <f>'Unformatted Trip Summary'!G6</f>
        <v>16.562222740999999</v>
      </c>
      <c r="H8" s="1">
        <f>'Unformatted Trip Summary'!H6</f>
        <v>4.7161360483000001</v>
      </c>
    </row>
    <row r="9" spans="1:9" x14ac:dyDescent="0.25">
      <c r="A9" t="str">
        <f>'Unformatted Trip Summary'!A7</f>
        <v>01 NORTHLAND</v>
      </c>
      <c r="B9" t="str">
        <f>'Unformatted Trip Summary'!J7</f>
        <v>2037/38</v>
      </c>
      <c r="C9" t="str">
        <f>'Unformatted Trip Summary'!I7</f>
        <v>Pedestrian</v>
      </c>
      <c r="D9">
        <f>'Unformatted Trip Summary'!D7</f>
        <v>259</v>
      </c>
      <c r="E9">
        <f>'Unformatted Trip Summary'!E7</f>
        <v>844</v>
      </c>
      <c r="F9" s="1">
        <f>'Unformatted Trip Summary'!F7</f>
        <v>22.360779773000001</v>
      </c>
      <c r="G9" s="1">
        <f>'Unformatted Trip Summary'!G7</f>
        <v>15.760934551</v>
      </c>
      <c r="H9" s="1">
        <f>'Unformatted Trip Summary'!H7</f>
        <v>4.4972940633</v>
      </c>
    </row>
    <row r="10" spans="1:9" x14ac:dyDescent="0.25">
      <c r="A10" t="str">
        <f>'Unformatted Trip Summary'!A8</f>
        <v>01 NORTHLAND</v>
      </c>
      <c r="B10" t="str">
        <f>'Unformatted Trip Summary'!J8</f>
        <v>2042/43</v>
      </c>
      <c r="C10" t="str">
        <f>'Unformatted Trip Summary'!I8</f>
        <v>Pedestrian</v>
      </c>
      <c r="D10">
        <f>'Unformatted Trip Summary'!D8</f>
        <v>259</v>
      </c>
      <c r="E10">
        <f>'Unformatted Trip Summary'!E8</f>
        <v>844</v>
      </c>
      <c r="F10" s="1">
        <f>'Unformatted Trip Summary'!F8</f>
        <v>21.6530448</v>
      </c>
      <c r="G10" s="1">
        <f>'Unformatted Trip Summary'!G8</f>
        <v>14.938009724</v>
      </c>
      <c r="H10" s="1">
        <f>'Unformatted Trip Summary'!H8</f>
        <v>4.2669629675999996</v>
      </c>
    </row>
    <row r="11" spans="1:9" x14ac:dyDescent="0.25">
      <c r="A11" t="str">
        <f>'Unformatted Trip Summary'!A9</f>
        <v>01 NORTHLAND</v>
      </c>
      <c r="B11" t="str">
        <f>'Unformatted Trip Summary'!J9</f>
        <v>2012/13</v>
      </c>
      <c r="C11" t="str">
        <f>'Unformatted Trip Summary'!I9</f>
        <v>Cyclist</v>
      </c>
      <c r="D11">
        <f>'Unformatted Trip Summary'!D9</f>
        <v>5</v>
      </c>
      <c r="E11">
        <f>'Unformatted Trip Summary'!E9</f>
        <v>19</v>
      </c>
      <c r="F11" s="1">
        <f>'Unformatted Trip Summary'!F9</f>
        <v>0.66592947719999995</v>
      </c>
      <c r="G11" s="1">
        <f>'Unformatted Trip Summary'!G9</f>
        <v>1.0072239942000001</v>
      </c>
      <c r="H11" s="1">
        <f>'Unformatted Trip Summary'!H9</f>
        <v>0.15772883609999999</v>
      </c>
    </row>
    <row r="12" spans="1:9" x14ac:dyDescent="0.25">
      <c r="A12" t="str">
        <f>'Unformatted Trip Summary'!A10</f>
        <v>01 NORTHLAND</v>
      </c>
      <c r="B12" t="str">
        <f>'Unformatted Trip Summary'!J10</f>
        <v>2017/18</v>
      </c>
      <c r="C12" t="str">
        <f>'Unformatted Trip Summary'!I10</f>
        <v>Cyclist</v>
      </c>
      <c r="D12">
        <f>'Unformatted Trip Summary'!D10</f>
        <v>5</v>
      </c>
      <c r="E12">
        <f>'Unformatted Trip Summary'!E10</f>
        <v>19</v>
      </c>
      <c r="F12" s="1">
        <f>'Unformatted Trip Summary'!F10</f>
        <v>0.62225861039999997</v>
      </c>
      <c r="G12" s="1">
        <f>'Unformatted Trip Summary'!G10</f>
        <v>0.95358870829999998</v>
      </c>
      <c r="H12" s="1">
        <f>'Unformatted Trip Summary'!H10</f>
        <v>0.14924559539999999</v>
      </c>
    </row>
    <row r="13" spans="1:9" x14ac:dyDescent="0.25">
      <c r="A13" t="str">
        <f>'Unformatted Trip Summary'!A11</f>
        <v>01 NORTHLAND</v>
      </c>
      <c r="B13" t="str">
        <f>'Unformatted Trip Summary'!J11</f>
        <v>2022/23</v>
      </c>
      <c r="C13" t="str">
        <f>'Unformatted Trip Summary'!I11</f>
        <v>Cyclist</v>
      </c>
      <c r="D13">
        <f>'Unformatted Trip Summary'!D11</f>
        <v>5</v>
      </c>
      <c r="E13">
        <f>'Unformatted Trip Summary'!E11</f>
        <v>19</v>
      </c>
      <c r="F13" s="1">
        <f>'Unformatted Trip Summary'!F11</f>
        <v>0.62767138079999996</v>
      </c>
      <c r="G13" s="1">
        <f>'Unformatted Trip Summary'!G11</f>
        <v>0.97165468779999997</v>
      </c>
      <c r="H13" s="1">
        <f>'Unformatted Trip Summary'!H11</f>
        <v>0.15231914029999999</v>
      </c>
    </row>
    <row r="14" spans="1:9" x14ac:dyDescent="0.25">
      <c r="A14" t="str">
        <f>'Unformatted Trip Summary'!A12</f>
        <v>01 NORTHLAND</v>
      </c>
      <c r="B14" t="str">
        <f>'Unformatted Trip Summary'!J12</f>
        <v>2027/28</v>
      </c>
      <c r="C14" t="str">
        <f>'Unformatted Trip Summary'!I12</f>
        <v>Cyclist</v>
      </c>
      <c r="D14">
        <f>'Unformatted Trip Summary'!D12</f>
        <v>5</v>
      </c>
      <c r="E14">
        <f>'Unformatted Trip Summary'!E12</f>
        <v>19</v>
      </c>
      <c r="F14" s="1">
        <f>'Unformatted Trip Summary'!F12</f>
        <v>0.61018096779999997</v>
      </c>
      <c r="G14" s="1">
        <f>'Unformatted Trip Summary'!G12</f>
        <v>0.95155926359999998</v>
      </c>
      <c r="H14" s="1">
        <f>'Unformatted Trip Summary'!H12</f>
        <v>0.1497336511</v>
      </c>
    </row>
    <row r="15" spans="1:9" x14ac:dyDescent="0.25">
      <c r="A15" t="str">
        <f>'Unformatted Trip Summary'!A13</f>
        <v>01 NORTHLAND</v>
      </c>
      <c r="B15" t="str">
        <f>'Unformatted Trip Summary'!J13</f>
        <v>2032/33</v>
      </c>
      <c r="C15" t="str">
        <f>'Unformatted Trip Summary'!I13</f>
        <v>Cyclist</v>
      </c>
      <c r="D15">
        <f>'Unformatted Trip Summary'!D13</f>
        <v>5</v>
      </c>
      <c r="E15">
        <f>'Unformatted Trip Summary'!E13</f>
        <v>19</v>
      </c>
      <c r="F15" s="1">
        <f>'Unformatted Trip Summary'!F13</f>
        <v>0.56857701439999997</v>
      </c>
      <c r="G15" s="1">
        <f>'Unformatted Trip Summary'!G13</f>
        <v>0.89215645580000003</v>
      </c>
      <c r="H15" s="1">
        <f>'Unformatted Trip Summary'!H13</f>
        <v>0.140744068</v>
      </c>
    </row>
    <row r="16" spans="1:9" x14ac:dyDescent="0.25">
      <c r="A16" t="str">
        <f>'Unformatted Trip Summary'!A14</f>
        <v>01 NORTHLAND</v>
      </c>
      <c r="B16" t="str">
        <f>'Unformatted Trip Summary'!J14</f>
        <v>2037/38</v>
      </c>
      <c r="C16" t="str">
        <f>'Unformatted Trip Summary'!I14</f>
        <v>Cyclist</v>
      </c>
      <c r="D16">
        <f>'Unformatted Trip Summary'!D14</f>
        <v>5</v>
      </c>
      <c r="E16">
        <f>'Unformatted Trip Summary'!E14</f>
        <v>19</v>
      </c>
      <c r="F16" s="1">
        <f>'Unformatted Trip Summary'!F14</f>
        <v>0.47133398240000002</v>
      </c>
      <c r="G16" s="1">
        <f>'Unformatted Trip Summary'!G14</f>
        <v>0.74360667499999999</v>
      </c>
      <c r="H16" s="1">
        <f>'Unformatted Trip Summary'!H14</f>
        <v>0.117295073</v>
      </c>
    </row>
    <row r="17" spans="1:8" x14ac:dyDescent="0.25">
      <c r="A17" t="str">
        <f>'Unformatted Trip Summary'!A15</f>
        <v>01 NORTHLAND</v>
      </c>
      <c r="B17" t="str">
        <f>'Unformatted Trip Summary'!J15</f>
        <v>2042/43</v>
      </c>
      <c r="C17" t="str">
        <f>'Unformatted Trip Summary'!I15</f>
        <v>Cyclist</v>
      </c>
      <c r="D17">
        <f>'Unformatted Trip Summary'!D15</f>
        <v>5</v>
      </c>
      <c r="E17">
        <f>'Unformatted Trip Summary'!E15</f>
        <v>19</v>
      </c>
      <c r="F17" s="1">
        <f>'Unformatted Trip Summary'!F15</f>
        <v>0.38312130160000002</v>
      </c>
      <c r="G17" s="1">
        <f>'Unformatted Trip Summary'!G15</f>
        <v>0.60775131100000002</v>
      </c>
      <c r="H17" s="1">
        <f>'Unformatted Trip Summary'!H15</f>
        <v>9.5875978799999997E-2</v>
      </c>
    </row>
    <row r="18" spans="1:8" x14ac:dyDescent="0.25">
      <c r="A18" t="str">
        <f>'Unformatted Trip Summary'!A16</f>
        <v>01 NORTHLAND</v>
      </c>
      <c r="B18" t="str">
        <f>'Unformatted Trip Summary'!J16</f>
        <v>2012/13</v>
      </c>
      <c r="C18" t="str">
        <f>'Unformatted Trip Summary'!I16</f>
        <v>Light Vehicle Driver</v>
      </c>
      <c r="D18">
        <f>'Unformatted Trip Summary'!D16</f>
        <v>476</v>
      </c>
      <c r="E18">
        <f>'Unformatted Trip Summary'!E16</f>
        <v>2980</v>
      </c>
      <c r="F18" s="1">
        <f>'Unformatted Trip Summary'!F16</f>
        <v>86.333691700000003</v>
      </c>
      <c r="G18" s="1">
        <f>'Unformatted Trip Summary'!G16</f>
        <v>1011.4273062</v>
      </c>
      <c r="H18" s="1">
        <f>'Unformatted Trip Summary'!H16</f>
        <v>23.421840091</v>
      </c>
    </row>
    <row r="19" spans="1:8" x14ac:dyDescent="0.25">
      <c r="A19" t="str">
        <f>'Unformatted Trip Summary'!A17</f>
        <v>01 NORTHLAND</v>
      </c>
      <c r="B19" t="str">
        <f>'Unformatted Trip Summary'!J17</f>
        <v>2017/18</v>
      </c>
      <c r="C19" t="str">
        <f>'Unformatted Trip Summary'!I17</f>
        <v>Light Vehicle Driver</v>
      </c>
      <c r="D19">
        <f>'Unformatted Trip Summary'!D17</f>
        <v>476</v>
      </c>
      <c r="E19">
        <f>'Unformatted Trip Summary'!E17</f>
        <v>2980</v>
      </c>
      <c r="F19" s="1">
        <f>'Unformatted Trip Summary'!F17</f>
        <v>89.291356045000001</v>
      </c>
      <c r="G19" s="1">
        <f>'Unformatted Trip Summary'!G17</f>
        <v>1055.6674237</v>
      </c>
      <c r="H19" s="1">
        <f>'Unformatted Trip Summary'!H17</f>
        <v>24.412828752999999</v>
      </c>
    </row>
    <row r="20" spans="1:8" x14ac:dyDescent="0.25">
      <c r="A20" t="str">
        <f>'Unformatted Trip Summary'!A18</f>
        <v>01 NORTHLAND</v>
      </c>
      <c r="B20" t="str">
        <f>'Unformatted Trip Summary'!J18</f>
        <v>2022/23</v>
      </c>
      <c r="C20" t="str">
        <f>'Unformatted Trip Summary'!I18</f>
        <v>Light Vehicle Driver</v>
      </c>
      <c r="D20">
        <f>'Unformatted Trip Summary'!D18</f>
        <v>476</v>
      </c>
      <c r="E20">
        <f>'Unformatted Trip Summary'!E18</f>
        <v>2980</v>
      </c>
      <c r="F20" s="1">
        <f>'Unformatted Trip Summary'!F18</f>
        <v>90.732953387999999</v>
      </c>
      <c r="G20" s="1">
        <f>'Unformatted Trip Summary'!G18</f>
        <v>1075.0867555</v>
      </c>
      <c r="H20" s="1">
        <f>'Unformatted Trip Summary'!H18</f>
        <v>24.822783907000002</v>
      </c>
    </row>
    <row r="21" spans="1:8" x14ac:dyDescent="0.25">
      <c r="A21" t="str">
        <f>'Unformatted Trip Summary'!A19</f>
        <v>01 NORTHLAND</v>
      </c>
      <c r="B21" t="str">
        <f>'Unformatted Trip Summary'!J19</f>
        <v>2027/28</v>
      </c>
      <c r="C21" t="str">
        <f>'Unformatted Trip Summary'!I19</f>
        <v>Light Vehicle Driver</v>
      </c>
      <c r="D21">
        <f>'Unformatted Trip Summary'!D19</f>
        <v>476</v>
      </c>
      <c r="E21">
        <f>'Unformatted Trip Summary'!E19</f>
        <v>2980</v>
      </c>
      <c r="F21" s="1">
        <f>'Unformatted Trip Summary'!F19</f>
        <v>93.275414163999997</v>
      </c>
      <c r="G21" s="1">
        <f>'Unformatted Trip Summary'!G19</f>
        <v>1101.4805818</v>
      </c>
      <c r="H21" s="1">
        <f>'Unformatted Trip Summary'!H19</f>
        <v>25.365476288</v>
      </c>
    </row>
    <row r="22" spans="1:8" x14ac:dyDescent="0.25">
      <c r="A22" t="str">
        <f>'Unformatted Trip Summary'!A20</f>
        <v>01 NORTHLAND</v>
      </c>
      <c r="B22" t="str">
        <f>'Unformatted Trip Summary'!J20</f>
        <v>2032/33</v>
      </c>
      <c r="C22" t="str">
        <f>'Unformatted Trip Summary'!I20</f>
        <v>Light Vehicle Driver</v>
      </c>
      <c r="D22">
        <f>'Unformatted Trip Summary'!D20</f>
        <v>476</v>
      </c>
      <c r="E22">
        <f>'Unformatted Trip Summary'!E20</f>
        <v>2980</v>
      </c>
      <c r="F22" s="1">
        <f>'Unformatted Trip Summary'!F20</f>
        <v>95.255421698000006</v>
      </c>
      <c r="G22" s="1">
        <f>'Unformatted Trip Summary'!G20</f>
        <v>1125.3273406999999</v>
      </c>
      <c r="H22" s="1">
        <f>'Unformatted Trip Summary'!H20</f>
        <v>25.892064713</v>
      </c>
    </row>
    <row r="23" spans="1:8" x14ac:dyDescent="0.25">
      <c r="A23" t="str">
        <f>'Unformatted Trip Summary'!A21</f>
        <v>01 NORTHLAND</v>
      </c>
      <c r="B23" t="str">
        <f>'Unformatted Trip Summary'!J21</f>
        <v>2037/38</v>
      </c>
      <c r="C23" t="str">
        <f>'Unformatted Trip Summary'!I21</f>
        <v>Light Vehicle Driver</v>
      </c>
      <c r="D23">
        <f>'Unformatted Trip Summary'!D21</f>
        <v>476</v>
      </c>
      <c r="E23">
        <f>'Unformatted Trip Summary'!E21</f>
        <v>2980</v>
      </c>
      <c r="F23" s="1">
        <f>'Unformatted Trip Summary'!F21</f>
        <v>95.342348017999996</v>
      </c>
      <c r="G23" s="1">
        <f>'Unformatted Trip Summary'!G21</f>
        <v>1133.4092654999999</v>
      </c>
      <c r="H23" s="1">
        <f>'Unformatted Trip Summary'!H21</f>
        <v>26.059886873</v>
      </c>
    </row>
    <row r="24" spans="1:8" x14ac:dyDescent="0.25">
      <c r="A24" t="str">
        <f>'Unformatted Trip Summary'!A22</f>
        <v>01 NORTHLAND</v>
      </c>
      <c r="B24" t="str">
        <f>'Unformatted Trip Summary'!J22</f>
        <v>2042/43</v>
      </c>
      <c r="C24" t="str">
        <f>'Unformatted Trip Summary'!I22</f>
        <v>Light Vehicle Driver</v>
      </c>
      <c r="D24">
        <f>'Unformatted Trip Summary'!D22</f>
        <v>476</v>
      </c>
      <c r="E24">
        <f>'Unformatted Trip Summary'!E22</f>
        <v>2980</v>
      </c>
      <c r="F24" s="1">
        <f>'Unformatted Trip Summary'!F22</f>
        <v>95.149829177000001</v>
      </c>
      <c r="G24" s="1">
        <f>'Unformatted Trip Summary'!G22</f>
        <v>1137.1598276</v>
      </c>
      <c r="H24" s="1">
        <f>'Unformatted Trip Summary'!H22</f>
        <v>26.117896081000001</v>
      </c>
    </row>
    <row r="25" spans="1:8" x14ac:dyDescent="0.25">
      <c r="A25" t="str">
        <f>'Unformatted Trip Summary'!A23</f>
        <v>01 NORTHLAND</v>
      </c>
      <c r="B25" t="str">
        <f>'Unformatted Trip Summary'!J23</f>
        <v>2012/13</v>
      </c>
      <c r="C25" t="str">
        <f>'Unformatted Trip Summary'!I23</f>
        <v>Light Vehicle Passenger</v>
      </c>
      <c r="D25">
        <f>'Unformatted Trip Summary'!D23</f>
        <v>380</v>
      </c>
      <c r="E25">
        <f>'Unformatted Trip Summary'!E23</f>
        <v>1743</v>
      </c>
      <c r="F25" s="1">
        <f>'Unformatted Trip Summary'!F23</f>
        <v>50.299563868</v>
      </c>
      <c r="G25" s="1">
        <f>'Unformatted Trip Summary'!G23</f>
        <v>666.23785996000004</v>
      </c>
      <c r="H25" s="1">
        <f>'Unformatted Trip Summary'!H23</f>
        <v>15.174949781</v>
      </c>
    </row>
    <row r="26" spans="1:8" x14ac:dyDescent="0.25">
      <c r="A26" t="str">
        <f>'Unformatted Trip Summary'!A24</f>
        <v>01 NORTHLAND</v>
      </c>
      <c r="B26" t="str">
        <f>'Unformatted Trip Summary'!J24</f>
        <v>2017/18</v>
      </c>
      <c r="C26" t="str">
        <f>'Unformatted Trip Summary'!I24</f>
        <v>Light Vehicle Passenger</v>
      </c>
      <c r="D26">
        <f>'Unformatted Trip Summary'!D24</f>
        <v>380</v>
      </c>
      <c r="E26">
        <f>'Unformatted Trip Summary'!E24</f>
        <v>1743</v>
      </c>
      <c r="F26" s="1">
        <f>'Unformatted Trip Summary'!F24</f>
        <v>49.088961003000001</v>
      </c>
      <c r="G26" s="1">
        <f>'Unformatted Trip Summary'!G24</f>
        <v>663.84112298000002</v>
      </c>
      <c r="H26" s="1">
        <f>'Unformatted Trip Summary'!H24</f>
        <v>15.043693887</v>
      </c>
    </row>
    <row r="27" spans="1:8" x14ac:dyDescent="0.25">
      <c r="A27" t="str">
        <f>'Unformatted Trip Summary'!A25</f>
        <v>01 NORTHLAND</v>
      </c>
      <c r="B27" t="str">
        <f>'Unformatted Trip Summary'!J25</f>
        <v>2022/23</v>
      </c>
      <c r="C27" t="str">
        <f>'Unformatted Trip Summary'!I25</f>
        <v>Light Vehicle Passenger</v>
      </c>
      <c r="D27">
        <f>'Unformatted Trip Summary'!D25</f>
        <v>380</v>
      </c>
      <c r="E27">
        <f>'Unformatted Trip Summary'!E25</f>
        <v>1743</v>
      </c>
      <c r="F27" s="1">
        <f>'Unformatted Trip Summary'!F25</f>
        <v>47.890576781999997</v>
      </c>
      <c r="G27" s="1">
        <f>'Unformatted Trip Summary'!G25</f>
        <v>656.87455413999999</v>
      </c>
      <c r="H27" s="1">
        <f>'Unformatted Trip Summary'!H25</f>
        <v>14.815408416</v>
      </c>
    </row>
    <row r="28" spans="1:8" x14ac:dyDescent="0.25">
      <c r="A28" t="str">
        <f>'Unformatted Trip Summary'!A26</f>
        <v>01 NORTHLAND</v>
      </c>
      <c r="B28" t="str">
        <f>'Unformatted Trip Summary'!J26</f>
        <v>2027/28</v>
      </c>
      <c r="C28" t="str">
        <f>'Unformatted Trip Summary'!I26</f>
        <v>Light Vehicle Passenger</v>
      </c>
      <c r="D28">
        <f>'Unformatted Trip Summary'!D26</f>
        <v>380</v>
      </c>
      <c r="E28">
        <f>'Unformatted Trip Summary'!E26</f>
        <v>1743</v>
      </c>
      <c r="F28" s="1">
        <f>'Unformatted Trip Summary'!F26</f>
        <v>47.323475776000002</v>
      </c>
      <c r="G28" s="1">
        <f>'Unformatted Trip Summary'!G26</f>
        <v>658.16193868000005</v>
      </c>
      <c r="H28" s="1">
        <f>'Unformatted Trip Summary'!H26</f>
        <v>14.732585072999999</v>
      </c>
    </row>
    <row r="29" spans="1:8" x14ac:dyDescent="0.25">
      <c r="A29" t="str">
        <f>'Unformatted Trip Summary'!A27</f>
        <v>01 NORTHLAND</v>
      </c>
      <c r="B29" t="str">
        <f>'Unformatted Trip Summary'!J27</f>
        <v>2032/33</v>
      </c>
      <c r="C29" t="str">
        <f>'Unformatted Trip Summary'!I27</f>
        <v>Light Vehicle Passenger</v>
      </c>
      <c r="D29">
        <f>'Unformatted Trip Summary'!D27</f>
        <v>380</v>
      </c>
      <c r="E29">
        <f>'Unformatted Trip Summary'!E27</f>
        <v>1743</v>
      </c>
      <c r="F29" s="1">
        <f>'Unformatted Trip Summary'!F27</f>
        <v>46.880439357</v>
      </c>
      <c r="G29" s="1">
        <f>'Unformatted Trip Summary'!G27</f>
        <v>655.67660107999995</v>
      </c>
      <c r="H29" s="1">
        <f>'Unformatted Trip Summary'!H27</f>
        <v>14.611382581999999</v>
      </c>
    </row>
    <row r="30" spans="1:8" x14ac:dyDescent="0.25">
      <c r="A30" t="str">
        <f>'Unformatted Trip Summary'!A28</f>
        <v>01 NORTHLAND</v>
      </c>
      <c r="B30" t="str">
        <f>'Unformatted Trip Summary'!J28</f>
        <v>2037/38</v>
      </c>
      <c r="C30" t="str">
        <f>'Unformatted Trip Summary'!I28</f>
        <v>Light Vehicle Passenger</v>
      </c>
      <c r="D30">
        <f>'Unformatted Trip Summary'!D28</f>
        <v>380</v>
      </c>
      <c r="E30">
        <f>'Unformatted Trip Summary'!E28</f>
        <v>1743</v>
      </c>
      <c r="F30" s="1">
        <f>'Unformatted Trip Summary'!F28</f>
        <v>45.884686504999998</v>
      </c>
      <c r="G30" s="1">
        <f>'Unformatted Trip Summary'!G28</f>
        <v>650.79562777000001</v>
      </c>
      <c r="H30" s="1">
        <f>'Unformatted Trip Summary'!H28</f>
        <v>14.407955576999999</v>
      </c>
    </row>
    <row r="31" spans="1:8" x14ac:dyDescent="0.25">
      <c r="A31" t="str">
        <f>'Unformatted Trip Summary'!A29</f>
        <v>01 NORTHLAND</v>
      </c>
      <c r="B31" t="str">
        <f>'Unformatted Trip Summary'!J29</f>
        <v>2042/43</v>
      </c>
      <c r="C31" t="str">
        <f>'Unformatted Trip Summary'!I29</f>
        <v>Light Vehicle Passenger</v>
      </c>
      <c r="D31">
        <f>'Unformatted Trip Summary'!D29</f>
        <v>380</v>
      </c>
      <c r="E31">
        <f>'Unformatted Trip Summary'!E29</f>
        <v>1743</v>
      </c>
      <c r="F31" s="1">
        <f>'Unformatted Trip Summary'!F29</f>
        <v>44.819244707999999</v>
      </c>
      <c r="G31" s="1">
        <f>'Unformatted Trip Summary'!G29</f>
        <v>644.06478465999999</v>
      </c>
      <c r="H31" s="1">
        <f>'Unformatted Trip Summary'!H29</f>
        <v>14.167354896999999</v>
      </c>
    </row>
    <row r="32" spans="1:8" x14ac:dyDescent="0.25">
      <c r="A32" t="str">
        <f>'Unformatted Trip Summary'!A30</f>
        <v>01 NORTHLAND</v>
      </c>
      <c r="B32" t="str">
        <f>'Unformatted Trip Summary'!J30</f>
        <v>2012/13</v>
      </c>
      <c r="C32" t="str">
        <f>'Unformatted Trip Summary'!I30</f>
        <v>Taxi/Vehicle Share</v>
      </c>
      <c r="D32">
        <f>'Unformatted Trip Summary'!D30</f>
        <v>4</v>
      </c>
      <c r="E32">
        <f>'Unformatted Trip Summary'!E30</f>
        <v>6</v>
      </c>
      <c r="F32" s="1">
        <f>'Unformatted Trip Summary'!F30</f>
        <v>0.18126348840000001</v>
      </c>
      <c r="G32" s="1">
        <f>'Unformatted Trip Summary'!G30</f>
        <v>0.75976041549999995</v>
      </c>
      <c r="H32" s="1">
        <f>'Unformatted Trip Summary'!H30</f>
        <v>2.5131369800000001E-2</v>
      </c>
    </row>
    <row r="33" spans="1:8" x14ac:dyDescent="0.25">
      <c r="A33" t="str">
        <f>'Unformatted Trip Summary'!A31</f>
        <v>01 NORTHLAND</v>
      </c>
      <c r="B33" t="str">
        <f>'Unformatted Trip Summary'!J31</f>
        <v>2017/18</v>
      </c>
      <c r="C33" t="str">
        <f>'Unformatted Trip Summary'!I31</f>
        <v>Taxi/Vehicle Share</v>
      </c>
      <c r="D33">
        <f>'Unformatted Trip Summary'!D31</f>
        <v>4</v>
      </c>
      <c r="E33">
        <f>'Unformatted Trip Summary'!E31</f>
        <v>6</v>
      </c>
      <c r="F33" s="1">
        <f>'Unformatted Trip Summary'!F31</f>
        <v>0.1802249548</v>
      </c>
      <c r="G33" s="1">
        <f>'Unformatted Trip Summary'!G31</f>
        <v>0.75231248009999996</v>
      </c>
      <c r="H33" s="1">
        <f>'Unformatted Trip Summary'!H31</f>
        <v>2.4523769599999998E-2</v>
      </c>
    </row>
    <row r="34" spans="1:8" x14ac:dyDescent="0.25">
      <c r="A34" t="str">
        <f>'Unformatted Trip Summary'!A32</f>
        <v>01 NORTHLAND</v>
      </c>
      <c r="B34" t="str">
        <f>'Unformatted Trip Summary'!J32</f>
        <v>2022/23</v>
      </c>
      <c r="C34" t="str">
        <f>'Unformatted Trip Summary'!I32</f>
        <v>Taxi/Vehicle Share</v>
      </c>
      <c r="D34">
        <f>'Unformatted Trip Summary'!D32</f>
        <v>4</v>
      </c>
      <c r="E34">
        <f>'Unformatted Trip Summary'!E32</f>
        <v>6</v>
      </c>
      <c r="F34" s="1">
        <f>'Unformatted Trip Summary'!F32</f>
        <v>0.18175987299999999</v>
      </c>
      <c r="G34" s="1">
        <f>'Unformatted Trip Summary'!G32</f>
        <v>0.80318269279999999</v>
      </c>
      <c r="H34" s="1">
        <f>'Unformatted Trip Summary'!H32</f>
        <v>2.50800487E-2</v>
      </c>
    </row>
    <row r="35" spans="1:8" x14ac:dyDescent="0.25">
      <c r="A35" t="str">
        <f>'Unformatted Trip Summary'!A33</f>
        <v>01 NORTHLAND</v>
      </c>
      <c r="B35" t="str">
        <f>'Unformatted Trip Summary'!J33</f>
        <v>2027/28</v>
      </c>
      <c r="C35" t="str">
        <f>'Unformatted Trip Summary'!I33</f>
        <v>Taxi/Vehicle Share</v>
      </c>
      <c r="D35">
        <f>'Unformatted Trip Summary'!D33</f>
        <v>4</v>
      </c>
      <c r="E35">
        <f>'Unformatted Trip Summary'!E33</f>
        <v>6</v>
      </c>
      <c r="F35" s="1">
        <f>'Unformatted Trip Summary'!F33</f>
        <v>0.18936623899999999</v>
      </c>
      <c r="G35" s="1">
        <f>'Unformatted Trip Summary'!G33</f>
        <v>0.92505622180000002</v>
      </c>
      <c r="H35" s="1">
        <f>'Unformatted Trip Summary'!H33</f>
        <v>2.71595863E-2</v>
      </c>
    </row>
    <row r="36" spans="1:8" x14ac:dyDescent="0.25">
      <c r="A36" t="str">
        <f>'Unformatted Trip Summary'!A34</f>
        <v>01 NORTHLAND</v>
      </c>
      <c r="B36" t="str">
        <f>'Unformatted Trip Summary'!J34</f>
        <v>2032/33</v>
      </c>
      <c r="C36" t="str">
        <f>'Unformatted Trip Summary'!I34</f>
        <v>Taxi/Vehicle Share</v>
      </c>
      <c r="D36">
        <f>'Unformatted Trip Summary'!D34</f>
        <v>4</v>
      </c>
      <c r="E36">
        <f>'Unformatted Trip Summary'!E34</f>
        <v>6</v>
      </c>
      <c r="F36" s="1">
        <f>'Unformatted Trip Summary'!F34</f>
        <v>0.1816627167</v>
      </c>
      <c r="G36" s="1">
        <f>'Unformatted Trip Summary'!G34</f>
        <v>0.99687324580000003</v>
      </c>
      <c r="H36" s="1">
        <f>'Unformatted Trip Summary'!H34</f>
        <v>2.7386666E-2</v>
      </c>
    </row>
    <row r="37" spans="1:8" x14ac:dyDescent="0.25">
      <c r="A37" t="str">
        <f>'Unformatted Trip Summary'!A35</f>
        <v>01 NORTHLAND</v>
      </c>
      <c r="B37" t="str">
        <f>'Unformatted Trip Summary'!J35</f>
        <v>2037/38</v>
      </c>
      <c r="C37" t="str">
        <f>'Unformatted Trip Summary'!I35</f>
        <v>Taxi/Vehicle Share</v>
      </c>
      <c r="D37">
        <f>'Unformatted Trip Summary'!D35</f>
        <v>4</v>
      </c>
      <c r="E37">
        <f>'Unformatted Trip Summary'!E35</f>
        <v>6</v>
      </c>
      <c r="F37" s="1">
        <f>'Unformatted Trip Summary'!F35</f>
        <v>0.16972872520000001</v>
      </c>
      <c r="G37" s="1">
        <f>'Unformatted Trip Summary'!G35</f>
        <v>0.98051401120000004</v>
      </c>
      <c r="H37" s="1">
        <f>'Unformatted Trip Summary'!H35</f>
        <v>2.6032977299999999E-2</v>
      </c>
    </row>
    <row r="38" spans="1:8" x14ac:dyDescent="0.25">
      <c r="A38" t="str">
        <f>'Unformatted Trip Summary'!A36</f>
        <v>01 NORTHLAND</v>
      </c>
      <c r="B38" t="str">
        <f>'Unformatted Trip Summary'!J36</f>
        <v>2042/43</v>
      </c>
      <c r="C38" t="str">
        <f>'Unformatted Trip Summary'!I36</f>
        <v>Taxi/Vehicle Share</v>
      </c>
      <c r="D38">
        <f>'Unformatted Trip Summary'!D36</f>
        <v>4</v>
      </c>
      <c r="E38">
        <f>'Unformatted Trip Summary'!E36</f>
        <v>6</v>
      </c>
      <c r="F38" s="1">
        <f>'Unformatted Trip Summary'!F36</f>
        <v>0.1575792308</v>
      </c>
      <c r="G38" s="1">
        <f>'Unformatted Trip Summary'!G36</f>
        <v>0.95688894339999997</v>
      </c>
      <c r="H38" s="1">
        <f>'Unformatted Trip Summary'!H36</f>
        <v>2.4568605300000001E-2</v>
      </c>
    </row>
    <row r="39" spans="1:8" x14ac:dyDescent="0.25">
      <c r="A39" t="str">
        <f>'Unformatted Trip Summary'!A37</f>
        <v>01 NORTHLAND</v>
      </c>
      <c r="B39" t="str">
        <f>'Unformatted Trip Summary'!J37</f>
        <v>2012/13</v>
      </c>
      <c r="C39" t="str">
        <f>'Unformatted Trip Summary'!I37</f>
        <v>Motorcyclist</v>
      </c>
      <c r="D39">
        <f>'Unformatted Trip Summary'!D37</f>
        <v>5</v>
      </c>
      <c r="E39">
        <f>'Unformatted Trip Summary'!E37</f>
        <v>28</v>
      </c>
      <c r="F39" s="1">
        <f>'Unformatted Trip Summary'!F37</f>
        <v>1.4141085707000001</v>
      </c>
      <c r="G39" s="1">
        <f>'Unformatted Trip Summary'!G37</f>
        <v>9.2423909657000003</v>
      </c>
      <c r="H39" s="1">
        <f>'Unformatted Trip Summary'!H37</f>
        <v>0.28382488960000002</v>
      </c>
    </row>
    <row r="40" spans="1:8" x14ac:dyDescent="0.25">
      <c r="A40" t="str">
        <f>'Unformatted Trip Summary'!A38</f>
        <v>01 NORTHLAND</v>
      </c>
      <c r="B40" t="str">
        <f>'Unformatted Trip Summary'!J38</f>
        <v>2017/18</v>
      </c>
      <c r="C40" t="str">
        <f>'Unformatted Trip Summary'!I38</f>
        <v>Motorcyclist</v>
      </c>
      <c r="D40">
        <f>'Unformatted Trip Summary'!D38</f>
        <v>5</v>
      </c>
      <c r="E40">
        <f>'Unformatted Trip Summary'!E38</f>
        <v>28</v>
      </c>
      <c r="F40" s="1">
        <f>'Unformatted Trip Summary'!F38</f>
        <v>1.4184689704</v>
      </c>
      <c r="G40" s="1">
        <f>'Unformatted Trip Summary'!G38</f>
        <v>9.4484881807000001</v>
      </c>
      <c r="H40" s="1">
        <f>'Unformatted Trip Summary'!H38</f>
        <v>0.28996502120000001</v>
      </c>
    </row>
    <row r="41" spans="1:8" x14ac:dyDescent="0.25">
      <c r="A41" t="str">
        <f>'Unformatted Trip Summary'!A39</f>
        <v>01 NORTHLAND</v>
      </c>
      <c r="B41" t="str">
        <f>'Unformatted Trip Summary'!J39</f>
        <v>2022/23</v>
      </c>
      <c r="C41" t="str">
        <f>'Unformatted Trip Summary'!I39</f>
        <v>Motorcyclist</v>
      </c>
      <c r="D41">
        <f>'Unformatted Trip Summary'!D39</f>
        <v>5</v>
      </c>
      <c r="E41">
        <f>'Unformatted Trip Summary'!E39</f>
        <v>28</v>
      </c>
      <c r="F41" s="1">
        <f>'Unformatted Trip Summary'!F39</f>
        <v>1.3625385753000001</v>
      </c>
      <c r="G41" s="1">
        <f>'Unformatted Trip Summary'!G39</f>
        <v>9.1273042885999995</v>
      </c>
      <c r="H41" s="1">
        <f>'Unformatted Trip Summary'!H39</f>
        <v>0.28125119609999999</v>
      </c>
    </row>
    <row r="42" spans="1:8" x14ac:dyDescent="0.25">
      <c r="A42" t="str">
        <f>'Unformatted Trip Summary'!A40</f>
        <v>01 NORTHLAND</v>
      </c>
      <c r="B42" t="str">
        <f>'Unformatted Trip Summary'!J40</f>
        <v>2027/28</v>
      </c>
      <c r="C42" t="str">
        <f>'Unformatted Trip Summary'!I40</f>
        <v>Motorcyclist</v>
      </c>
      <c r="D42">
        <f>'Unformatted Trip Summary'!D40</f>
        <v>5</v>
      </c>
      <c r="E42">
        <f>'Unformatted Trip Summary'!E40</f>
        <v>28</v>
      </c>
      <c r="F42" s="1">
        <f>'Unformatted Trip Summary'!F40</f>
        <v>1.2809998005000001</v>
      </c>
      <c r="G42" s="1">
        <f>'Unformatted Trip Summary'!G40</f>
        <v>8.8117765380000002</v>
      </c>
      <c r="H42" s="1">
        <f>'Unformatted Trip Summary'!H40</f>
        <v>0.26925596299999999</v>
      </c>
    </row>
    <row r="43" spans="1:8" x14ac:dyDescent="0.25">
      <c r="A43" t="str">
        <f>'Unformatted Trip Summary'!A41</f>
        <v>01 NORTHLAND</v>
      </c>
      <c r="B43" t="str">
        <f>'Unformatted Trip Summary'!J41</f>
        <v>2032/33</v>
      </c>
      <c r="C43" t="str">
        <f>'Unformatted Trip Summary'!I41</f>
        <v>Motorcyclist</v>
      </c>
      <c r="D43">
        <f>'Unformatted Trip Summary'!D41</f>
        <v>5</v>
      </c>
      <c r="E43">
        <f>'Unformatted Trip Summary'!E41</f>
        <v>28</v>
      </c>
      <c r="F43" s="1">
        <f>'Unformatted Trip Summary'!F41</f>
        <v>1.2547294113</v>
      </c>
      <c r="G43" s="1">
        <f>'Unformatted Trip Summary'!G41</f>
        <v>8.6562204023000007</v>
      </c>
      <c r="H43" s="1">
        <f>'Unformatted Trip Summary'!H41</f>
        <v>0.26373218679999999</v>
      </c>
    </row>
    <row r="44" spans="1:8" x14ac:dyDescent="0.25">
      <c r="A44" t="str">
        <f>'Unformatted Trip Summary'!A42</f>
        <v>01 NORTHLAND</v>
      </c>
      <c r="B44" t="str">
        <f>'Unformatted Trip Summary'!J42</f>
        <v>2037/38</v>
      </c>
      <c r="C44" t="str">
        <f>'Unformatted Trip Summary'!I42</f>
        <v>Motorcyclist</v>
      </c>
      <c r="D44">
        <f>'Unformatted Trip Summary'!D42</f>
        <v>5</v>
      </c>
      <c r="E44">
        <f>'Unformatted Trip Summary'!E42</f>
        <v>28</v>
      </c>
      <c r="F44" s="1">
        <f>'Unformatted Trip Summary'!F42</f>
        <v>1.2678676129999999</v>
      </c>
      <c r="G44" s="1">
        <f>'Unformatted Trip Summary'!G42</f>
        <v>8.7235747392</v>
      </c>
      <c r="H44" s="1">
        <f>'Unformatted Trip Summary'!H42</f>
        <v>0.26546521039999998</v>
      </c>
    </row>
    <row r="45" spans="1:8" x14ac:dyDescent="0.25">
      <c r="A45" t="str">
        <f>'Unformatted Trip Summary'!A43</f>
        <v>01 NORTHLAND</v>
      </c>
      <c r="B45" t="str">
        <f>'Unformatted Trip Summary'!J43</f>
        <v>2042/43</v>
      </c>
      <c r="C45" t="str">
        <f>'Unformatted Trip Summary'!I43</f>
        <v>Motorcyclist</v>
      </c>
      <c r="D45">
        <f>'Unformatted Trip Summary'!D43</f>
        <v>5</v>
      </c>
      <c r="E45">
        <f>'Unformatted Trip Summary'!E43</f>
        <v>28</v>
      </c>
      <c r="F45" s="1">
        <f>'Unformatted Trip Summary'!F43</f>
        <v>1.2646877831000001</v>
      </c>
      <c r="G45" s="1">
        <f>'Unformatted Trip Summary'!G43</f>
        <v>8.6428281432999992</v>
      </c>
      <c r="H45" s="1">
        <f>'Unformatted Trip Summary'!H43</f>
        <v>0.26341807249999999</v>
      </c>
    </row>
    <row r="46" spans="1:8" x14ac:dyDescent="0.25">
      <c r="A46" t="str">
        <f>'Unformatted Trip Summary'!A44</f>
        <v>01 NORTHLAND</v>
      </c>
      <c r="B46" t="str">
        <f>'Unformatted Trip Summary'!J44</f>
        <v>2012/13</v>
      </c>
      <c r="C46" t="str">
        <f>'Unformatted Trip Summary'!I44</f>
        <v>Local Bus</v>
      </c>
      <c r="D46">
        <f>'Unformatted Trip Summary'!D44</f>
        <v>50</v>
      </c>
      <c r="E46">
        <f>'Unformatted Trip Summary'!E44</f>
        <v>135</v>
      </c>
      <c r="F46" s="1">
        <f>'Unformatted Trip Summary'!F44</f>
        <v>3.6339219343</v>
      </c>
      <c r="G46" s="1">
        <f>'Unformatted Trip Summary'!G44</f>
        <v>44.734594063999999</v>
      </c>
      <c r="H46" s="1">
        <f>'Unformatted Trip Summary'!H44</f>
        <v>1.5691203781</v>
      </c>
    </row>
    <row r="47" spans="1:8" x14ac:dyDescent="0.25">
      <c r="A47" t="str">
        <f>'Unformatted Trip Summary'!A45</f>
        <v>01 NORTHLAND</v>
      </c>
      <c r="B47" t="str">
        <f>'Unformatted Trip Summary'!J45</f>
        <v>2017/18</v>
      </c>
      <c r="C47" t="str">
        <f>'Unformatted Trip Summary'!I45</f>
        <v>Local Bus</v>
      </c>
      <c r="D47">
        <f>'Unformatted Trip Summary'!D45</f>
        <v>50</v>
      </c>
      <c r="E47">
        <f>'Unformatted Trip Summary'!E45</f>
        <v>135</v>
      </c>
      <c r="F47" s="1">
        <f>'Unformatted Trip Summary'!F45</f>
        <v>3.2202030538000002</v>
      </c>
      <c r="G47" s="1">
        <f>'Unformatted Trip Summary'!G45</f>
        <v>38.885458948999997</v>
      </c>
      <c r="H47" s="1">
        <f>'Unformatted Trip Summary'!H45</f>
        <v>1.3896212617999999</v>
      </c>
    </row>
    <row r="48" spans="1:8" x14ac:dyDescent="0.25">
      <c r="A48" t="str">
        <f>'Unformatted Trip Summary'!A46</f>
        <v>01 NORTHLAND</v>
      </c>
      <c r="B48" t="str">
        <f>'Unformatted Trip Summary'!J46</f>
        <v>2022/23</v>
      </c>
      <c r="C48" t="str">
        <f>'Unformatted Trip Summary'!I46</f>
        <v>Local Bus</v>
      </c>
      <c r="D48">
        <f>'Unformatted Trip Summary'!D46</f>
        <v>50</v>
      </c>
      <c r="E48">
        <f>'Unformatted Trip Summary'!E46</f>
        <v>135</v>
      </c>
      <c r="F48" s="1">
        <f>'Unformatted Trip Summary'!F46</f>
        <v>2.95278229</v>
      </c>
      <c r="G48" s="1">
        <f>'Unformatted Trip Summary'!G46</f>
        <v>35.233701803000002</v>
      </c>
      <c r="H48" s="1">
        <f>'Unformatted Trip Summary'!H46</f>
        <v>1.2708586776999999</v>
      </c>
    </row>
    <row r="49" spans="1:8" x14ac:dyDescent="0.25">
      <c r="A49" t="str">
        <f>'Unformatted Trip Summary'!A47</f>
        <v>01 NORTHLAND</v>
      </c>
      <c r="B49" t="str">
        <f>'Unformatted Trip Summary'!J47</f>
        <v>2027/28</v>
      </c>
      <c r="C49" t="str">
        <f>'Unformatted Trip Summary'!I47</f>
        <v>Local Bus</v>
      </c>
      <c r="D49">
        <f>'Unformatted Trip Summary'!D47</f>
        <v>50</v>
      </c>
      <c r="E49">
        <f>'Unformatted Trip Summary'!E47</f>
        <v>135</v>
      </c>
      <c r="F49" s="1">
        <f>'Unformatted Trip Summary'!F47</f>
        <v>2.7214231332000001</v>
      </c>
      <c r="G49" s="1">
        <f>'Unformatted Trip Summary'!G47</f>
        <v>32.726104001000003</v>
      </c>
      <c r="H49" s="1">
        <f>'Unformatted Trip Summary'!H47</f>
        <v>1.1651312556</v>
      </c>
    </row>
    <row r="50" spans="1:8" x14ac:dyDescent="0.25">
      <c r="A50" t="str">
        <f>'Unformatted Trip Summary'!A48</f>
        <v>01 NORTHLAND</v>
      </c>
      <c r="B50" t="str">
        <f>'Unformatted Trip Summary'!J48</f>
        <v>2032/33</v>
      </c>
      <c r="C50" t="str">
        <f>'Unformatted Trip Summary'!I48</f>
        <v>Local Bus</v>
      </c>
      <c r="D50">
        <f>'Unformatted Trip Summary'!D48</f>
        <v>50</v>
      </c>
      <c r="E50">
        <f>'Unformatted Trip Summary'!E48</f>
        <v>135</v>
      </c>
      <c r="F50" s="1">
        <f>'Unformatted Trip Summary'!F48</f>
        <v>2.5082747197000002</v>
      </c>
      <c r="G50" s="1">
        <f>'Unformatted Trip Summary'!G48</f>
        <v>30.241396865999999</v>
      </c>
      <c r="H50" s="1">
        <f>'Unformatted Trip Summary'!H48</f>
        <v>1.068456176</v>
      </c>
    </row>
    <row r="51" spans="1:8" x14ac:dyDescent="0.25">
      <c r="A51" t="str">
        <f>'Unformatted Trip Summary'!A49</f>
        <v>01 NORTHLAND</v>
      </c>
      <c r="B51" t="str">
        <f>'Unformatted Trip Summary'!J49</f>
        <v>2037/38</v>
      </c>
      <c r="C51" t="str">
        <f>'Unformatted Trip Summary'!I49</f>
        <v>Local Bus</v>
      </c>
      <c r="D51">
        <f>'Unformatted Trip Summary'!D49</f>
        <v>50</v>
      </c>
      <c r="E51">
        <f>'Unformatted Trip Summary'!E49</f>
        <v>135</v>
      </c>
      <c r="F51" s="1">
        <f>'Unformatted Trip Summary'!F49</f>
        <v>2.318397064</v>
      </c>
      <c r="G51" s="1">
        <f>'Unformatted Trip Summary'!G49</f>
        <v>28.233342477000001</v>
      </c>
      <c r="H51" s="1">
        <f>'Unformatted Trip Summary'!H49</f>
        <v>0.98547679099999996</v>
      </c>
    </row>
    <row r="52" spans="1:8" x14ac:dyDescent="0.25">
      <c r="A52" t="str">
        <f>'Unformatted Trip Summary'!A50</f>
        <v>01 NORTHLAND</v>
      </c>
      <c r="B52" t="str">
        <f>'Unformatted Trip Summary'!J50</f>
        <v>2042/43</v>
      </c>
      <c r="C52" t="str">
        <f>'Unformatted Trip Summary'!I50</f>
        <v>Local Bus</v>
      </c>
      <c r="D52">
        <f>'Unformatted Trip Summary'!D50</f>
        <v>50</v>
      </c>
      <c r="E52">
        <f>'Unformatted Trip Summary'!E50</f>
        <v>135</v>
      </c>
      <c r="F52" s="1">
        <f>'Unformatted Trip Summary'!F50</f>
        <v>2.1276577350000001</v>
      </c>
      <c r="G52" s="1">
        <f>'Unformatted Trip Summary'!G50</f>
        <v>26.183232593</v>
      </c>
      <c r="H52" s="1">
        <f>'Unformatted Trip Summary'!H50</f>
        <v>0.90229195200000001</v>
      </c>
    </row>
    <row r="53" spans="1:8" x14ac:dyDescent="0.25">
      <c r="A53" t="str">
        <f>'Unformatted Trip Summary'!A51</f>
        <v>01 NORTHLAND</v>
      </c>
      <c r="B53" t="str">
        <f>'Unformatted Trip Summary'!J51</f>
        <v>2012/13</v>
      </c>
      <c r="C53" t="str">
        <f>'Unformatted Trip Summary'!I51</f>
        <v>Local Ferry</v>
      </c>
      <c r="D53">
        <f>'Unformatted Trip Summary'!D51</f>
        <v>2</v>
      </c>
      <c r="E53">
        <f>'Unformatted Trip Summary'!E51</f>
        <v>3</v>
      </c>
      <c r="F53" s="1">
        <f>'Unformatted Trip Summary'!F51</f>
        <v>4.69171767E-2</v>
      </c>
      <c r="G53" s="1">
        <f>'Unformatted Trip Summary'!G51</f>
        <v>0</v>
      </c>
      <c r="H53" s="1">
        <f>'Unformatted Trip Summary'!H51</f>
        <v>1.43058123E-2</v>
      </c>
    </row>
    <row r="54" spans="1:8" x14ac:dyDescent="0.25">
      <c r="A54" t="str">
        <f>'Unformatted Trip Summary'!A52</f>
        <v>01 NORTHLAND</v>
      </c>
      <c r="B54" t="str">
        <f>'Unformatted Trip Summary'!J52</f>
        <v>2017/18</v>
      </c>
      <c r="C54" t="str">
        <f>'Unformatted Trip Summary'!I52</f>
        <v>Local Ferry</v>
      </c>
      <c r="D54">
        <f>'Unformatted Trip Summary'!D52</f>
        <v>2</v>
      </c>
      <c r="E54">
        <f>'Unformatted Trip Summary'!E52</f>
        <v>3</v>
      </c>
      <c r="F54" s="1">
        <f>'Unformatted Trip Summary'!F52</f>
        <v>5.1749943899999998E-2</v>
      </c>
      <c r="G54" s="1">
        <f>'Unformatted Trip Summary'!G52</f>
        <v>0</v>
      </c>
      <c r="H54" s="1">
        <f>'Unformatted Trip Summary'!H52</f>
        <v>1.4898411E-2</v>
      </c>
    </row>
    <row r="55" spans="1:8" x14ac:dyDescent="0.25">
      <c r="A55" t="str">
        <f>'Unformatted Trip Summary'!A53</f>
        <v>01 NORTHLAND</v>
      </c>
      <c r="B55" t="str">
        <f>'Unformatted Trip Summary'!J53</f>
        <v>2022/23</v>
      </c>
      <c r="C55" t="str">
        <f>'Unformatted Trip Summary'!I53</f>
        <v>Local Ferry</v>
      </c>
      <c r="D55">
        <f>'Unformatted Trip Summary'!D53</f>
        <v>2</v>
      </c>
      <c r="E55">
        <f>'Unformatted Trip Summary'!E53</f>
        <v>3</v>
      </c>
      <c r="F55" s="1">
        <f>'Unformatted Trip Summary'!F53</f>
        <v>5.3289510999999998E-2</v>
      </c>
      <c r="G55" s="1">
        <f>'Unformatted Trip Summary'!G53</f>
        <v>0</v>
      </c>
      <c r="H55" s="1">
        <f>'Unformatted Trip Summary'!H53</f>
        <v>1.46412895E-2</v>
      </c>
    </row>
    <row r="56" spans="1:8" x14ac:dyDescent="0.25">
      <c r="A56" t="str">
        <f>'Unformatted Trip Summary'!A54</f>
        <v>01 NORTHLAND</v>
      </c>
      <c r="B56" t="str">
        <f>'Unformatted Trip Summary'!J54</f>
        <v>2027/28</v>
      </c>
      <c r="C56" t="str">
        <f>'Unformatted Trip Summary'!I54</f>
        <v>Local Ferry</v>
      </c>
      <c r="D56">
        <f>'Unformatted Trip Summary'!D54</f>
        <v>2</v>
      </c>
      <c r="E56">
        <f>'Unformatted Trip Summary'!E54</f>
        <v>3</v>
      </c>
      <c r="F56" s="1">
        <f>'Unformatted Trip Summary'!F54</f>
        <v>5.6046743099999997E-2</v>
      </c>
      <c r="G56" s="1">
        <f>'Unformatted Trip Summary'!G54</f>
        <v>0</v>
      </c>
      <c r="H56" s="1">
        <f>'Unformatted Trip Summary'!H54</f>
        <v>1.4547354300000001E-2</v>
      </c>
    </row>
    <row r="57" spans="1:8" x14ac:dyDescent="0.25">
      <c r="A57" t="str">
        <f>'Unformatted Trip Summary'!A55</f>
        <v>01 NORTHLAND</v>
      </c>
      <c r="B57" t="str">
        <f>'Unformatted Trip Summary'!J55</f>
        <v>2032/33</v>
      </c>
      <c r="C57" t="str">
        <f>'Unformatted Trip Summary'!I55</f>
        <v>Local Ferry</v>
      </c>
      <c r="D57">
        <f>'Unformatted Trip Summary'!D55</f>
        <v>2</v>
      </c>
      <c r="E57">
        <f>'Unformatted Trip Summary'!E55</f>
        <v>3</v>
      </c>
      <c r="F57" s="1">
        <f>'Unformatted Trip Summary'!F55</f>
        <v>5.5691695700000002E-2</v>
      </c>
      <c r="G57" s="1">
        <f>'Unformatted Trip Summary'!G55</f>
        <v>0</v>
      </c>
      <c r="H57" s="1">
        <f>'Unformatted Trip Summary'!H55</f>
        <v>1.38609962E-2</v>
      </c>
    </row>
    <row r="58" spans="1:8" x14ac:dyDescent="0.25">
      <c r="A58" t="str">
        <f>'Unformatted Trip Summary'!A56</f>
        <v>01 NORTHLAND</v>
      </c>
      <c r="B58" t="str">
        <f>'Unformatted Trip Summary'!J56</f>
        <v>2037/38</v>
      </c>
      <c r="C58" t="str">
        <f>'Unformatted Trip Summary'!I56</f>
        <v>Local Ferry</v>
      </c>
      <c r="D58">
        <f>'Unformatted Trip Summary'!D56</f>
        <v>2</v>
      </c>
      <c r="E58">
        <f>'Unformatted Trip Summary'!E56</f>
        <v>3</v>
      </c>
      <c r="F58" s="1">
        <f>'Unformatted Trip Summary'!F56</f>
        <v>5.24892239E-2</v>
      </c>
      <c r="G58" s="1">
        <f>'Unformatted Trip Summary'!G56</f>
        <v>0</v>
      </c>
      <c r="H58" s="1">
        <f>'Unformatted Trip Summary'!H56</f>
        <v>1.2677626399999999E-2</v>
      </c>
    </row>
    <row r="59" spans="1:8" x14ac:dyDescent="0.25">
      <c r="A59" t="str">
        <f>'Unformatted Trip Summary'!A57</f>
        <v>01 NORTHLAND</v>
      </c>
      <c r="B59" t="str">
        <f>'Unformatted Trip Summary'!J57</f>
        <v>2042/43</v>
      </c>
      <c r="C59" t="str">
        <f>'Unformatted Trip Summary'!I57</f>
        <v>Local Ferry</v>
      </c>
      <c r="D59">
        <f>'Unformatted Trip Summary'!D57</f>
        <v>2</v>
      </c>
      <c r="E59">
        <f>'Unformatted Trip Summary'!E57</f>
        <v>3</v>
      </c>
      <c r="F59" s="1">
        <f>'Unformatted Trip Summary'!F57</f>
        <v>4.9081237200000002E-2</v>
      </c>
      <c r="G59" s="1">
        <f>'Unformatted Trip Summary'!G57</f>
        <v>0</v>
      </c>
      <c r="H59" s="1">
        <f>'Unformatted Trip Summary'!H57</f>
        <v>1.15424681E-2</v>
      </c>
    </row>
    <row r="60" spans="1:8" x14ac:dyDescent="0.25">
      <c r="A60" t="str">
        <f>'Unformatted Trip Summary'!A58</f>
        <v>01 NORTHLAND</v>
      </c>
      <c r="B60" t="str">
        <f>'Unformatted Trip Summary'!J58</f>
        <v>2012/13</v>
      </c>
      <c r="C60" t="str">
        <f>'Unformatted Trip Summary'!I58</f>
        <v>Other Household Travel</v>
      </c>
      <c r="D60">
        <f>'Unformatted Trip Summary'!D58</f>
        <v>2</v>
      </c>
      <c r="E60">
        <f>'Unformatted Trip Summary'!E58</f>
        <v>3</v>
      </c>
      <c r="F60" s="1">
        <f>'Unformatted Trip Summary'!F58</f>
        <v>0.1184310407</v>
      </c>
      <c r="G60" s="1">
        <f>'Unformatted Trip Summary'!G58</f>
        <v>0</v>
      </c>
      <c r="H60" s="1">
        <f>'Unformatted Trip Summary'!H58</f>
        <v>0</v>
      </c>
    </row>
    <row r="61" spans="1:8" x14ac:dyDescent="0.25">
      <c r="A61" t="str">
        <f>'Unformatted Trip Summary'!A59</f>
        <v>01 NORTHLAND</v>
      </c>
      <c r="B61" t="str">
        <f>'Unformatted Trip Summary'!J59</f>
        <v>2017/18</v>
      </c>
      <c r="C61" t="str">
        <f>'Unformatted Trip Summary'!I59</f>
        <v>Other Household Travel</v>
      </c>
      <c r="D61">
        <f>'Unformatted Trip Summary'!D59</f>
        <v>2</v>
      </c>
      <c r="E61">
        <f>'Unformatted Trip Summary'!E59</f>
        <v>3</v>
      </c>
      <c r="F61" s="1">
        <f>'Unformatted Trip Summary'!F59</f>
        <v>0.12575020510000001</v>
      </c>
      <c r="G61" s="1">
        <f>'Unformatted Trip Summary'!G59</f>
        <v>0</v>
      </c>
      <c r="H61" s="1">
        <f>'Unformatted Trip Summary'!H59</f>
        <v>0</v>
      </c>
    </row>
    <row r="62" spans="1:8" x14ac:dyDescent="0.25">
      <c r="A62" t="str">
        <f>'Unformatted Trip Summary'!A60</f>
        <v>01 NORTHLAND</v>
      </c>
      <c r="B62" t="str">
        <f>'Unformatted Trip Summary'!J60</f>
        <v>2022/23</v>
      </c>
      <c r="C62" t="str">
        <f>'Unformatted Trip Summary'!I60</f>
        <v>Other Household Travel</v>
      </c>
      <c r="D62">
        <f>'Unformatted Trip Summary'!D60</f>
        <v>2</v>
      </c>
      <c r="E62">
        <f>'Unformatted Trip Summary'!E60</f>
        <v>3</v>
      </c>
      <c r="F62" s="1">
        <f>'Unformatted Trip Summary'!F60</f>
        <v>0.1245642459</v>
      </c>
      <c r="G62" s="1">
        <f>'Unformatted Trip Summary'!G60</f>
        <v>0</v>
      </c>
      <c r="H62" s="1">
        <f>'Unformatted Trip Summary'!H60</f>
        <v>0</v>
      </c>
    </row>
    <row r="63" spans="1:8" x14ac:dyDescent="0.25">
      <c r="A63" t="str">
        <f>'Unformatted Trip Summary'!A61</f>
        <v>01 NORTHLAND</v>
      </c>
      <c r="B63" t="str">
        <f>'Unformatted Trip Summary'!J61</f>
        <v>2027/28</v>
      </c>
      <c r="C63" t="str">
        <f>'Unformatted Trip Summary'!I61</f>
        <v>Other Household Travel</v>
      </c>
      <c r="D63">
        <f>'Unformatted Trip Summary'!D61</f>
        <v>2</v>
      </c>
      <c r="E63">
        <f>'Unformatted Trip Summary'!E61</f>
        <v>3</v>
      </c>
      <c r="F63" s="1">
        <f>'Unformatted Trip Summary'!F61</f>
        <v>0.1226553625</v>
      </c>
      <c r="G63" s="1">
        <f>'Unformatted Trip Summary'!G61</f>
        <v>0</v>
      </c>
      <c r="H63" s="1">
        <f>'Unformatted Trip Summary'!H61</f>
        <v>0</v>
      </c>
    </row>
    <row r="64" spans="1:8" x14ac:dyDescent="0.25">
      <c r="A64" t="str">
        <f>'Unformatted Trip Summary'!A62</f>
        <v>01 NORTHLAND</v>
      </c>
      <c r="B64" t="str">
        <f>'Unformatted Trip Summary'!J62</f>
        <v>2032/33</v>
      </c>
      <c r="C64" t="str">
        <f>'Unformatted Trip Summary'!I62</f>
        <v>Other Household Travel</v>
      </c>
      <c r="D64">
        <f>'Unformatted Trip Summary'!D62</f>
        <v>2</v>
      </c>
      <c r="E64">
        <f>'Unformatted Trip Summary'!E62</f>
        <v>3</v>
      </c>
      <c r="F64" s="1">
        <f>'Unformatted Trip Summary'!F62</f>
        <v>0.11947937760000001</v>
      </c>
      <c r="G64" s="1">
        <f>'Unformatted Trip Summary'!G62</f>
        <v>0</v>
      </c>
      <c r="H64" s="1">
        <f>'Unformatted Trip Summary'!H62</f>
        <v>0</v>
      </c>
    </row>
    <row r="65" spans="1:8" x14ac:dyDescent="0.25">
      <c r="A65" t="str">
        <f>'Unformatted Trip Summary'!A63</f>
        <v>01 NORTHLAND</v>
      </c>
      <c r="B65" t="str">
        <f>'Unformatted Trip Summary'!J63</f>
        <v>2037/38</v>
      </c>
      <c r="C65" t="str">
        <f>'Unformatted Trip Summary'!I63</f>
        <v>Other Household Travel</v>
      </c>
      <c r="D65">
        <f>'Unformatted Trip Summary'!D63</f>
        <v>2</v>
      </c>
      <c r="E65">
        <f>'Unformatted Trip Summary'!E63</f>
        <v>3</v>
      </c>
      <c r="F65" s="1">
        <f>'Unformatted Trip Summary'!F63</f>
        <v>0.1152561377</v>
      </c>
      <c r="G65" s="1">
        <f>'Unformatted Trip Summary'!G63</f>
        <v>0</v>
      </c>
      <c r="H65" s="1">
        <f>'Unformatted Trip Summary'!H63</f>
        <v>0</v>
      </c>
    </row>
    <row r="66" spans="1:8" x14ac:dyDescent="0.25">
      <c r="A66" t="str">
        <f>'Unformatted Trip Summary'!A64</f>
        <v>01 NORTHLAND</v>
      </c>
      <c r="B66" t="str">
        <f>'Unformatted Trip Summary'!J64</f>
        <v>2042/43</v>
      </c>
      <c r="C66" t="str">
        <f>'Unformatted Trip Summary'!I64</f>
        <v>Other Household Travel</v>
      </c>
      <c r="D66">
        <f>'Unformatted Trip Summary'!D64</f>
        <v>2</v>
      </c>
      <c r="E66">
        <f>'Unformatted Trip Summary'!E64</f>
        <v>3</v>
      </c>
      <c r="F66" s="1">
        <f>'Unformatted Trip Summary'!F64</f>
        <v>0.1101477317</v>
      </c>
      <c r="G66" s="1">
        <f>'Unformatted Trip Summary'!G64</f>
        <v>0</v>
      </c>
      <c r="H66" s="1">
        <f>'Unformatted Trip Summary'!H64</f>
        <v>0</v>
      </c>
    </row>
    <row r="67" spans="1:8" x14ac:dyDescent="0.25">
      <c r="A67" t="str">
        <f>'Unformatted Trip Summary'!A65</f>
        <v>01 NORTHLAND</v>
      </c>
      <c r="B67" t="str">
        <f>'Unformatted Trip Summary'!J65</f>
        <v>2012/13</v>
      </c>
      <c r="C67" t="str">
        <f>'Unformatted Trip Summary'!I65</f>
        <v>Air/Non-Local PT</v>
      </c>
      <c r="D67">
        <f>'Unformatted Trip Summary'!D65</f>
        <v>5</v>
      </c>
      <c r="E67">
        <f>'Unformatted Trip Summary'!E65</f>
        <v>8</v>
      </c>
      <c r="F67" s="1">
        <f>'Unformatted Trip Summary'!F65</f>
        <v>0.226285661</v>
      </c>
      <c r="G67" s="1">
        <f>'Unformatted Trip Summary'!G65</f>
        <v>0</v>
      </c>
      <c r="H67" s="1">
        <f>'Unformatted Trip Summary'!H65</f>
        <v>0.25491621720000002</v>
      </c>
    </row>
    <row r="68" spans="1:8" x14ac:dyDescent="0.25">
      <c r="A68" t="str">
        <f>'Unformatted Trip Summary'!A66</f>
        <v>01 NORTHLAND</v>
      </c>
      <c r="B68" t="str">
        <f>'Unformatted Trip Summary'!J66</f>
        <v>2017/18</v>
      </c>
      <c r="C68" t="str">
        <f>'Unformatted Trip Summary'!I66</f>
        <v>Air/Non-Local PT</v>
      </c>
      <c r="D68">
        <f>'Unformatted Trip Summary'!D66</f>
        <v>5</v>
      </c>
      <c r="E68">
        <f>'Unformatted Trip Summary'!E66</f>
        <v>8</v>
      </c>
      <c r="F68" s="1">
        <f>'Unformatted Trip Summary'!F66</f>
        <v>0.24256647519999999</v>
      </c>
      <c r="G68" s="1">
        <f>'Unformatted Trip Summary'!G66</f>
        <v>0</v>
      </c>
      <c r="H68" s="1">
        <f>'Unformatted Trip Summary'!H66</f>
        <v>0.28677772769999998</v>
      </c>
    </row>
    <row r="69" spans="1:8" x14ac:dyDescent="0.25">
      <c r="A69" t="str">
        <f>'Unformatted Trip Summary'!A67</f>
        <v>01 NORTHLAND</v>
      </c>
      <c r="B69" t="str">
        <f>'Unformatted Trip Summary'!J67</f>
        <v>2022/23</v>
      </c>
      <c r="C69" t="str">
        <f>'Unformatted Trip Summary'!I67</f>
        <v>Air/Non-Local PT</v>
      </c>
      <c r="D69">
        <f>'Unformatted Trip Summary'!D67</f>
        <v>5</v>
      </c>
      <c r="E69">
        <f>'Unformatted Trip Summary'!E67</f>
        <v>8</v>
      </c>
      <c r="F69" s="1">
        <f>'Unformatted Trip Summary'!F67</f>
        <v>0.26222735149999998</v>
      </c>
      <c r="G69" s="1">
        <f>'Unformatted Trip Summary'!G67</f>
        <v>0</v>
      </c>
      <c r="H69" s="1">
        <f>'Unformatted Trip Summary'!H67</f>
        <v>0.3143623693</v>
      </c>
    </row>
    <row r="70" spans="1:8" x14ac:dyDescent="0.25">
      <c r="A70" t="str">
        <f>'Unformatted Trip Summary'!A68</f>
        <v>01 NORTHLAND</v>
      </c>
      <c r="B70" t="str">
        <f>'Unformatted Trip Summary'!J68</f>
        <v>2027/28</v>
      </c>
      <c r="C70" t="str">
        <f>'Unformatted Trip Summary'!I68</f>
        <v>Air/Non-Local PT</v>
      </c>
      <c r="D70">
        <f>'Unformatted Trip Summary'!D68</f>
        <v>5</v>
      </c>
      <c r="E70">
        <f>'Unformatted Trip Summary'!E68</f>
        <v>8</v>
      </c>
      <c r="F70" s="1">
        <f>'Unformatted Trip Summary'!F68</f>
        <v>0.29950101169999999</v>
      </c>
      <c r="G70" s="1">
        <f>'Unformatted Trip Summary'!G68</f>
        <v>0</v>
      </c>
      <c r="H70" s="1">
        <f>'Unformatted Trip Summary'!H68</f>
        <v>0.36013574199999998</v>
      </c>
    </row>
    <row r="71" spans="1:8" x14ac:dyDescent="0.25">
      <c r="A71" t="str">
        <f>'Unformatted Trip Summary'!A69</f>
        <v>01 NORTHLAND</v>
      </c>
      <c r="B71" t="str">
        <f>'Unformatted Trip Summary'!J69</f>
        <v>2032/33</v>
      </c>
      <c r="C71" t="str">
        <f>'Unformatted Trip Summary'!I69</f>
        <v>Air/Non-Local PT</v>
      </c>
      <c r="D71">
        <f>'Unformatted Trip Summary'!D69</f>
        <v>5</v>
      </c>
      <c r="E71">
        <f>'Unformatted Trip Summary'!E69</f>
        <v>8</v>
      </c>
      <c r="F71" s="1">
        <f>'Unformatted Trip Summary'!F69</f>
        <v>0.31891769510000001</v>
      </c>
      <c r="G71" s="1">
        <f>'Unformatted Trip Summary'!G69</f>
        <v>0</v>
      </c>
      <c r="H71" s="1">
        <f>'Unformatted Trip Summary'!H69</f>
        <v>0.38338052700000003</v>
      </c>
    </row>
    <row r="72" spans="1:8" x14ac:dyDescent="0.25">
      <c r="A72" t="str">
        <f>'Unformatted Trip Summary'!A70</f>
        <v>01 NORTHLAND</v>
      </c>
      <c r="B72" t="str">
        <f>'Unformatted Trip Summary'!J70</f>
        <v>2037/38</v>
      </c>
      <c r="C72" t="str">
        <f>'Unformatted Trip Summary'!I70</f>
        <v>Air/Non-Local PT</v>
      </c>
      <c r="D72">
        <f>'Unformatted Trip Summary'!D70</f>
        <v>5</v>
      </c>
      <c r="E72">
        <f>'Unformatted Trip Summary'!E70</f>
        <v>8</v>
      </c>
      <c r="F72" s="1">
        <f>'Unformatted Trip Summary'!F70</f>
        <v>0.31243932120000001</v>
      </c>
      <c r="G72" s="1">
        <f>'Unformatted Trip Summary'!G70</f>
        <v>0</v>
      </c>
      <c r="H72" s="1">
        <f>'Unformatted Trip Summary'!H70</f>
        <v>0.37749951599999998</v>
      </c>
    </row>
    <row r="73" spans="1:8" x14ac:dyDescent="0.25">
      <c r="A73" t="str">
        <f>'Unformatted Trip Summary'!A71</f>
        <v>01 NORTHLAND</v>
      </c>
      <c r="B73" t="str">
        <f>'Unformatted Trip Summary'!J71</f>
        <v>2042/43</v>
      </c>
      <c r="C73" t="str">
        <f>'Unformatted Trip Summary'!I71</f>
        <v>Air/Non-Local PT</v>
      </c>
      <c r="D73">
        <f>'Unformatted Trip Summary'!D71</f>
        <v>5</v>
      </c>
      <c r="E73">
        <f>'Unformatted Trip Summary'!E71</f>
        <v>8</v>
      </c>
      <c r="F73" s="1">
        <f>'Unformatted Trip Summary'!F71</f>
        <v>0.30266599779999998</v>
      </c>
      <c r="G73" s="1">
        <f>'Unformatted Trip Summary'!G71</f>
        <v>0</v>
      </c>
      <c r="H73" s="1">
        <f>'Unformatted Trip Summary'!H71</f>
        <v>0.36735472450000001</v>
      </c>
    </row>
    <row r="74" spans="1:8" x14ac:dyDescent="0.25">
      <c r="A74" t="str">
        <f>'Unformatted Trip Summary'!A72</f>
        <v>01 NORTHLAND</v>
      </c>
      <c r="B74" t="str">
        <f>'Unformatted Trip Summary'!J72</f>
        <v>2012/13</v>
      </c>
      <c r="C74" t="str">
        <f>'Unformatted Trip Summary'!I72</f>
        <v>Non-Household Travel</v>
      </c>
      <c r="D74">
        <f>'Unformatted Trip Summary'!D72</f>
        <v>13</v>
      </c>
      <c r="E74">
        <f>'Unformatted Trip Summary'!E72</f>
        <v>59</v>
      </c>
      <c r="F74" s="1">
        <f>'Unformatted Trip Summary'!F72</f>
        <v>2.0613233212000002</v>
      </c>
      <c r="G74" s="1">
        <f>'Unformatted Trip Summary'!G72</f>
        <v>34.810730239000002</v>
      </c>
      <c r="H74" s="1">
        <f>'Unformatted Trip Summary'!H72</f>
        <v>0.70164482120000005</v>
      </c>
    </row>
    <row r="75" spans="1:8" x14ac:dyDescent="0.25">
      <c r="A75" t="str">
        <f>'Unformatted Trip Summary'!A73</f>
        <v>01 NORTHLAND</v>
      </c>
      <c r="B75" t="str">
        <f>'Unformatted Trip Summary'!J73</f>
        <v>2017/18</v>
      </c>
      <c r="C75" t="str">
        <f>'Unformatted Trip Summary'!I73</f>
        <v>Non-Household Travel</v>
      </c>
      <c r="D75">
        <f>'Unformatted Trip Summary'!D73</f>
        <v>13</v>
      </c>
      <c r="E75">
        <f>'Unformatted Trip Summary'!E73</f>
        <v>59</v>
      </c>
      <c r="F75" s="1">
        <f>'Unformatted Trip Summary'!F73</f>
        <v>2.0637641513</v>
      </c>
      <c r="G75" s="1">
        <f>'Unformatted Trip Summary'!G73</f>
        <v>32.823063337000001</v>
      </c>
      <c r="H75" s="1">
        <f>'Unformatted Trip Summary'!H73</f>
        <v>0.68187938199999998</v>
      </c>
    </row>
    <row r="76" spans="1:8" x14ac:dyDescent="0.25">
      <c r="A76" t="str">
        <f>'Unformatted Trip Summary'!A74</f>
        <v>01 NORTHLAND</v>
      </c>
      <c r="B76" t="str">
        <f>'Unformatted Trip Summary'!J74</f>
        <v>2022/23</v>
      </c>
      <c r="C76" t="str">
        <f>'Unformatted Trip Summary'!I74</f>
        <v>Non-Household Travel</v>
      </c>
      <c r="D76">
        <f>'Unformatted Trip Summary'!D74</f>
        <v>13</v>
      </c>
      <c r="E76">
        <f>'Unformatted Trip Summary'!E74</f>
        <v>59</v>
      </c>
      <c r="F76" s="1">
        <f>'Unformatted Trip Summary'!F74</f>
        <v>2.1570903528000001</v>
      </c>
      <c r="G76" s="1">
        <f>'Unformatted Trip Summary'!G74</f>
        <v>32.904629638999999</v>
      </c>
      <c r="H76" s="1">
        <f>'Unformatted Trip Summary'!H74</f>
        <v>0.70214047000000002</v>
      </c>
    </row>
    <row r="77" spans="1:8" x14ac:dyDescent="0.25">
      <c r="A77" t="str">
        <f>'Unformatted Trip Summary'!A75</f>
        <v>01 NORTHLAND</v>
      </c>
      <c r="B77" t="str">
        <f>'Unformatted Trip Summary'!J75</f>
        <v>2027/28</v>
      </c>
      <c r="C77" t="str">
        <f>'Unformatted Trip Summary'!I75</f>
        <v>Non-Household Travel</v>
      </c>
      <c r="D77">
        <f>'Unformatted Trip Summary'!D75</f>
        <v>13</v>
      </c>
      <c r="E77">
        <f>'Unformatted Trip Summary'!E75</f>
        <v>59</v>
      </c>
      <c r="F77" s="1">
        <f>'Unformatted Trip Summary'!F75</f>
        <v>2.3756529533999999</v>
      </c>
      <c r="G77" s="1">
        <f>'Unformatted Trip Summary'!G75</f>
        <v>35.624722497999997</v>
      </c>
      <c r="H77" s="1">
        <f>'Unformatted Trip Summary'!H75</f>
        <v>0.7744384379</v>
      </c>
    </row>
    <row r="78" spans="1:8" x14ac:dyDescent="0.25">
      <c r="A78" t="str">
        <f>'Unformatted Trip Summary'!A76</f>
        <v>01 NORTHLAND</v>
      </c>
      <c r="B78" t="str">
        <f>'Unformatted Trip Summary'!J76</f>
        <v>2032/33</v>
      </c>
      <c r="C78" t="str">
        <f>'Unformatted Trip Summary'!I76</f>
        <v>Non-Household Travel</v>
      </c>
      <c r="D78">
        <f>'Unformatted Trip Summary'!D76</f>
        <v>13</v>
      </c>
      <c r="E78">
        <f>'Unformatted Trip Summary'!E76</f>
        <v>59</v>
      </c>
      <c r="F78" s="1">
        <f>'Unformatted Trip Summary'!F76</f>
        <v>2.5383479699999998</v>
      </c>
      <c r="G78" s="1">
        <f>'Unformatted Trip Summary'!G76</f>
        <v>37.454841946000002</v>
      </c>
      <c r="H78" s="1">
        <f>'Unformatted Trip Summary'!H76</f>
        <v>0.82600734200000003</v>
      </c>
    </row>
    <row r="79" spans="1:8" x14ac:dyDescent="0.25">
      <c r="A79" t="str">
        <f>'Unformatted Trip Summary'!A77</f>
        <v>01 NORTHLAND</v>
      </c>
      <c r="B79" t="str">
        <f>'Unformatted Trip Summary'!J77</f>
        <v>2037/38</v>
      </c>
      <c r="C79" t="str">
        <f>'Unformatted Trip Summary'!I77</f>
        <v>Non-Household Travel</v>
      </c>
      <c r="D79">
        <f>'Unformatted Trip Summary'!D77</f>
        <v>13</v>
      </c>
      <c r="E79">
        <f>'Unformatted Trip Summary'!E77</f>
        <v>59</v>
      </c>
      <c r="F79" s="1">
        <f>'Unformatted Trip Summary'!F77</f>
        <v>2.4949277579000002</v>
      </c>
      <c r="G79" s="1">
        <f>'Unformatted Trip Summary'!G77</f>
        <v>36.496927655</v>
      </c>
      <c r="H79" s="1">
        <f>'Unformatted Trip Summary'!H77</f>
        <v>0.81018887910000004</v>
      </c>
    </row>
    <row r="80" spans="1:8" x14ac:dyDescent="0.25">
      <c r="A80" t="str">
        <f>'Unformatted Trip Summary'!A78</f>
        <v>01 NORTHLAND</v>
      </c>
      <c r="B80" t="str">
        <f>'Unformatted Trip Summary'!J78</f>
        <v>2042/43</v>
      </c>
      <c r="C80" t="str">
        <f>'Unformatted Trip Summary'!I78</f>
        <v>Non-Household Travel</v>
      </c>
      <c r="D80">
        <f>'Unformatted Trip Summary'!D78</f>
        <v>13</v>
      </c>
      <c r="E80">
        <f>'Unformatted Trip Summary'!E78</f>
        <v>59</v>
      </c>
      <c r="F80" s="1">
        <f>'Unformatted Trip Summary'!F78</f>
        <v>2.4344914873999999</v>
      </c>
      <c r="G80" s="1">
        <f>'Unformatted Trip Summary'!G78</f>
        <v>35.295600491000002</v>
      </c>
      <c r="H80" s="1">
        <f>'Unformatted Trip Summary'!H78</f>
        <v>0.78858922389999997</v>
      </c>
    </row>
    <row r="81" spans="1:8" x14ac:dyDescent="0.25">
      <c r="A81" t="str">
        <f>'Unformatted Trip Summary'!A79</f>
        <v>02 AUCKLAND</v>
      </c>
      <c r="B81" t="str">
        <f>'Unformatted Trip Summary'!J79</f>
        <v>2012/13</v>
      </c>
      <c r="C81" t="str">
        <f>'Unformatted Trip Summary'!I79</f>
        <v>Pedestrian</v>
      </c>
      <c r="D81">
        <f>'Unformatted Trip Summary'!D79</f>
        <v>1541</v>
      </c>
      <c r="E81">
        <f>'Unformatted Trip Summary'!E79</f>
        <v>5702</v>
      </c>
      <c r="F81" s="1">
        <f>'Unformatted Trip Summary'!F79</f>
        <v>324.81096006000001</v>
      </c>
      <c r="G81" s="1">
        <f>'Unformatted Trip Summary'!G79</f>
        <v>294.55939388000002</v>
      </c>
      <c r="H81" s="1">
        <f>'Unformatted Trip Summary'!H79</f>
        <v>73.381071999</v>
      </c>
    </row>
    <row r="82" spans="1:8" x14ac:dyDescent="0.25">
      <c r="A82" t="str">
        <f>'Unformatted Trip Summary'!A80</f>
        <v>02 AUCKLAND</v>
      </c>
      <c r="B82" t="str">
        <f>'Unformatted Trip Summary'!J80</f>
        <v>2017/18</v>
      </c>
      <c r="C82" t="str">
        <f>'Unformatted Trip Summary'!I80</f>
        <v>Pedestrian</v>
      </c>
      <c r="D82">
        <f>'Unformatted Trip Summary'!D80</f>
        <v>1541</v>
      </c>
      <c r="E82">
        <f>'Unformatted Trip Summary'!E80</f>
        <v>5702</v>
      </c>
      <c r="F82" s="1">
        <f>'Unformatted Trip Summary'!F80</f>
        <v>354.85239390999999</v>
      </c>
      <c r="G82" s="1">
        <f>'Unformatted Trip Summary'!G80</f>
        <v>321.12046136999999</v>
      </c>
      <c r="H82" s="1">
        <f>'Unformatted Trip Summary'!H80</f>
        <v>79.967850558999999</v>
      </c>
    </row>
    <row r="83" spans="1:8" x14ac:dyDescent="0.25">
      <c r="A83" t="str">
        <f>'Unformatted Trip Summary'!A81</f>
        <v>02 AUCKLAND</v>
      </c>
      <c r="B83" t="str">
        <f>'Unformatted Trip Summary'!J81</f>
        <v>2022/23</v>
      </c>
      <c r="C83" t="str">
        <f>'Unformatted Trip Summary'!I81</f>
        <v>Pedestrian</v>
      </c>
      <c r="D83">
        <f>'Unformatted Trip Summary'!D81</f>
        <v>1541</v>
      </c>
      <c r="E83">
        <f>'Unformatted Trip Summary'!E81</f>
        <v>5702</v>
      </c>
      <c r="F83" s="1">
        <f>'Unformatted Trip Summary'!F81</f>
        <v>375.66733532000001</v>
      </c>
      <c r="G83" s="1">
        <f>'Unformatted Trip Summary'!G81</f>
        <v>338.35782426999998</v>
      </c>
      <c r="H83" s="1">
        <f>'Unformatted Trip Summary'!H81</f>
        <v>84.451213323999994</v>
      </c>
    </row>
    <row r="84" spans="1:8" x14ac:dyDescent="0.25">
      <c r="A84" t="str">
        <f>'Unformatted Trip Summary'!A82</f>
        <v>02 AUCKLAND</v>
      </c>
      <c r="B84" t="str">
        <f>'Unformatted Trip Summary'!J82</f>
        <v>2027/28</v>
      </c>
      <c r="C84" t="str">
        <f>'Unformatted Trip Summary'!I82</f>
        <v>Pedestrian</v>
      </c>
      <c r="D84">
        <f>'Unformatted Trip Summary'!D82</f>
        <v>1541</v>
      </c>
      <c r="E84">
        <f>'Unformatted Trip Summary'!E82</f>
        <v>5702</v>
      </c>
      <c r="F84" s="1">
        <f>'Unformatted Trip Summary'!F82</f>
        <v>390.74489007</v>
      </c>
      <c r="G84" s="1">
        <f>'Unformatted Trip Summary'!G82</f>
        <v>349.85260097999998</v>
      </c>
      <c r="H84" s="1">
        <f>'Unformatted Trip Summary'!H82</f>
        <v>87.793270063999998</v>
      </c>
    </row>
    <row r="85" spans="1:8" x14ac:dyDescent="0.25">
      <c r="A85" t="str">
        <f>'Unformatted Trip Summary'!A83</f>
        <v>02 AUCKLAND</v>
      </c>
      <c r="B85" t="str">
        <f>'Unformatted Trip Summary'!J83</f>
        <v>2032/33</v>
      </c>
      <c r="C85" t="str">
        <f>'Unformatted Trip Summary'!I83</f>
        <v>Pedestrian</v>
      </c>
      <c r="D85">
        <f>'Unformatted Trip Summary'!D83</f>
        <v>1541</v>
      </c>
      <c r="E85">
        <f>'Unformatted Trip Summary'!E83</f>
        <v>5702</v>
      </c>
      <c r="F85" s="1">
        <f>'Unformatted Trip Summary'!F83</f>
        <v>402.26598626999998</v>
      </c>
      <c r="G85" s="1">
        <f>'Unformatted Trip Summary'!G83</f>
        <v>358.28383523000002</v>
      </c>
      <c r="H85" s="1">
        <f>'Unformatted Trip Summary'!H83</f>
        <v>90.364741006000003</v>
      </c>
    </row>
    <row r="86" spans="1:8" x14ac:dyDescent="0.25">
      <c r="A86" t="str">
        <f>'Unformatted Trip Summary'!A84</f>
        <v>02 AUCKLAND</v>
      </c>
      <c r="B86" t="str">
        <f>'Unformatted Trip Summary'!J84</f>
        <v>2037/38</v>
      </c>
      <c r="C86" t="str">
        <f>'Unformatted Trip Summary'!I84</f>
        <v>Pedestrian</v>
      </c>
      <c r="D86">
        <f>'Unformatted Trip Summary'!D84</f>
        <v>1541</v>
      </c>
      <c r="E86">
        <f>'Unformatted Trip Summary'!E84</f>
        <v>5702</v>
      </c>
      <c r="F86" s="1">
        <f>'Unformatted Trip Summary'!F84</f>
        <v>411.57737580999998</v>
      </c>
      <c r="G86" s="1">
        <f>'Unformatted Trip Summary'!G84</f>
        <v>366.08544594</v>
      </c>
      <c r="H86" s="1">
        <f>'Unformatted Trip Summary'!H84</f>
        <v>92.731500874000005</v>
      </c>
    </row>
    <row r="87" spans="1:8" x14ac:dyDescent="0.25">
      <c r="A87" t="str">
        <f>'Unformatted Trip Summary'!A85</f>
        <v>02 AUCKLAND</v>
      </c>
      <c r="B87" t="str">
        <f>'Unformatted Trip Summary'!J85</f>
        <v>2042/43</v>
      </c>
      <c r="C87" t="str">
        <f>'Unformatted Trip Summary'!I85</f>
        <v>Pedestrian</v>
      </c>
      <c r="D87">
        <f>'Unformatted Trip Summary'!D85</f>
        <v>1541</v>
      </c>
      <c r="E87">
        <f>'Unformatted Trip Summary'!E85</f>
        <v>5702</v>
      </c>
      <c r="F87" s="1">
        <f>'Unformatted Trip Summary'!F85</f>
        <v>417.72874179000002</v>
      </c>
      <c r="G87" s="1">
        <f>'Unformatted Trip Summary'!G85</f>
        <v>371.31070032000002</v>
      </c>
      <c r="H87" s="1">
        <f>'Unformatted Trip Summary'!H85</f>
        <v>94.395595791999995</v>
      </c>
    </row>
    <row r="88" spans="1:8" x14ac:dyDescent="0.25">
      <c r="A88" t="str">
        <f>'Unformatted Trip Summary'!A86</f>
        <v>02 AUCKLAND</v>
      </c>
      <c r="B88" t="str">
        <f>'Unformatted Trip Summary'!J86</f>
        <v>2012/13</v>
      </c>
      <c r="C88" t="str">
        <f>'Unformatted Trip Summary'!I86</f>
        <v>Cyclist</v>
      </c>
      <c r="D88">
        <f>'Unformatted Trip Summary'!D86</f>
        <v>49</v>
      </c>
      <c r="E88">
        <f>'Unformatted Trip Summary'!E86</f>
        <v>125</v>
      </c>
      <c r="F88" s="1">
        <f>'Unformatted Trip Summary'!F86</f>
        <v>7.0506319707999996</v>
      </c>
      <c r="G88" s="1">
        <f>'Unformatted Trip Summary'!G86</f>
        <v>55.843008154000003</v>
      </c>
      <c r="H88" s="1">
        <f>'Unformatted Trip Summary'!H86</f>
        <v>4.3659429593999999</v>
      </c>
    </row>
    <row r="89" spans="1:8" x14ac:dyDescent="0.25">
      <c r="A89" t="str">
        <f>'Unformatted Trip Summary'!A87</f>
        <v>02 AUCKLAND</v>
      </c>
      <c r="B89" t="str">
        <f>'Unformatted Trip Summary'!J87</f>
        <v>2017/18</v>
      </c>
      <c r="C89" t="str">
        <f>'Unformatted Trip Summary'!I87</f>
        <v>Cyclist</v>
      </c>
      <c r="D89">
        <f>'Unformatted Trip Summary'!D87</f>
        <v>49</v>
      </c>
      <c r="E89">
        <f>'Unformatted Trip Summary'!E87</f>
        <v>125</v>
      </c>
      <c r="F89" s="1">
        <f>'Unformatted Trip Summary'!F87</f>
        <v>7.8063247726</v>
      </c>
      <c r="G89" s="1">
        <f>'Unformatted Trip Summary'!G87</f>
        <v>63.684796933000001</v>
      </c>
      <c r="H89" s="1">
        <f>'Unformatted Trip Summary'!H87</f>
        <v>4.9329345321</v>
      </c>
    </row>
    <row r="90" spans="1:8" x14ac:dyDescent="0.25">
      <c r="A90" t="str">
        <f>'Unformatted Trip Summary'!A88</f>
        <v>02 AUCKLAND</v>
      </c>
      <c r="B90" t="str">
        <f>'Unformatted Trip Summary'!J88</f>
        <v>2022/23</v>
      </c>
      <c r="C90" t="str">
        <f>'Unformatted Trip Summary'!I88</f>
        <v>Cyclist</v>
      </c>
      <c r="D90">
        <f>'Unformatted Trip Summary'!D88</f>
        <v>49</v>
      </c>
      <c r="E90">
        <f>'Unformatted Trip Summary'!E88</f>
        <v>125</v>
      </c>
      <c r="F90" s="1">
        <f>'Unformatted Trip Summary'!F88</f>
        <v>8.3698082226999997</v>
      </c>
      <c r="G90" s="1">
        <f>'Unformatted Trip Summary'!G88</f>
        <v>69.036761009000003</v>
      </c>
      <c r="H90" s="1">
        <f>'Unformatted Trip Summary'!H88</f>
        <v>5.3194263725999997</v>
      </c>
    </row>
    <row r="91" spans="1:8" x14ac:dyDescent="0.25">
      <c r="A91" t="str">
        <f>'Unformatted Trip Summary'!A89</f>
        <v>02 AUCKLAND</v>
      </c>
      <c r="B91" t="str">
        <f>'Unformatted Trip Summary'!J89</f>
        <v>2027/28</v>
      </c>
      <c r="C91" t="str">
        <f>'Unformatted Trip Summary'!I89</f>
        <v>Cyclist</v>
      </c>
      <c r="D91">
        <f>'Unformatted Trip Summary'!D89</f>
        <v>49</v>
      </c>
      <c r="E91">
        <f>'Unformatted Trip Summary'!E89</f>
        <v>125</v>
      </c>
      <c r="F91" s="1">
        <f>'Unformatted Trip Summary'!F89</f>
        <v>8.8292402498999998</v>
      </c>
      <c r="G91" s="1">
        <f>'Unformatted Trip Summary'!G89</f>
        <v>73.540929696000006</v>
      </c>
      <c r="H91" s="1">
        <f>'Unformatted Trip Summary'!H89</f>
        <v>5.6513226292000001</v>
      </c>
    </row>
    <row r="92" spans="1:8" x14ac:dyDescent="0.25">
      <c r="A92" t="str">
        <f>'Unformatted Trip Summary'!A90</f>
        <v>02 AUCKLAND</v>
      </c>
      <c r="B92" t="str">
        <f>'Unformatted Trip Summary'!J90</f>
        <v>2032/33</v>
      </c>
      <c r="C92" t="str">
        <f>'Unformatted Trip Summary'!I90</f>
        <v>Cyclist</v>
      </c>
      <c r="D92">
        <f>'Unformatted Trip Summary'!D90</f>
        <v>49</v>
      </c>
      <c r="E92">
        <f>'Unformatted Trip Summary'!E90</f>
        <v>125</v>
      </c>
      <c r="F92" s="1">
        <f>'Unformatted Trip Summary'!F90</f>
        <v>9.1735518752999994</v>
      </c>
      <c r="G92" s="1">
        <f>'Unformatted Trip Summary'!G90</f>
        <v>79.041909404999998</v>
      </c>
      <c r="H92" s="1">
        <f>'Unformatted Trip Summary'!H90</f>
        <v>6.0358919294</v>
      </c>
    </row>
    <row r="93" spans="1:8" x14ac:dyDescent="0.25">
      <c r="A93" t="str">
        <f>'Unformatted Trip Summary'!A91</f>
        <v>02 AUCKLAND</v>
      </c>
      <c r="B93" t="str">
        <f>'Unformatted Trip Summary'!J91</f>
        <v>2037/38</v>
      </c>
      <c r="C93" t="str">
        <f>'Unformatted Trip Summary'!I91</f>
        <v>Cyclist</v>
      </c>
      <c r="D93">
        <f>'Unformatted Trip Summary'!D91</f>
        <v>49</v>
      </c>
      <c r="E93">
        <f>'Unformatted Trip Summary'!E91</f>
        <v>125</v>
      </c>
      <c r="F93" s="1">
        <f>'Unformatted Trip Summary'!F91</f>
        <v>9.7187032191</v>
      </c>
      <c r="G93" s="1">
        <f>'Unformatted Trip Summary'!G91</f>
        <v>86.924678517999993</v>
      </c>
      <c r="H93" s="1">
        <f>'Unformatted Trip Summary'!H91</f>
        <v>6.5796398320999998</v>
      </c>
    </row>
    <row r="94" spans="1:8" x14ac:dyDescent="0.25">
      <c r="A94" t="str">
        <f>'Unformatted Trip Summary'!A92</f>
        <v>02 AUCKLAND</v>
      </c>
      <c r="B94" t="str">
        <f>'Unformatted Trip Summary'!J92</f>
        <v>2042/43</v>
      </c>
      <c r="C94" t="str">
        <f>'Unformatted Trip Summary'!I92</f>
        <v>Cyclist</v>
      </c>
      <c r="D94">
        <f>'Unformatted Trip Summary'!D92</f>
        <v>49</v>
      </c>
      <c r="E94">
        <f>'Unformatted Trip Summary'!E92</f>
        <v>125</v>
      </c>
      <c r="F94" s="1">
        <f>'Unformatted Trip Summary'!F92</f>
        <v>10.233804469000001</v>
      </c>
      <c r="G94" s="1">
        <f>'Unformatted Trip Summary'!G92</f>
        <v>94.903238408000007</v>
      </c>
      <c r="H94" s="1">
        <f>'Unformatted Trip Summary'!H92</f>
        <v>7.1283229733000004</v>
      </c>
    </row>
    <row r="95" spans="1:8" x14ac:dyDescent="0.25">
      <c r="A95" t="str">
        <f>'Unformatted Trip Summary'!A93</f>
        <v>02 AUCKLAND</v>
      </c>
      <c r="B95" t="str">
        <f>'Unformatted Trip Summary'!J93</f>
        <v>2012/13</v>
      </c>
      <c r="C95" t="str">
        <f>'Unformatted Trip Summary'!I93</f>
        <v>Light Vehicle Driver</v>
      </c>
      <c r="D95">
        <f>'Unformatted Trip Summary'!D93</f>
        <v>2765</v>
      </c>
      <c r="E95">
        <f>'Unformatted Trip Summary'!E93</f>
        <v>18286</v>
      </c>
      <c r="F95" s="1">
        <f>'Unformatted Trip Summary'!F93</f>
        <v>981.24355252999999</v>
      </c>
      <c r="G95" s="1">
        <f>'Unformatted Trip Summary'!G93</f>
        <v>9374.4733825999992</v>
      </c>
      <c r="H95" s="1">
        <f>'Unformatted Trip Summary'!H93</f>
        <v>295.36669345000001</v>
      </c>
    </row>
    <row r="96" spans="1:8" x14ac:dyDescent="0.25">
      <c r="A96" t="str">
        <f>'Unformatted Trip Summary'!A94</f>
        <v>02 AUCKLAND</v>
      </c>
      <c r="B96" t="str">
        <f>'Unformatted Trip Summary'!J94</f>
        <v>2017/18</v>
      </c>
      <c r="C96" t="str">
        <f>'Unformatted Trip Summary'!I94</f>
        <v>Light Vehicle Driver</v>
      </c>
      <c r="D96">
        <f>'Unformatted Trip Summary'!D94</f>
        <v>2765</v>
      </c>
      <c r="E96">
        <f>'Unformatted Trip Summary'!E94</f>
        <v>18286</v>
      </c>
      <c r="F96" s="1">
        <f>'Unformatted Trip Summary'!F94</f>
        <v>1101.4431067</v>
      </c>
      <c r="G96" s="1">
        <f>'Unformatted Trip Summary'!G94</f>
        <v>10561.901644</v>
      </c>
      <c r="H96" s="1">
        <f>'Unformatted Trip Summary'!H94</f>
        <v>332.59414728000002</v>
      </c>
    </row>
    <row r="97" spans="1:8" x14ac:dyDescent="0.25">
      <c r="A97" t="str">
        <f>'Unformatted Trip Summary'!A95</f>
        <v>02 AUCKLAND</v>
      </c>
      <c r="B97" t="str">
        <f>'Unformatted Trip Summary'!J95</f>
        <v>2022/23</v>
      </c>
      <c r="C97" t="str">
        <f>'Unformatted Trip Summary'!I95</f>
        <v>Light Vehicle Driver</v>
      </c>
      <c r="D97">
        <f>'Unformatted Trip Summary'!D95</f>
        <v>2765</v>
      </c>
      <c r="E97">
        <f>'Unformatted Trip Summary'!E95</f>
        <v>18286</v>
      </c>
      <c r="F97" s="1">
        <f>'Unformatted Trip Summary'!F95</f>
        <v>1178.3826509999999</v>
      </c>
      <c r="G97" s="1">
        <f>'Unformatted Trip Summary'!G95</f>
        <v>11274.637494000001</v>
      </c>
      <c r="H97" s="1">
        <f>'Unformatted Trip Summary'!H95</f>
        <v>355.24456429000003</v>
      </c>
    </row>
    <row r="98" spans="1:8" x14ac:dyDescent="0.25">
      <c r="A98" t="str">
        <f>'Unformatted Trip Summary'!A96</f>
        <v>02 AUCKLAND</v>
      </c>
      <c r="B98" t="str">
        <f>'Unformatted Trip Summary'!J96</f>
        <v>2027/28</v>
      </c>
      <c r="C98" t="str">
        <f>'Unformatted Trip Summary'!I96</f>
        <v>Light Vehicle Driver</v>
      </c>
      <c r="D98">
        <f>'Unformatted Trip Summary'!D96</f>
        <v>2765</v>
      </c>
      <c r="E98">
        <f>'Unformatted Trip Summary'!E96</f>
        <v>18286</v>
      </c>
      <c r="F98" s="1">
        <f>'Unformatted Trip Summary'!F96</f>
        <v>1252.1048714999999</v>
      </c>
      <c r="G98" s="1">
        <f>'Unformatted Trip Summary'!G96</f>
        <v>11985.832232999999</v>
      </c>
      <c r="H98" s="1">
        <f>'Unformatted Trip Summary'!H96</f>
        <v>376.76705083000002</v>
      </c>
    </row>
    <row r="99" spans="1:8" x14ac:dyDescent="0.25">
      <c r="A99" t="str">
        <f>'Unformatted Trip Summary'!A97</f>
        <v>02 AUCKLAND</v>
      </c>
      <c r="B99" t="str">
        <f>'Unformatted Trip Summary'!J97</f>
        <v>2032/33</v>
      </c>
      <c r="C99" t="str">
        <f>'Unformatted Trip Summary'!I97</f>
        <v>Light Vehicle Driver</v>
      </c>
      <c r="D99">
        <f>'Unformatted Trip Summary'!D97</f>
        <v>2765</v>
      </c>
      <c r="E99">
        <f>'Unformatted Trip Summary'!E97</f>
        <v>18286</v>
      </c>
      <c r="F99" s="1">
        <f>'Unformatted Trip Summary'!F97</f>
        <v>1326.9719379000001</v>
      </c>
      <c r="G99" s="1">
        <f>'Unformatted Trip Summary'!G97</f>
        <v>12718.284267000001</v>
      </c>
      <c r="H99" s="1">
        <f>'Unformatted Trip Summary'!H97</f>
        <v>399.08079777</v>
      </c>
    </row>
    <row r="100" spans="1:8" x14ac:dyDescent="0.25">
      <c r="A100" t="str">
        <f>'Unformatted Trip Summary'!A98</f>
        <v>02 AUCKLAND</v>
      </c>
      <c r="B100" t="str">
        <f>'Unformatted Trip Summary'!J98</f>
        <v>2037/38</v>
      </c>
      <c r="C100" t="str">
        <f>'Unformatted Trip Summary'!I98</f>
        <v>Light Vehicle Driver</v>
      </c>
      <c r="D100">
        <f>'Unformatted Trip Summary'!D98</f>
        <v>2765</v>
      </c>
      <c r="E100">
        <f>'Unformatted Trip Summary'!E98</f>
        <v>18286</v>
      </c>
      <c r="F100" s="1">
        <f>'Unformatted Trip Summary'!F98</f>
        <v>1394.5386391</v>
      </c>
      <c r="G100" s="1">
        <f>'Unformatted Trip Summary'!G98</f>
        <v>13361.369712</v>
      </c>
      <c r="H100" s="1">
        <f>'Unformatted Trip Summary'!H98</f>
        <v>419.34631352000002</v>
      </c>
    </row>
    <row r="101" spans="1:8" x14ac:dyDescent="0.25">
      <c r="A101" t="str">
        <f>'Unformatted Trip Summary'!A99</f>
        <v>02 AUCKLAND</v>
      </c>
      <c r="B101" t="str">
        <f>'Unformatted Trip Summary'!J99</f>
        <v>2042/43</v>
      </c>
      <c r="C101" t="str">
        <f>'Unformatted Trip Summary'!I99</f>
        <v>Light Vehicle Driver</v>
      </c>
      <c r="D101">
        <f>'Unformatted Trip Summary'!D99</f>
        <v>2765</v>
      </c>
      <c r="E101">
        <f>'Unformatted Trip Summary'!E99</f>
        <v>18286</v>
      </c>
      <c r="F101" s="1">
        <f>'Unformatted Trip Summary'!F99</f>
        <v>1454.5793063000001</v>
      </c>
      <c r="G101" s="1">
        <f>'Unformatted Trip Summary'!G99</f>
        <v>13936.592035</v>
      </c>
      <c r="H101" s="1">
        <f>'Unformatted Trip Summary'!H99</f>
        <v>437.41301440000001</v>
      </c>
    </row>
    <row r="102" spans="1:8" x14ac:dyDescent="0.25">
      <c r="A102" t="str">
        <f>'Unformatted Trip Summary'!A100</f>
        <v>02 AUCKLAND</v>
      </c>
      <c r="B102" t="str">
        <f>'Unformatted Trip Summary'!J100</f>
        <v>2012/13</v>
      </c>
      <c r="C102" t="str">
        <f>'Unformatted Trip Summary'!I100</f>
        <v>Light Vehicle Passenger</v>
      </c>
      <c r="D102">
        <f>'Unformatted Trip Summary'!D100</f>
        <v>2092</v>
      </c>
      <c r="E102">
        <f>'Unformatted Trip Summary'!E100</f>
        <v>9587</v>
      </c>
      <c r="F102" s="1">
        <f>'Unformatted Trip Summary'!F100</f>
        <v>488.06073574999999</v>
      </c>
      <c r="G102" s="1">
        <f>'Unformatted Trip Summary'!G100</f>
        <v>4814.6436660999998</v>
      </c>
      <c r="H102" s="1">
        <f>'Unformatted Trip Summary'!H100</f>
        <v>145.42645436999999</v>
      </c>
    </row>
    <row r="103" spans="1:8" x14ac:dyDescent="0.25">
      <c r="A103" t="str">
        <f>'Unformatted Trip Summary'!A101</f>
        <v>02 AUCKLAND</v>
      </c>
      <c r="B103" t="str">
        <f>'Unformatted Trip Summary'!J101</f>
        <v>2017/18</v>
      </c>
      <c r="C103" t="str">
        <f>'Unformatted Trip Summary'!I101</f>
        <v>Light Vehicle Passenger</v>
      </c>
      <c r="D103">
        <f>'Unformatted Trip Summary'!D101</f>
        <v>2092</v>
      </c>
      <c r="E103">
        <f>'Unformatted Trip Summary'!E101</f>
        <v>9587</v>
      </c>
      <c r="F103" s="1">
        <f>'Unformatted Trip Summary'!F101</f>
        <v>524.99204458999998</v>
      </c>
      <c r="G103" s="1">
        <f>'Unformatted Trip Summary'!G101</f>
        <v>5252.5287291000004</v>
      </c>
      <c r="H103" s="1">
        <f>'Unformatted Trip Summary'!H101</f>
        <v>157.55915060999999</v>
      </c>
    </row>
    <row r="104" spans="1:8" x14ac:dyDescent="0.25">
      <c r="A104" t="str">
        <f>'Unformatted Trip Summary'!A102</f>
        <v>02 AUCKLAND</v>
      </c>
      <c r="B104" t="str">
        <f>'Unformatted Trip Summary'!J102</f>
        <v>2022/23</v>
      </c>
      <c r="C104" t="str">
        <f>'Unformatted Trip Summary'!I102</f>
        <v>Light Vehicle Passenger</v>
      </c>
      <c r="D104">
        <f>'Unformatted Trip Summary'!D102</f>
        <v>2092</v>
      </c>
      <c r="E104">
        <f>'Unformatted Trip Summary'!E102</f>
        <v>9587</v>
      </c>
      <c r="F104" s="1">
        <f>'Unformatted Trip Summary'!F102</f>
        <v>552.75275709000005</v>
      </c>
      <c r="G104" s="1">
        <f>'Unformatted Trip Summary'!G102</f>
        <v>5569.3224726999997</v>
      </c>
      <c r="H104" s="1">
        <f>'Unformatted Trip Summary'!H102</f>
        <v>166.15393943999999</v>
      </c>
    </row>
    <row r="105" spans="1:8" x14ac:dyDescent="0.25">
      <c r="A105" t="str">
        <f>'Unformatted Trip Summary'!A103</f>
        <v>02 AUCKLAND</v>
      </c>
      <c r="B105" t="str">
        <f>'Unformatted Trip Summary'!J103</f>
        <v>2027/28</v>
      </c>
      <c r="C105" t="str">
        <f>'Unformatted Trip Summary'!I103</f>
        <v>Light Vehicle Passenger</v>
      </c>
      <c r="D105">
        <f>'Unformatted Trip Summary'!D103</f>
        <v>2092</v>
      </c>
      <c r="E105">
        <f>'Unformatted Trip Summary'!E103</f>
        <v>9587</v>
      </c>
      <c r="F105" s="1">
        <f>'Unformatted Trip Summary'!F103</f>
        <v>578.03229285999998</v>
      </c>
      <c r="G105" s="1">
        <f>'Unformatted Trip Summary'!G103</f>
        <v>5879.0933020000002</v>
      </c>
      <c r="H105" s="1">
        <f>'Unformatted Trip Summary'!H103</f>
        <v>173.98645334</v>
      </c>
    </row>
    <row r="106" spans="1:8" x14ac:dyDescent="0.25">
      <c r="A106" t="str">
        <f>'Unformatted Trip Summary'!A104</f>
        <v>02 AUCKLAND</v>
      </c>
      <c r="B106" t="str">
        <f>'Unformatted Trip Summary'!J104</f>
        <v>2032/33</v>
      </c>
      <c r="C106" t="str">
        <f>'Unformatted Trip Summary'!I104</f>
        <v>Light Vehicle Passenger</v>
      </c>
      <c r="D106">
        <f>'Unformatted Trip Summary'!D104</f>
        <v>2092</v>
      </c>
      <c r="E106">
        <f>'Unformatted Trip Summary'!E104</f>
        <v>9587</v>
      </c>
      <c r="F106" s="1">
        <f>'Unformatted Trip Summary'!F104</f>
        <v>601.07709752999995</v>
      </c>
      <c r="G106" s="1">
        <f>'Unformatted Trip Summary'!G104</f>
        <v>6140.4497775</v>
      </c>
      <c r="H106" s="1">
        <f>'Unformatted Trip Summary'!H104</f>
        <v>180.77922267</v>
      </c>
    </row>
    <row r="107" spans="1:8" x14ac:dyDescent="0.25">
      <c r="A107" t="str">
        <f>'Unformatted Trip Summary'!A105</f>
        <v>02 AUCKLAND</v>
      </c>
      <c r="B107" t="str">
        <f>'Unformatted Trip Summary'!J105</f>
        <v>2037/38</v>
      </c>
      <c r="C107" t="str">
        <f>'Unformatted Trip Summary'!I105</f>
        <v>Light Vehicle Passenger</v>
      </c>
      <c r="D107">
        <f>'Unformatted Trip Summary'!D105</f>
        <v>2092</v>
      </c>
      <c r="E107">
        <f>'Unformatted Trip Summary'!E105</f>
        <v>9587</v>
      </c>
      <c r="F107" s="1">
        <f>'Unformatted Trip Summary'!F105</f>
        <v>619.48626358000001</v>
      </c>
      <c r="G107" s="1">
        <f>'Unformatted Trip Summary'!G105</f>
        <v>6373.4716152999999</v>
      </c>
      <c r="H107" s="1">
        <f>'Unformatted Trip Summary'!H105</f>
        <v>186.59708268</v>
      </c>
    </row>
    <row r="108" spans="1:8" x14ac:dyDescent="0.25">
      <c r="A108" t="str">
        <f>'Unformatted Trip Summary'!A106</f>
        <v>02 AUCKLAND</v>
      </c>
      <c r="B108" t="str">
        <f>'Unformatted Trip Summary'!J106</f>
        <v>2042/43</v>
      </c>
      <c r="C108" t="str">
        <f>'Unformatted Trip Summary'!I106</f>
        <v>Light Vehicle Passenger</v>
      </c>
      <c r="D108">
        <f>'Unformatted Trip Summary'!D106</f>
        <v>2092</v>
      </c>
      <c r="E108">
        <f>'Unformatted Trip Summary'!E106</f>
        <v>9587</v>
      </c>
      <c r="F108" s="1">
        <f>'Unformatted Trip Summary'!F106</f>
        <v>633.56556293000006</v>
      </c>
      <c r="G108" s="1">
        <f>'Unformatted Trip Summary'!G106</f>
        <v>6564.0998227</v>
      </c>
      <c r="H108" s="1">
        <f>'Unformatted Trip Summary'!H106</f>
        <v>191.16581729999999</v>
      </c>
    </row>
    <row r="109" spans="1:8" x14ac:dyDescent="0.25">
      <c r="A109" t="str">
        <f>'Unformatted Trip Summary'!A107</f>
        <v>02 AUCKLAND</v>
      </c>
      <c r="B109" t="str">
        <f>'Unformatted Trip Summary'!J107</f>
        <v>2012/13</v>
      </c>
      <c r="C109" t="str">
        <f>'Unformatted Trip Summary'!I107</f>
        <v>Taxi/Vehicle Share</v>
      </c>
      <c r="D109">
        <f>'Unformatted Trip Summary'!D107</f>
        <v>54</v>
      </c>
      <c r="E109">
        <f>'Unformatted Trip Summary'!E107</f>
        <v>94</v>
      </c>
      <c r="F109" s="1">
        <f>'Unformatted Trip Summary'!F107</f>
        <v>6.0232688673999997</v>
      </c>
      <c r="G109" s="1">
        <f>'Unformatted Trip Summary'!G107</f>
        <v>41.157157814999998</v>
      </c>
      <c r="H109" s="1">
        <f>'Unformatted Trip Summary'!H107</f>
        <v>1.9131795197999999</v>
      </c>
    </row>
    <row r="110" spans="1:8" x14ac:dyDescent="0.25">
      <c r="A110" t="str">
        <f>'Unformatted Trip Summary'!A108</f>
        <v>02 AUCKLAND</v>
      </c>
      <c r="B110" t="str">
        <f>'Unformatted Trip Summary'!J108</f>
        <v>2017/18</v>
      </c>
      <c r="C110" t="str">
        <f>'Unformatted Trip Summary'!I108</f>
        <v>Taxi/Vehicle Share</v>
      </c>
      <c r="D110">
        <f>'Unformatted Trip Summary'!D108</f>
        <v>54</v>
      </c>
      <c r="E110">
        <f>'Unformatted Trip Summary'!E108</f>
        <v>94</v>
      </c>
      <c r="F110" s="1">
        <f>'Unformatted Trip Summary'!F108</f>
        <v>7.1539202692000003</v>
      </c>
      <c r="G110" s="1">
        <f>'Unformatted Trip Summary'!G108</f>
        <v>49.470833216000003</v>
      </c>
      <c r="H110" s="1">
        <f>'Unformatted Trip Summary'!H108</f>
        <v>2.2700725880000001</v>
      </c>
    </row>
    <row r="111" spans="1:8" x14ac:dyDescent="0.25">
      <c r="A111" t="str">
        <f>'Unformatted Trip Summary'!A109</f>
        <v>02 AUCKLAND</v>
      </c>
      <c r="B111" t="str">
        <f>'Unformatted Trip Summary'!J109</f>
        <v>2022/23</v>
      </c>
      <c r="C111" t="str">
        <f>'Unformatted Trip Summary'!I109</f>
        <v>Taxi/Vehicle Share</v>
      </c>
      <c r="D111">
        <f>'Unformatted Trip Summary'!D109</f>
        <v>54</v>
      </c>
      <c r="E111">
        <f>'Unformatted Trip Summary'!E109</f>
        <v>94</v>
      </c>
      <c r="F111" s="1">
        <f>'Unformatted Trip Summary'!F109</f>
        <v>8.1768000226000002</v>
      </c>
      <c r="G111" s="1">
        <f>'Unformatted Trip Summary'!G109</f>
        <v>57.866944635999999</v>
      </c>
      <c r="H111" s="1">
        <f>'Unformatted Trip Summary'!H109</f>
        <v>2.5969226477</v>
      </c>
    </row>
    <row r="112" spans="1:8" x14ac:dyDescent="0.25">
      <c r="A112" t="str">
        <f>'Unformatted Trip Summary'!A110</f>
        <v>02 AUCKLAND</v>
      </c>
      <c r="B112" t="str">
        <f>'Unformatted Trip Summary'!J110</f>
        <v>2027/28</v>
      </c>
      <c r="C112" t="str">
        <f>'Unformatted Trip Summary'!I110</f>
        <v>Taxi/Vehicle Share</v>
      </c>
      <c r="D112">
        <f>'Unformatted Trip Summary'!D110</f>
        <v>54</v>
      </c>
      <c r="E112">
        <f>'Unformatted Trip Summary'!E110</f>
        <v>94</v>
      </c>
      <c r="F112" s="1">
        <f>'Unformatted Trip Summary'!F110</f>
        <v>9.1127637114999995</v>
      </c>
      <c r="G112" s="1">
        <f>'Unformatted Trip Summary'!G110</f>
        <v>66.605562336000006</v>
      </c>
      <c r="H112" s="1">
        <f>'Unformatted Trip Summary'!H110</f>
        <v>2.9130666788999999</v>
      </c>
    </row>
    <row r="113" spans="1:8" x14ac:dyDescent="0.25">
      <c r="A113" t="str">
        <f>'Unformatted Trip Summary'!A111</f>
        <v>02 AUCKLAND</v>
      </c>
      <c r="B113" t="str">
        <f>'Unformatted Trip Summary'!J111</f>
        <v>2032/33</v>
      </c>
      <c r="C113" t="str">
        <f>'Unformatted Trip Summary'!I111</f>
        <v>Taxi/Vehicle Share</v>
      </c>
      <c r="D113">
        <f>'Unformatted Trip Summary'!D111</f>
        <v>54</v>
      </c>
      <c r="E113">
        <f>'Unformatted Trip Summary'!E111</f>
        <v>94</v>
      </c>
      <c r="F113" s="1">
        <f>'Unformatted Trip Summary'!F111</f>
        <v>9.9924814856000008</v>
      </c>
      <c r="G113" s="1">
        <f>'Unformatted Trip Summary'!G111</f>
        <v>74.628617242000004</v>
      </c>
      <c r="H113" s="1">
        <f>'Unformatted Trip Summary'!H111</f>
        <v>3.2119957585000001</v>
      </c>
    </row>
    <row r="114" spans="1:8" x14ac:dyDescent="0.25">
      <c r="A114" t="str">
        <f>'Unformatted Trip Summary'!A112</f>
        <v>02 AUCKLAND</v>
      </c>
      <c r="B114" t="str">
        <f>'Unformatted Trip Summary'!J112</f>
        <v>2037/38</v>
      </c>
      <c r="C114" t="str">
        <f>'Unformatted Trip Summary'!I112</f>
        <v>Taxi/Vehicle Share</v>
      </c>
      <c r="D114">
        <f>'Unformatted Trip Summary'!D112</f>
        <v>54</v>
      </c>
      <c r="E114">
        <f>'Unformatted Trip Summary'!E112</f>
        <v>94</v>
      </c>
      <c r="F114" s="1">
        <f>'Unformatted Trip Summary'!F112</f>
        <v>10.714214554</v>
      </c>
      <c r="G114" s="1">
        <f>'Unformatted Trip Summary'!G112</f>
        <v>81.385333059000004</v>
      </c>
      <c r="H114" s="1">
        <f>'Unformatted Trip Summary'!H112</f>
        <v>3.4575040337999998</v>
      </c>
    </row>
    <row r="115" spans="1:8" x14ac:dyDescent="0.25">
      <c r="A115" t="str">
        <f>'Unformatted Trip Summary'!A113</f>
        <v>02 AUCKLAND</v>
      </c>
      <c r="B115" t="str">
        <f>'Unformatted Trip Summary'!J113</f>
        <v>2042/43</v>
      </c>
      <c r="C115" t="str">
        <f>'Unformatted Trip Summary'!I113</f>
        <v>Taxi/Vehicle Share</v>
      </c>
      <c r="D115">
        <f>'Unformatted Trip Summary'!D113</f>
        <v>54</v>
      </c>
      <c r="E115">
        <f>'Unformatted Trip Summary'!E113</f>
        <v>94</v>
      </c>
      <c r="F115" s="1">
        <f>'Unformatted Trip Summary'!F113</f>
        <v>11.427583651000001</v>
      </c>
      <c r="G115" s="1">
        <f>'Unformatted Trip Summary'!G113</f>
        <v>88.076069412999999</v>
      </c>
      <c r="H115" s="1">
        <f>'Unformatted Trip Summary'!H113</f>
        <v>3.6974417935999999</v>
      </c>
    </row>
    <row r="116" spans="1:8" x14ac:dyDescent="0.25">
      <c r="A116" t="str">
        <f>'Unformatted Trip Summary'!A114</f>
        <v>02 AUCKLAND</v>
      </c>
      <c r="B116" t="str">
        <f>'Unformatted Trip Summary'!J114</f>
        <v>2012/13</v>
      </c>
      <c r="C116" t="str">
        <f>'Unformatted Trip Summary'!I114</f>
        <v>Motorcyclist</v>
      </c>
      <c r="D116">
        <f>'Unformatted Trip Summary'!D114</f>
        <v>15</v>
      </c>
      <c r="E116">
        <f>'Unformatted Trip Summary'!E114</f>
        <v>69</v>
      </c>
      <c r="F116" s="1">
        <f>'Unformatted Trip Summary'!F114</f>
        <v>4.1170216905999997</v>
      </c>
      <c r="G116" s="1">
        <f>'Unformatted Trip Summary'!G114</f>
        <v>43.570185572</v>
      </c>
      <c r="H116" s="1">
        <f>'Unformatted Trip Summary'!H114</f>
        <v>1.5334409518000001</v>
      </c>
    </row>
    <row r="117" spans="1:8" x14ac:dyDescent="0.25">
      <c r="A117" t="str">
        <f>'Unformatted Trip Summary'!A115</f>
        <v>02 AUCKLAND</v>
      </c>
      <c r="B117" t="str">
        <f>'Unformatted Trip Summary'!J115</f>
        <v>2017/18</v>
      </c>
      <c r="C117" t="str">
        <f>'Unformatted Trip Summary'!I115</f>
        <v>Motorcyclist</v>
      </c>
      <c r="D117">
        <f>'Unformatted Trip Summary'!D115</f>
        <v>15</v>
      </c>
      <c r="E117">
        <f>'Unformatted Trip Summary'!E115</f>
        <v>69</v>
      </c>
      <c r="F117" s="1">
        <f>'Unformatted Trip Summary'!F115</f>
        <v>4.6680632031</v>
      </c>
      <c r="G117" s="1">
        <f>'Unformatted Trip Summary'!G115</f>
        <v>49.254398813999998</v>
      </c>
      <c r="H117" s="1">
        <f>'Unformatted Trip Summary'!H115</f>
        <v>1.7517811457000001</v>
      </c>
    </row>
    <row r="118" spans="1:8" x14ac:dyDescent="0.25">
      <c r="A118" t="str">
        <f>'Unformatted Trip Summary'!A116</f>
        <v>02 AUCKLAND</v>
      </c>
      <c r="B118" t="str">
        <f>'Unformatted Trip Summary'!J116</f>
        <v>2022/23</v>
      </c>
      <c r="C118" t="str">
        <f>'Unformatted Trip Summary'!I116</f>
        <v>Motorcyclist</v>
      </c>
      <c r="D118">
        <f>'Unformatted Trip Summary'!D116</f>
        <v>15</v>
      </c>
      <c r="E118">
        <f>'Unformatted Trip Summary'!E116</f>
        <v>69</v>
      </c>
      <c r="F118" s="1">
        <f>'Unformatted Trip Summary'!F116</f>
        <v>5.1577772319999999</v>
      </c>
      <c r="G118" s="1">
        <f>'Unformatted Trip Summary'!G116</f>
        <v>52.666048691</v>
      </c>
      <c r="H118" s="1">
        <f>'Unformatted Trip Summary'!H116</f>
        <v>1.908512478</v>
      </c>
    </row>
    <row r="119" spans="1:8" x14ac:dyDescent="0.25">
      <c r="A119" t="str">
        <f>'Unformatted Trip Summary'!A117</f>
        <v>02 AUCKLAND</v>
      </c>
      <c r="B119" t="str">
        <f>'Unformatted Trip Summary'!J117</f>
        <v>2027/28</v>
      </c>
      <c r="C119" t="str">
        <f>'Unformatted Trip Summary'!I117</f>
        <v>Motorcyclist</v>
      </c>
      <c r="D119">
        <f>'Unformatted Trip Summary'!D117</f>
        <v>15</v>
      </c>
      <c r="E119">
        <f>'Unformatted Trip Summary'!E117</f>
        <v>69</v>
      </c>
      <c r="F119" s="1">
        <f>'Unformatted Trip Summary'!F117</f>
        <v>5.7890965128999996</v>
      </c>
      <c r="G119" s="1">
        <f>'Unformatted Trip Summary'!G117</f>
        <v>56.260513623999998</v>
      </c>
      <c r="H119" s="1">
        <f>'Unformatted Trip Summary'!H117</f>
        <v>2.0802298845</v>
      </c>
    </row>
    <row r="120" spans="1:8" x14ac:dyDescent="0.25">
      <c r="A120" t="str">
        <f>'Unformatted Trip Summary'!A118</f>
        <v>02 AUCKLAND</v>
      </c>
      <c r="B120" t="str">
        <f>'Unformatted Trip Summary'!J118</f>
        <v>2032/33</v>
      </c>
      <c r="C120" t="str">
        <f>'Unformatted Trip Summary'!I118</f>
        <v>Motorcyclist</v>
      </c>
      <c r="D120">
        <f>'Unformatted Trip Summary'!D118</f>
        <v>15</v>
      </c>
      <c r="E120">
        <f>'Unformatted Trip Summary'!E118</f>
        <v>69</v>
      </c>
      <c r="F120" s="1">
        <f>'Unformatted Trip Summary'!F118</f>
        <v>6.3308758220000003</v>
      </c>
      <c r="G120" s="1">
        <f>'Unformatted Trip Summary'!G118</f>
        <v>60.020809297</v>
      </c>
      <c r="H120" s="1">
        <f>'Unformatted Trip Summary'!H118</f>
        <v>2.2500069091000001</v>
      </c>
    </row>
    <row r="121" spans="1:8" x14ac:dyDescent="0.25">
      <c r="A121" t="str">
        <f>'Unformatted Trip Summary'!A119</f>
        <v>02 AUCKLAND</v>
      </c>
      <c r="B121" t="str">
        <f>'Unformatted Trip Summary'!J119</f>
        <v>2037/38</v>
      </c>
      <c r="C121" t="str">
        <f>'Unformatted Trip Summary'!I119</f>
        <v>Motorcyclist</v>
      </c>
      <c r="D121">
        <f>'Unformatted Trip Summary'!D119</f>
        <v>15</v>
      </c>
      <c r="E121">
        <f>'Unformatted Trip Summary'!E119</f>
        <v>69</v>
      </c>
      <c r="F121" s="1">
        <f>'Unformatted Trip Summary'!F119</f>
        <v>6.5466259148999999</v>
      </c>
      <c r="G121" s="1">
        <f>'Unformatted Trip Summary'!G119</f>
        <v>62.158337666000001</v>
      </c>
      <c r="H121" s="1">
        <f>'Unformatted Trip Summary'!H119</f>
        <v>2.3556532342000001</v>
      </c>
    </row>
    <row r="122" spans="1:8" x14ac:dyDescent="0.25">
      <c r="A122" t="str">
        <f>'Unformatted Trip Summary'!A120</f>
        <v>02 AUCKLAND</v>
      </c>
      <c r="B122" t="str">
        <f>'Unformatted Trip Summary'!J120</f>
        <v>2042/43</v>
      </c>
      <c r="C122" t="str">
        <f>'Unformatted Trip Summary'!I120</f>
        <v>Motorcyclist</v>
      </c>
      <c r="D122">
        <f>'Unformatted Trip Summary'!D120</f>
        <v>15</v>
      </c>
      <c r="E122">
        <f>'Unformatted Trip Summary'!E120</f>
        <v>69</v>
      </c>
      <c r="F122" s="1">
        <f>'Unformatted Trip Summary'!F120</f>
        <v>6.7158455575999998</v>
      </c>
      <c r="G122" s="1">
        <f>'Unformatted Trip Summary'!G120</f>
        <v>64.098417706999996</v>
      </c>
      <c r="H122" s="1">
        <f>'Unformatted Trip Summary'!H120</f>
        <v>2.4510354534999998</v>
      </c>
    </row>
    <row r="123" spans="1:8" x14ac:dyDescent="0.25">
      <c r="A123" t="str">
        <f>'Unformatted Trip Summary'!A121</f>
        <v>02 AUCKLAND</v>
      </c>
      <c r="B123" t="str">
        <f>'Unformatted Trip Summary'!J121</f>
        <v>2012/13</v>
      </c>
      <c r="C123" t="str">
        <f>'Unformatted Trip Summary'!I121</f>
        <v>Local Train</v>
      </c>
      <c r="D123">
        <f>'Unformatted Trip Summary'!D121</f>
        <v>83</v>
      </c>
      <c r="E123">
        <f>'Unformatted Trip Summary'!E121</f>
        <v>197</v>
      </c>
      <c r="F123" s="1">
        <f>'Unformatted Trip Summary'!F121</f>
        <v>10.588451037</v>
      </c>
      <c r="G123" s="1">
        <f>'Unformatted Trip Summary'!G121</f>
        <v>126.27968744</v>
      </c>
      <c r="H123" s="1">
        <f>'Unformatted Trip Summary'!H121</f>
        <v>4.2843438359999997</v>
      </c>
    </row>
    <row r="124" spans="1:8" x14ac:dyDescent="0.25">
      <c r="A124" t="str">
        <f>'Unformatted Trip Summary'!A122</f>
        <v>02 AUCKLAND</v>
      </c>
      <c r="B124" t="str">
        <f>'Unformatted Trip Summary'!J122</f>
        <v>2017/18</v>
      </c>
      <c r="C124" t="str">
        <f>'Unformatted Trip Summary'!I122</f>
        <v>Local Train</v>
      </c>
      <c r="D124">
        <f>'Unformatted Trip Summary'!D122</f>
        <v>83</v>
      </c>
      <c r="E124">
        <f>'Unformatted Trip Summary'!E122</f>
        <v>197</v>
      </c>
      <c r="F124" s="1">
        <f>'Unformatted Trip Summary'!F122</f>
        <v>11.772808704999999</v>
      </c>
      <c r="G124" s="1">
        <f>'Unformatted Trip Summary'!G122</f>
        <v>142.28315175</v>
      </c>
      <c r="H124" s="1">
        <f>'Unformatted Trip Summary'!H122</f>
        <v>4.8306178031</v>
      </c>
    </row>
    <row r="125" spans="1:8" x14ac:dyDescent="0.25">
      <c r="A125" t="str">
        <f>'Unformatted Trip Summary'!A123</f>
        <v>02 AUCKLAND</v>
      </c>
      <c r="B125" t="str">
        <f>'Unformatted Trip Summary'!J123</f>
        <v>2022/23</v>
      </c>
      <c r="C125" t="str">
        <f>'Unformatted Trip Summary'!I123</f>
        <v>Local Train</v>
      </c>
      <c r="D125">
        <f>'Unformatted Trip Summary'!D123</f>
        <v>83</v>
      </c>
      <c r="E125">
        <f>'Unformatted Trip Summary'!E123</f>
        <v>197</v>
      </c>
      <c r="F125" s="1">
        <f>'Unformatted Trip Summary'!F123</f>
        <v>12.518159804</v>
      </c>
      <c r="G125" s="1">
        <f>'Unformatted Trip Summary'!G123</f>
        <v>151.9895195</v>
      </c>
      <c r="H125" s="1">
        <f>'Unformatted Trip Summary'!H123</f>
        <v>5.1741002469000001</v>
      </c>
    </row>
    <row r="126" spans="1:8" x14ac:dyDescent="0.25">
      <c r="A126" t="str">
        <f>'Unformatted Trip Summary'!A124</f>
        <v>02 AUCKLAND</v>
      </c>
      <c r="B126" t="str">
        <f>'Unformatted Trip Summary'!J124</f>
        <v>2027/28</v>
      </c>
      <c r="C126" t="str">
        <f>'Unformatted Trip Summary'!I124</f>
        <v>Local Train</v>
      </c>
      <c r="D126">
        <f>'Unformatted Trip Summary'!D124</f>
        <v>83</v>
      </c>
      <c r="E126">
        <f>'Unformatted Trip Summary'!E124</f>
        <v>197</v>
      </c>
      <c r="F126" s="1">
        <f>'Unformatted Trip Summary'!F124</f>
        <v>13.117502877</v>
      </c>
      <c r="G126" s="1">
        <f>'Unformatted Trip Summary'!G124</f>
        <v>159.40260860999999</v>
      </c>
      <c r="H126" s="1">
        <f>'Unformatted Trip Summary'!H124</f>
        <v>5.4176460397000001</v>
      </c>
    </row>
    <row r="127" spans="1:8" x14ac:dyDescent="0.25">
      <c r="A127" t="str">
        <f>'Unformatted Trip Summary'!A125</f>
        <v>02 AUCKLAND</v>
      </c>
      <c r="B127" t="str">
        <f>'Unformatted Trip Summary'!J125</f>
        <v>2032/33</v>
      </c>
      <c r="C127" t="str">
        <f>'Unformatted Trip Summary'!I125</f>
        <v>Local Train</v>
      </c>
      <c r="D127">
        <f>'Unformatted Trip Summary'!D125</f>
        <v>83</v>
      </c>
      <c r="E127">
        <f>'Unformatted Trip Summary'!E125</f>
        <v>197</v>
      </c>
      <c r="F127" s="1">
        <f>'Unformatted Trip Summary'!F125</f>
        <v>13.542770880999999</v>
      </c>
      <c r="G127" s="1">
        <f>'Unformatted Trip Summary'!G125</f>
        <v>165.52680409000001</v>
      </c>
      <c r="H127" s="1">
        <f>'Unformatted Trip Summary'!H125</f>
        <v>5.5975750165000004</v>
      </c>
    </row>
    <row r="128" spans="1:8" x14ac:dyDescent="0.25">
      <c r="A128" t="str">
        <f>'Unformatted Trip Summary'!A126</f>
        <v>02 AUCKLAND</v>
      </c>
      <c r="B128" t="str">
        <f>'Unformatted Trip Summary'!J126</f>
        <v>2037/38</v>
      </c>
      <c r="C128" t="str">
        <f>'Unformatted Trip Summary'!I126</f>
        <v>Local Train</v>
      </c>
      <c r="D128">
        <f>'Unformatted Trip Summary'!D126</f>
        <v>83</v>
      </c>
      <c r="E128">
        <f>'Unformatted Trip Summary'!E126</f>
        <v>197</v>
      </c>
      <c r="F128" s="1">
        <f>'Unformatted Trip Summary'!F126</f>
        <v>13.739815186</v>
      </c>
      <c r="G128" s="1">
        <f>'Unformatted Trip Summary'!G126</f>
        <v>169.11231931</v>
      </c>
      <c r="H128" s="1">
        <f>'Unformatted Trip Summary'!H126</f>
        <v>5.7109897118999999</v>
      </c>
    </row>
    <row r="129" spans="1:8" x14ac:dyDescent="0.25">
      <c r="A129" t="str">
        <f>'Unformatted Trip Summary'!A127</f>
        <v>02 AUCKLAND</v>
      </c>
      <c r="B129" t="str">
        <f>'Unformatted Trip Summary'!J127</f>
        <v>2042/43</v>
      </c>
      <c r="C129" t="str">
        <f>'Unformatted Trip Summary'!I127</f>
        <v>Local Train</v>
      </c>
      <c r="D129">
        <f>'Unformatted Trip Summary'!D127</f>
        <v>83</v>
      </c>
      <c r="E129">
        <f>'Unformatted Trip Summary'!E127</f>
        <v>197</v>
      </c>
      <c r="F129" s="1">
        <f>'Unformatted Trip Summary'!F127</f>
        <v>13.822090773999999</v>
      </c>
      <c r="G129" s="1">
        <f>'Unformatted Trip Summary'!G127</f>
        <v>171.32241389000001</v>
      </c>
      <c r="H129" s="1">
        <f>'Unformatted Trip Summary'!H127</f>
        <v>5.7749043458999996</v>
      </c>
    </row>
    <row r="130" spans="1:8" x14ac:dyDescent="0.25">
      <c r="A130" t="str">
        <f>'Unformatted Trip Summary'!A128</f>
        <v>02 AUCKLAND</v>
      </c>
      <c r="B130" t="str">
        <f>'Unformatted Trip Summary'!J128</f>
        <v>2012/13</v>
      </c>
      <c r="C130" t="str">
        <f>'Unformatted Trip Summary'!I128</f>
        <v>Local Bus</v>
      </c>
      <c r="D130">
        <f>'Unformatted Trip Summary'!D128</f>
        <v>334</v>
      </c>
      <c r="E130">
        <f>'Unformatted Trip Summary'!E128</f>
        <v>882</v>
      </c>
      <c r="F130" s="1">
        <f>'Unformatted Trip Summary'!F128</f>
        <v>54.403429504999998</v>
      </c>
      <c r="G130" s="1">
        <f>'Unformatted Trip Summary'!G128</f>
        <v>439.27566032999999</v>
      </c>
      <c r="H130" s="1">
        <f>'Unformatted Trip Summary'!H128</f>
        <v>22.622672496</v>
      </c>
    </row>
    <row r="131" spans="1:8" x14ac:dyDescent="0.25">
      <c r="A131" t="str">
        <f>'Unformatted Trip Summary'!A129</f>
        <v>02 AUCKLAND</v>
      </c>
      <c r="B131" t="str">
        <f>'Unformatted Trip Summary'!J129</f>
        <v>2017/18</v>
      </c>
      <c r="C131" t="str">
        <f>'Unformatted Trip Summary'!I129</f>
        <v>Local Bus</v>
      </c>
      <c r="D131">
        <f>'Unformatted Trip Summary'!D129</f>
        <v>334</v>
      </c>
      <c r="E131">
        <f>'Unformatted Trip Summary'!E129</f>
        <v>882</v>
      </c>
      <c r="F131" s="1">
        <f>'Unformatted Trip Summary'!F129</f>
        <v>58.696895283000003</v>
      </c>
      <c r="G131" s="1">
        <f>'Unformatted Trip Summary'!G129</f>
        <v>478.77990081000002</v>
      </c>
      <c r="H131" s="1">
        <f>'Unformatted Trip Summary'!H129</f>
        <v>24.62897491</v>
      </c>
    </row>
    <row r="132" spans="1:8" x14ac:dyDescent="0.25">
      <c r="A132" t="str">
        <f>'Unformatted Trip Summary'!A130</f>
        <v>02 AUCKLAND</v>
      </c>
      <c r="B132" t="str">
        <f>'Unformatted Trip Summary'!J130</f>
        <v>2022/23</v>
      </c>
      <c r="C132" t="str">
        <f>'Unformatted Trip Summary'!I130</f>
        <v>Local Bus</v>
      </c>
      <c r="D132">
        <f>'Unformatted Trip Summary'!D130</f>
        <v>334</v>
      </c>
      <c r="E132">
        <f>'Unformatted Trip Summary'!E130</f>
        <v>882</v>
      </c>
      <c r="F132" s="1">
        <f>'Unformatted Trip Summary'!F130</f>
        <v>60.869013830999997</v>
      </c>
      <c r="G132" s="1">
        <f>'Unformatted Trip Summary'!G130</f>
        <v>499.04930562999999</v>
      </c>
      <c r="H132" s="1">
        <f>'Unformatted Trip Summary'!H130</f>
        <v>25.587975165</v>
      </c>
    </row>
    <row r="133" spans="1:8" x14ac:dyDescent="0.25">
      <c r="A133" t="str">
        <f>'Unformatted Trip Summary'!A131</f>
        <v>02 AUCKLAND</v>
      </c>
      <c r="B133" t="str">
        <f>'Unformatted Trip Summary'!J131</f>
        <v>2027/28</v>
      </c>
      <c r="C133" t="str">
        <f>'Unformatted Trip Summary'!I131</f>
        <v>Local Bus</v>
      </c>
      <c r="D133">
        <f>'Unformatted Trip Summary'!D131</f>
        <v>334</v>
      </c>
      <c r="E133">
        <f>'Unformatted Trip Summary'!E131</f>
        <v>882</v>
      </c>
      <c r="F133" s="1">
        <f>'Unformatted Trip Summary'!F131</f>
        <v>61.567793471999998</v>
      </c>
      <c r="G133" s="1">
        <f>'Unformatted Trip Summary'!G131</f>
        <v>509.52359158000002</v>
      </c>
      <c r="H133" s="1">
        <f>'Unformatted Trip Summary'!H131</f>
        <v>25.9615078</v>
      </c>
    </row>
    <row r="134" spans="1:8" x14ac:dyDescent="0.25">
      <c r="A134" t="str">
        <f>'Unformatted Trip Summary'!A132</f>
        <v>02 AUCKLAND</v>
      </c>
      <c r="B134" t="str">
        <f>'Unformatted Trip Summary'!J132</f>
        <v>2032/33</v>
      </c>
      <c r="C134" t="str">
        <f>'Unformatted Trip Summary'!I132</f>
        <v>Local Bus</v>
      </c>
      <c r="D134">
        <f>'Unformatted Trip Summary'!D132</f>
        <v>334</v>
      </c>
      <c r="E134">
        <f>'Unformatted Trip Summary'!E132</f>
        <v>882</v>
      </c>
      <c r="F134" s="1">
        <f>'Unformatted Trip Summary'!F132</f>
        <v>61.040067092999998</v>
      </c>
      <c r="G134" s="1">
        <f>'Unformatted Trip Summary'!G132</f>
        <v>508.78029996999999</v>
      </c>
      <c r="H134" s="1">
        <f>'Unformatted Trip Summary'!H132</f>
        <v>25.794363546</v>
      </c>
    </row>
    <row r="135" spans="1:8" x14ac:dyDescent="0.25">
      <c r="A135" t="str">
        <f>'Unformatted Trip Summary'!A133</f>
        <v>02 AUCKLAND</v>
      </c>
      <c r="B135" t="str">
        <f>'Unformatted Trip Summary'!J133</f>
        <v>2037/38</v>
      </c>
      <c r="C135" t="str">
        <f>'Unformatted Trip Summary'!I133</f>
        <v>Local Bus</v>
      </c>
      <c r="D135">
        <f>'Unformatted Trip Summary'!D133</f>
        <v>334</v>
      </c>
      <c r="E135">
        <f>'Unformatted Trip Summary'!E133</f>
        <v>882</v>
      </c>
      <c r="F135" s="1">
        <f>'Unformatted Trip Summary'!F133</f>
        <v>60.164320037000003</v>
      </c>
      <c r="G135" s="1">
        <f>'Unformatted Trip Summary'!G133</f>
        <v>506.05434568999999</v>
      </c>
      <c r="H135" s="1">
        <f>'Unformatted Trip Summary'!H133</f>
        <v>25.516570415</v>
      </c>
    </row>
    <row r="136" spans="1:8" x14ac:dyDescent="0.25">
      <c r="A136" t="str">
        <f>'Unformatted Trip Summary'!A134</f>
        <v>02 AUCKLAND</v>
      </c>
      <c r="B136" t="str">
        <f>'Unformatted Trip Summary'!J134</f>
        <v>2042/43</v>
      </c>
      <c r="C136" t="str">
        <f>'Unformatted Trip Summary'!I134</f>
        <v>Local Bus</v>
      </c>
      <c r="D136">
        <f>'Unformatted Trip Summary'!D134</f>
        <v>334</v>
      </c>
      <c r="E136">
        <f>'Unformatted Trip Summary'!E134</f>
        <v>882</v>
      </c>
      <c r="F136" s="1">
        <f>'Unformatted Trip Summary'!F134</f>
        <v>58.737581425000002</v>
      </c>
      <c r="G136" s="1">
        <f>'Unformatted Trip Summary'!G134</f>
        <v>498.97802371</v>
      </c>
      <c r="H136" s="1">
        <f>'Unformatted Trip Summary'!H134</f>
        <v>25.018416195</v>
      </c>
    </row>
    <row r="137" spans="1:8" x14ac:dyDescent="0.25">
      <c r="A137" t="str">
        <f>'Unformatted Trip Summary'!A135</f>
        <v>02 AUCKLAND</v>
      </c>
      <c r="B137" t="str">
        <f>'Unformatted Trip Summary'!J135</f>
        <v>2012/13</v>
      </c>
      <c r="C137" t="str">
        <f>'Unformatted Trip Summary'!I135</f>
        <v>Local Ferry</v>
      </c>
      <c r="D137">
        <f>'Unformatted Trip Summary'!D135</f>
        <v>33</v>
      </c>
      <c r="E137">
        <f>'Unformatted Trip Summary'!E135</f>
        <v>75</v>
      </c>
      <c r="F137" s="1">
        <f>'Unformatted Trip Summary'!F135</f>
        <v>4.3086283299000003</v>
      </c>
      <c r="G137" s="1">
        <f>'Unformatted Trip Summary'!G135</f>
        <v>0</v>
      </c>
      <c r="H137" s="1">
        <f>'Unformatted Trip Summary'!H135</f>
        <v>1.2124045342000001</v>
      </c>
    </row>
    <row r="138" spans="1:8" x14ac:dyDescent="0.25">
      <c r="A138" t="str">
        <f>'Unformatted Trip Summary'!A136</f>
        <v>02 AUCKLAND</v>
      </c>
      <c r="B138" t="str">
        <f>'Unformatted Trip Summary'!J136</f>
        <v>2017/18</v>
      </c>
      <c r="C138" t="str">
        <f>'Unformatted Trip Summary'!I136</f>
        <v>Local Ferry</v>
      </c>
      <c r="D138">
        <f>'Unformatted Trip Summary'!D136</f>
        <v>33</v>
      </c>
      <c r="E138">
        <f>'Unformatted Trip Summary'!E136</f>
        <v>75</v>
      </c>
      <c r="F138" s="1">
        <f>'Unformatted Trip Summary'!F136</f>
        <v>4.8955005111999998</v>
      </c>
      <c r="G138" s="1">
        <f>'Unformatted Trip Summary'!G136</f>
        <v>0</v>
      </c>
      <c r="H138" s="1">
        <f>'Unformatted Trip Summary'!H136</f>
        <v>1.3848572970999999</v>
      </c>
    </row>
    <row r="139" spans="1:8" x14ac:dyDescent="0.25">
      <c r="A139" t="str">
        <f>'Unformatted Trip Summary'!A137</f>
        <v>02 AUCKLAND</v>
      </c>
      <c r="B139" t="str">
        <f>'Unformatted Trip Summary'!J137</f>
        <v>2022/23</v>
      </c>
      <c r="C139" t="str">
        <f>'Unformatted Trip Summary'!I137</f>
        <v>Local Ferry</v>
      </c>
      <c r="D139">
        <f>'Unformatted Trip Summary'!D137</f>
        <v>33</v>
      </c>
      <c r="E139">
        <f>'Unformatted Trip Summary'!E137</f>
        <v>75</v>
      </c>
      <c r="F139" s="1">
        <f>'Unformatted Trip Summary'!F137</f>
        <v>5.3672243265999997</v>
      </c>
      <c r="G139" s="1">
        <f>'Unformatted Trip Summary'!G137</f>
        <v>0</v>
      </c>
      <c r="H139" s="1">
        <f>'Unformatted Trip Summary'!H137</f>
        <v>1.5098688897999999</v>
      </c>
    </row>
    <row r="140" spans="1:8" x14ac:dyDescent="0.25">
      <c r="A140" t="str">
        <f>'Unformatted Trip Summary'!A138</f>
        <v>02 AUCKLAND</v>
      </c>
      <c r="B140" t="str">
        <f>'Unformatted Trip Summary'!J138</f>
        <v>2027/28</v>
      </c>
      <c r="C140" t="str">
        <f>'Unformatted Trip Summary'!I138</f>
        <v>Local Ferry</v>
      </c>
      <c r="D140">
        <f>'Unformatted Trip Summary'!D138</f>
        <v>33</v>
      </c>
      <c r="E140">
        <f>'Unformatted Trip Summary'!E138</f>
        <v>75</v>
      </c>
      <c r="F140" s="1">
        <f>'Unformatted Trip Summary'!F138</f>
        <v>5.6606843005999998</v>
      </c>
      <c r="G140" s="1">
        <f>'Unformatted Trip Summary'!G138</f>
        <v>0</v>
      </c>
      <c r="H140" s="1">
        <f>'Unformatted Trip Summary'!H138</f>
        <v>1.5959026862000001</v>
      </c>
    </row>
    <row r="141" spans="1:8" x14ac:dyDescent="0.25">
      <c r="A141" t="str">
        <f>'Unformatted Trip Summary'!A139</f>
        <v>02 AUCKLAND</v>
      </c>
      <c r="B141" t="str">
        <f>'Unformatted Trip Summary'!J139</f>
        <v>2032/33</v>
      </c>
      <c r="C141" t="str">
        <f>'Unformatted Trip Summary'!I139</f>
        <v>Local Ferry</v>
      </c>
      <c r="D141">
        <f>'Unformatted Trip Summary'!D139</f>
        <v>33</v>
      </c>
      <c r="E141">
        <f>'Unformatted Trip Summary'!E139</f>
        <v>75</v>
      </c>
      <c r="F141" s="1">
        <f>'Unformatted Trip Summary'!F139</f>
        <v>5.8834432655000004</v>
      </c>
      <c r="G141" s="1">
        <f>'Unformatted Trip Summary'!G139</f>
        <v>0</v>
      </c>
      <c r="H141" s="1">
        <f>'Unformatted Trip Summary'!H139</f>
        <v>1.6664531492000001</v>
      </c>
    </row>
    <row r="142" spans="1:8" x14ac:dyDescent="0.25">
      <c r="A142" t="str">
        <f>'Unformatted Trip Summary'!A140</f>
        <v>02 AUCKLAND</v>
      </c>
      <c r="B142" t="str">
        <f>'Unformatted Trip Summary'!J140</f>
        <v>2037/38</v>
      </c>
      <c r="C142" t="str">
        <f>'Unformatted Trip Summary'!I140</f>
        <v>Local Ferry</v>
      </c>
      <c r="D142">
        <f>'Unformatted Trip Summary'!D140</f>
        <v>33</v>
      </c>
      <c r="E142">
        <f>'Unformatted Trip Summary'!E140</f>
        <v>75</v>
      </c>
      <c r="F142" s="1">
        <f>'Unformatted Trip Summary'!F140</f>
        <v>6.2514925118000004</v>
      </c>
      <c r="G142" s="1">
        <f>'Unformatted Trip Summary'!G140</f>
        <v>0</v>
      </c>
      <c r="H142" s="1">
        <f>'Unformatted Trip Summary'!H140</f>
        <v>1.7738648131000001</v>
      </c>
    </row>
    <row r="143" spans="1:8" x14ac:dyDescent="0.25">
      <c r="A143" t="str">
        <f>'Unformatted Trip Summary'!A141</f>
        <v>02 AUCKLAND</v>
      </c>
      <c r="B143" t="str">
        <f>'Unformatted Trip Summary'!J141</f>
        <v>2042/43</v>
      </c>
      <c r="C143" t="str">
        <f>'Unformatted Trip Summary'!I141</f>
        <v>Local Ferry</v>
      </c>
      <c r="D143">
        <f>'Unformatted Trip Summary'!D141</f>
        <v>33</v>
      </c>
      <c r="E143">
        <f>'Unformatted Trip Summary'!E141</f>
        <v>75</v>
      </c>
      <c r="F143" s="1">
        <f>'Unformatted Trip Summary'!F141</f>
        <v>6.5596065067999998</v>
      </c>
      <c r="G143" s="1">
        <f>'Unformatted Trip Summary'!G141</f>
        <v>0</v>
      </c>
      <c r="H143" s="1">
        <f>'Unformatted Trip Summary'!H141</f>
        <v>1.865466879</v>
      </c>
    </row>
    <row r="144" spans="1:8" x14ac:dyDescent="0.25">
      <c r="A144" t="str">
        <f>'Unformatted Trip Summary'!A142</f>
        <v>02 AUCKLAND</v>
      </c>
      <c r="B144" t="str">
        <f>'Unformatted Trip Summary'!J142</f>
        <v>2012/13</v>
      </c>
      <c r="C144" t="str">
        <f>'Unformatted Trip Summary'!I142</f>
        <v>Other Household Travel</v>
      </c>
      <c r="D144">
        <f>'Unformatted Trip Summary'!D142</f>
        <v>21</v>
      </c>
      <c r="E144">
        <f>'Unformatted Trip Summary'!E142</f>
        <v>52</v>
      </c>
      <c r="F144" s="1">
        <f>'Unformatted Trip Summary'!F142</f>
        <v>2.2145179384000002</v>
      </c>
      <c r="G144" s="1">
        <f>'Unformatted Trip Summary'!G142</f>
        <v>1.8241938706</v>
      </c>
      <c r="H144" s="1">
        <f>'Unformatted Trip Summary'!H142</f>
        <v>2.4325058500000001</v>
      </c>
    </row>
    <row r="145" spans="1:8" x14ac:dyDescent="0.25">
      <c r="A145" t="str">
        <f>'Unformatted Trip Summary'!A143</f>
        <v>02 AUCKLAND</v>
      </c>
      <c r="B145" t="str">
        <f>'Unformatted Trip Summary'!J143</f>
        <v>2017/18</v>
      </c>
      <c r="C145" t="str">
        <f>'Unformatted Trip Summary'!I143</f>
        <v>Other Household Travel</v>
      </c>
      <c r="D145">
        <f>'Unformatted Trip Summary'!D143</f>
        <v>21</v>
      </c>
      <c r="E145">
        <f>'Unformatted Trip Summary'!E143</f>
        <v>52</v>
      </c>
      <c r="F145" s="1">
        <f>'Unformatted Trip Summary'!F143</f>
        <v>2.4819497302000002</v>
      </c>
      <c r="G145" s="1">
        <f>'Unformatted Trip Summary'!G143</f>
        <v>1.8142999209999999</v>
      </c>
      <c r="H145" s="1">
        <f>'Unformatted Trip Summary'!H143</f>
        <v>2.8478125609</v>
      </c>
    </row>
    <row r="146" spans="1:8" x14ac:dyDescent="0.25">
      <c r="A146" t="str">
        <f>'Unformatted Trip Summary'!A144</f>
        <v>02 AUCKLAND</v>
      </c>
      <c r="B146" t="str">
        <f>'Unformatted Trip Summary'!J144</f>
        <v>2022/23</v>
      </c>
      <c r="C146" t="str">
        <f>'Unformatted Trip Summary'!I144</f>
        <v>Other Household Travel</v>
      </c>
      <c r="D146">
        <f>'Unformatted Trip Summary'!D144</f>
        <v>21</v>
      </c>
      <c r="E146">
        <f>'Unformatted Trip Summary'!E144</f>
        <v>52</v>
      </c>
      <c r="F146" s="1">
        <f>'Unformatted Trip Summary'!F144</f>
        <v>2.6817686563000001</v>
      </c>
      <c r="G146" s="1">
        <f>'Unformatted Trip Summary'!G144</f>
        <v>1.7346656834</v>
      </c>
      <c r="H146" s="1">
        <f>'Unformatted Trip Summary'!H144</f>
        <v>3.0745168120000002</v>
      </c>
    </row>
    <row r="147" spans="1:8" x14ac:dyDescent="0.25">
      <c r="A147" t="str">
        <f>'Unformatted Trip Summary'!A145</f>
        <v>02 AUCKLAND</v>
      </c>
      <c r="B147" t="str">
        <f>'Unformatted Trip Summary'!J145</f>
        <v>2027/28</v>
      </c>
      <c r="C147" t="str">
        <f>'Unformatted Trip Summary'!I145</f>
        <v>Other Household Travel</v>
      </c>
      <c r="D147">
        <f>'Unformatted Trip Summary'!D145</f>
        <v>21</v>
      </c>
      <c r="E147">
        <f>'Unformatted Trip Summary'!E145</f>
        <v>52</v>
      </c>
      <c r="F147" s="1">
        <f>'Unformatted Trip Summary'!F145</f>
        <v>2.8748728911999999</v>
      </c>
      <c r="G147" s="1">
        <f>'Unformatted Trip Summary'!G145</f>
        <v>2.0092229745000001</v>
      </c>
      <c r="H147" s="1">
        <f>'Unformatted Trip Summary'!H145</f>
        <v>3.1512956763000002</v>
      </c>
    </row>
    <row r="148" spans="1:8" x14ac:dyDescent="0.25">
      <c r="A148" t="str">
        <f>'Unformatted Trip Summary'!A146</f>
        <v>02 AUCKLAND</v>
      </c>
      <c r="B148" t="str">
        <f>'Unformatted Trip Summary'!J146</f>
        <v>2032/33</v>
      </c>
      <c r="C148" t="str">
        <f>'Unformatted Trip Summary'!I146</f>
        <v>Other Household Travel</v>
      </c>
      <c r="D148">
        <f>'Unformatted Trip Summary'!D146</f>
        <v>21</v>
      </c>
      <c r="E148">
        <f>'Unformatted Trip Summary'!E146</f>
        <v>52</v>
      </c>
      <c r="F148" s="1">
        <f>'Unformatted Trip Summary'!F146</f>
        <v>3.0554872954999999</v>
      </c>
      <c r="G148" s="1">
        <f>'Unformatted Trip Summary'!G146</f>
        <v>2.1640008936999999</v>
      </c>
      <c r="H148" s="1">
        <f>'Unformatted Trip Summary'!H146</f>
        <v>3.2519987989999999</v>
      </c>
    </row>
    <row r="149" spans="1:8" x14ac:dyDescent="0.25">
      <c r="A149" t="str">
        <f>'Unformatted Trip Summary'!A147</f>
        <v>02 AUCKLAND</v>
      </c>
      <c r="B149" t="str">
        <f>'Unformatted Trip Summary'!J147</f>
        <v>2037/38</v>
      </c>
      <c r="C149" t="str">
        <f>'Unformatted Trip Summary'!I147</f>
        <v>Other Household Travel</v>
      </c>
      <c r="D149">
        <f>'Unformatted Trip Summary'!D147</f>
        <v>21</v>
      </c>
      <c r="E149">
        <f>'Unformatted Trip Summary'!E147</f>
        <v>52</v>
      </c>
      <c r="F149" s="1">
        <f>'Unformatted Trip Summary'!F147</f>
        <v>3.2539136363000001</v>
      </c>
      <c r="G149" s="1">
        <f>'Unformatted Trip Summary'!G147</f>
        <v>2.1748583427999999</v>
      </c>
      <c r="H149" s="1">
        <f>'Unformatted Trip Summary'!H147</f>
        <v>3.4261473482000002</v>
      </c>
    </row>
    <row r="150" spans="1:8" x14ac:dyDescent="0.25">
      <c r="A150" t="str">
        <f>'Unformatted Trip Summary'!A148</f>
        <v>02 AUCKLAND</v>
      </c>
      <c r="B150" t="str">
        <f>'Unformatted Trip Summary'!J148</f>
        <v>2042/43</v>
      </c>
      <c r="C150" t="str">
        <f>'Unformatted Trip Summary'!I148</f>
        <v>Other Household Travel</v>
      </c>
      <c r="D150">
        <f>'Unformatted Trip Summary'!D148</f>
        <v>21</v>
      </c>
      <c r="E150">
        <f>'Unformatted Trip Summary'!E148</f>
        <v>52</v>
      </c>
      <c r="F150" s="1">
        <f>'Unformatted Trip Summary'!F148</f>
        <v>3.4451786977999999</v>
      </c>
      <c r="G150" s="1">
        <f>'Unformatted Trip Summary'!G148</f>
        <v>2.1361527591999998</v>
      </c>
      <c r="H150" s="1">
        <f>'Unformatted Trip Summary'!H148</f>
        <v>3.5962620317999998</v>
      </c>
    </row>
    <row r="151" spans="1:8" x14ac:dyDescent="0.25">
      <c r="A151" t="str">
        <f>'Unformatted Trip Summary'!A149</f>
        <v>02 AUCKLAND</v>
      </c>
      <c r="B151" t="str">
        <f>'Unformatted Trip Summary'!J149</f>
        <v>2012/13</v>
      </c>
      <c r="C151" t="str">
        <f>'Unformatted Trip Summary'!I149</f>
        <v>Air/Non-Local PT</v>
      </c>
      <c r="D151">
        <f>'Unformatted Trip Summary'!D149</f>
        <v>46</v>
      </c>
      <c r="E151">
        <f>'Unformatted Trip Summary'!E149</f>
        <v>52</v>
      </c>
      <c r="F151" s="1">
        <f>'Unformatted Trip Summary'!F149</f>
        <v>2.8879196329000001</v>
      </c>
      <c r="G151" s="1">
        <f>'Unformatted Trip Summary'!G149</f>
        <v>37.321781539</v>
      </c>
      <c r="H151" s="1">
        <f>'Unformatted Trip Summary'!H149</f>
        <v>5.1213278228999997</v>
      </c>
    </row>
    <row r="152" spans="1:8" x14ac:dyDescent="0.25">
      <c r="A152" t="str">
        <f>'Unformatted Trip Summary'!A150</f>
        <v>02 AUCKLAND</v>
      </c>
      <c r="B152" t="str">
        <f>'Unformatted Trip Summary'!J150</f>
        <v>2017/18</v>
      </c>
      <c r="C152" t="str">
        <f>'Unformatted Trip Summary'!I150</f>
        <v>Air/Non-Local PT</v>
      </c>
      <c r="D152">
        <f>'Unformatted Trip Summary'!D150</f>
        <v>46</v>
      </c>
      <c r="E152">
        <f>'Unformatted Trip Summary'!E150</f>
        <v>52</v>
      </c>
      <c r="F152" s="1">
        <f>'Unformatted Trip Summary'!F150</f>
        <v>3.6253390777000001</v>
      </c>
      <c r="G152" s="1">
        <f>'Unformatted Trip Summary'!G150</f>
        <v>44.160615550999999</v>
      </c>
      <c r="H152" s="1">
        <f>'Unformatted Trip Summary'!H150</f>
        <v>6.3644454560000003</v>
      </c>
    </row>
    <row r="153" spans="1:8" x14ac:dyDescent="0.25">
      <c r="A153" t="str">
        <f>'Unformatted Trip Summary'!A151</f>
        <v>02 AUCKLAND</v>
      </c>
      <c r="B153" t="str">
        <f>'Unformatted Trip Summary'!J151</f>
        <v>2022/23</v>
      </c>
      <c r="C153" t="str">
        <f>'Unformatted Trip Summary'!I151</f>
        <v>Air/Non-Local PT</v>
      </c>
      <c r="D153">
        <f>'Unformatted Trip Summary'!D151</f>
        <v>46</v>
      </c>
      <c r="E153">
        <f>'Unformatted Trip Summary'!E151</f>
        <v>52</v>
      </c>
      <c r="F153" s="1">
        <f>'Unformatted Trip Summary'!F151</f>
        <v>4.1760120080999998</v>
      </c>
      <c r="G153" s="1">
        <f>'Unformatted Trip Summary'!G151</f>
        <v>49.320631413000001</v>
      </c>
      <c r="H153" s="1">
        <f>'Unformatted Trip Summary'!H151</f>
        <v>7.2648962681000002</v>
      </c>
    </row>
    <row r="154" spans="1:8" x14ac:dyDescent="0.25">
      <c r="A154" t="str">
        <f>'Unformatted Trip Summary'!A152</f>
        <v>02 AUCKLAND</v>
      </c>
      <c r="B154" t="str">
        <f>'Unformatted Trip Summary'!J152</f>
        <v>2027/28</v>
      </c>
      <c r="C154" t="str">
        <f>'Unformatted Trip Summary'!I152</f>
        <v>Air/Non-Local PT</v>
      </c>
      <c r="D154">
        <f>'Unformatted Trip Summary'!D152</f>
        <v>46</v>
      </c>
      <c r="E154">
        <f>'Unformatted Trip Summary'!E152</f>
        <v>52</v>
      </c>
      <c r="F154" s="1">
        <f>'Unformatted Trip Summary'!F152</f>
        <v>4.6437226107000003</v>
      </c>
      <c r="G154" s="1">
        <f>'Unformatted Trip Summary'!G152</f>
        <v>52.560538303000001</v>
      </c>
      <c r="H154" s="1">
        <f>'Unformatted Trip Summary'!H152</f>
        <v>7.9932608074999996</v>
      </c>
    </row>
    <row r="155" spans="1:8" x14ac:dyDescent="0.25">
      <c r="A155" t="str">
        <f>'Unformatted Trip Summary'!A153</f>
        <v>02 AUCKLAND</v>
      </c>
      <c r="B155" t="str">
        <f>'Unformatted Trip Summary'!J153</f>
        <v>2032/33</v>
      </c>
      <c r="C155" t="str">
        <f>'Unformatted Trip Summary'!I153</f>
        <v>Air/Non-Local PT</v>
      </c>
      <c r="D155">
        <f>'Unformatted Trip Summary'!D153</f>
        <v>46</v>
      </c>
      <c r="E155">
        <f>'Unformatted Trip Summary'!E153</f>
        <v>52</v>
      </c>
      <c r="F155" s="1">
        <f>'Unformatted Trip Summary'!F153</f>
        <v>5.1620605131000001</v>
      </c>
      <c r="G155" s="1">
        <f>'Unformatted Trip Summary'!G153</f>
        <v>53.798778755999997</v>
      </c>
      <c r="H155" s="1">
        <f>'Unformatted Trip Summary'!H153</f>
        <v>8.8351298600000003</v>
      </c>
    </row>
    <row r="156" spans="1:8" x14ac:dyDescent="0.25">
      <c r="A156" t="str">
        <f>'Unformatted Trip Summary'!A154</f>
        <v>02 AUCKLAND</v>
      </c>
      <c r="B156" t="str">
        <f>'Unformatted Trip Summary'!J154</f>
        <v>2037/38</v>
      </c>
      <c r="C156" t="str">
        <f>'Unformatted Trip Summary'!I154</f>
        <v>Air/Non-Local PT</v>
      </c>
      <c r="D156">
        <f>'Unformatted Trip Summary'!D154</f>
        <v>46</v>
      </c>
      <c r="E156">
        <f>'Unformatted Trip Summary'!E154</f>
        <v>52</v>
      </c>
      <c r="F156" s="1">
        <f>'Unformatted Trip Summary'!F154</f>
        <v>5.7355815082000001</v>
      </c>
      <c r="G156" s="1">
        <f>'Unformatted Trip Summary'!G154</f>
        <v>58.051037495000003</v>
      </c>
      <c r="H156" s="1">
        <f>'Unformatted Trip Summary'!H154</f>
        <v>9.8244199163000001</v>
      </c>
    </row>
    <row r="157" spans="1:8" x14ac:dyDescent="0.25">
      <c r="A157" t="str">
        <f>'Unformatted Trip Summary'!A155</f>
        <v>02 AUCKLAND</v>
      </c>
      <c r="B157" t="str">
        <f>'Unformatted Trip Summary'!J155</f>
        <v>2042/43</v>
      </c>
      <c r="C157" t="str">
        <f>'Unformatted Trip Summary'!I155</f>
        <v>Air/Non-Local PT</v>
      </c>
      <c r="D157">
        <f>'Unformatted Trip Summary'!D155</f>
        <v>46</v>
      </c>
      <c r="E157">
        <f>'Unformatted Trip Summary'!E155</f>
        <v>52</v>
      </c>
      <c r="F157" s="1">
        <f>'Unformatted Trip Summary'!F155</f>
        <v>6.3163954517000001</v>
      </c>
      <c r="G157" s="1">
        <f>'Unformatted Trip Summary'!G155</f>
        <v>62.990539380999998</v>
      </c>
      <c r="H157" s="1">
        <f>'Unformatted Trip Summary'!H155</f>
        <v>10.829211659</v>
      </c>
    </row>
    <row r="158" spans="1:8" x14ac:dyDescent="0.25">
      <c r="A158" t="str">
        <f>'Unformatted Trip Summary'!A156</f>
        <v>02 AUCKLAND</v>
      </c>
      <c r="B158" t="str">
        <f>'Unformatted Trip Summary'!J156</f>
        <v>2012/13</v>
      </c>
      <c r="C158" t="str">
        <f>'Unformatted Trip Summary'!I156</f>
        <v>Non-Household Travel</v>
      </c>
      <c r="D158">
        <f>'Unformatted Trip Summary'!D156</f>
        <v>49</v>
      </c>
      <c r="E158">
        <f>'Unformatted Trip Summary'!E156</f>
        <v>220</v>
      </c>
      <c r="F158" s="1">
        <f>'Unformatted Trip Summary'!F156</f>
        <v>12.895006201999999</v>
      </c>
      <c r="G158" s="1">
        <f>'Unformatted Trip Summary'!G156</f>
        <v>179.51641304</v>
      </c>
      <c r="H158" s="1">
        <f>'Unformatted Trip Summary'!H156</f>
        <v>5.2074041506000004</v>
      </c>
    </row>
    <row r="159" spans="1:8" x14ac:dyDescent="0.25">
      <c r="A159" t="str">
        <f>'Unformatted Trip Summary'!A157</f>
        <v>02 AUCKLAND</v>
      </c>
      <c r="B159" t="str">
        <f>'Unformatted Trip Summary'!J157</f>
        <v>2017/18</v>
      </c>
      <c r="C159" t="str">
        <f>'Unformatted Trip Summary'!I157</f>
        <v>Non-Household Travel</v>
      </c>
      <c r="D159">
        <f>'Unformatted Trip Summary'!D157</f>
        <v>49</v>
      </c>
      <c r="E159">
        <f>'Unformatted Trip Summary'!E157</f>
        <v>220</v>
      </c>
      <c r="F159" s="1">
        <f>'Unformatted Trip Summary'!F157</f>
        <v>14.269898961999999</v>
      </c>
      <c r="G159" s="1">
        <f>'Unformatted Trip Summary'!G157</f>
        <v>195.53655961999999</v>
      </c>
      <c r="H159" s="1">
        <f>'Unformatted Trip Summary'!H157</f>
        <v>5.7255063754000002</v>
      </c>
    </row>
    <row r="160" spans="1:8" x14ac:dyDescent="0.25">
      <c r="A160" t="str">
        <f>'Unformatted Trip Summary'!A158</f>
        <v>02 AUCKLAND</v>
      </c>
      <c r="B160" t="str">
        <f>'Unformatted Trip Summary'!J158</f>
        <v>2022/23</v>
      </c>
      <c r="C160" t="str">
        <f>'Unformatted Trip Summary'!I158</f>
        <v>Non-Household Travel</v>
      </c>
      <c r="D160">
        <f>'Unformatted Trip Summary'!D158</f>
        <v>49</v>
      </c>
      <c r="E160">
        <f>'Unformatted Trip Summary'!E158</f>
        <v>220</v>
      </c>
      <c r="F160" s="1">
        <f>'Unformatted Trip Summary'!F158</f>
        <v>15.119972141</v>
      </c>
      <c r="G160" s="1">
        <f>'Unformatted Trip Summary'!G158</f>
        <v>204.78646727</v>
      </c>
      <c r="H160" s="1">
        <f>'Unformatted Trip Summary'!H158</f>
        <v>6.0185847973</v>
      </c>
    </row>
    <row r="161" spans="1:8" x14ac:dyDescent="0.25">
      <c r="A161" t="str">
        <f>'Unformatted Trip Summary'!A159</f>
        <v>02 AUCKLAND</v>
      </c>
      <c r="B161" t="str">
        <f>'Unformatted Trip Summary'!J159</f>
        <v>2027/28</v>
      </c>
      <c r="C161" t="str">
        <f>'Unformatted Trip Summary'!I159</f>
        <v>Non-Household Travel</v>
      </c>
      <c r="D161">
        <f>'Unformatted Trip Summary'!D159</f>
        <v>49</v>
      </c>
      <c r="E161">
        <f>'Unformatted Trip Summary'!E159</f>
        <v>220</v>
      </c>
      <c r="F161" s="1">
        <f>'Unformatted Trip Summary'!F159</f>
        <v>15.606446252</v>
      </c>
      <c r="G161" s="1">
        <f>'Unformatted Trip Summary'!G159</f>
        <v>208.93073869</v>
      </c>
      <c r="H161" s="1">
        <f>'Unformatted Trip Summary'!H159</f>
        <v>6.1488959158999998</v>
      </c>
    </row>
    <row r="162" spans="1:8" x14ac:dyDescent="0.25">
      <c r="A162" t="str">
        <f>'Unformatted Trip Summary'!A160</f>
        <v>02 AUCKLAND</v>
      </c>
      <c r="B162" t="str">
        <f>'Unformatted Trip Summary'!J160</f>
        <v>2032/33</v>
      </c>
      <c r="C162" t="str">
        <f>'Unformatted Trip Summary'!I160</f>
        <v>Non-Household Travel</v>
      </c>
      <c r="D162">
        <f>'Unformatted Trip Summary'!D160</f>
        <v>49</v>
      </c>
      <c r="E162">
        <f>'Unformatted Trip Summary'!E160</f>
        <v>220</v>
      </c>
      <c r="F162" s="1">
        <f>'Unformatted Trip Summary'!F160</f>
        <v>16.282557100999998</v>
      </c>
      <c r="G162" s="1">
        <f>'Unformatted Trip Summary'!G160</f>
        <v>215.50164715</v>
      </c>
      <c r="H162" s="1">
        <f>'Unformatted Trip Summary'!H160</f>
        <v>6.3807271770999998</v>
      </c>
    </row>
    <row r="163" spans="1:8" x14ac:dyDescent="0.25">
      <c r="A163" t="str">
        <f>'Unformatted Trip Summary'!A161</f>
        <v>02 AUCKLAND</v>
      </c>
      <c r="B163" t="str">
        <f>'Unformatted Trip Summary'!J161</f>
        <v>2037/38</v>
      </c>
      <c r="C163" t="str">
        <f>'Unformatted Trip Summary'!I161</f>
        <v>Non-Household Travel</v>
      </c>
      <c r="D163">
        <f>'Unformatted Trip Summary'!D161</f>
        <v>49</v>
      </c>
      <c r="E163">
        <f>'Unformatted Trip Summary'!E161</f>
        <v>220</v>
      </c>
      <c r="F163" s="1">
        <f>'Unformatted Trip Summary'!F161</f>
        <v>17.176481280000001</v>
      </c>
      <c r="G163" s="1">
        <f>'Unformatted Trip Summary'!G161</f>
        <v>225.52970877999999</v>
      </c>
      <c r="H163" s="1">
        <f>'Unformatted Trip Summary'!H161</f>
        <v>6.7040282923000003</v>
      </c>
    </row>
    <row r="164" spans="1:8" x14ac:dyDescent="0.25">
      <c r="A164" t="str">
        <f>'Unformatted Trip Summary'!A162</f>
        <v>02 AUCKLAND</v>
      </c>
      <c r="B164" t="str">
        <f>'Unformatted Trip Summary'!J162</f>
        <v>2042/43</v>
      </c>
      <c r="C164" t="str">
        <f>'Unformatted Trip Summary'!I162</f>
        <v>Non-Household Travel</v>
      </c>
      <c r="D164">
        <f>'Unformatted Trip Summary'!D162</f>
        <v>49</v>
      </c>
      <c r="E164">
        <f>'Unformatted Trip Summary'!E162</f>
        <v>220</v>
      </c>
      <c r="F164" s="1">
        <f>'Unformatted Trip Summary'!F162</f>
        <v>17.955841285000002</v>
      </c>
      <c r="G164" s="1">
        <f>'Unformatted Trip Summary'!G162</f>
        <v>233.98925068</v>
      </c>
      <c r="H164" s="1">
        <f>'Unformatted Trip Summary'!H162</f>
        <v>6.9875755765000003</v>
      </c>
    </row>
    <row r="165" spans="1:8" x14ac:dyDescent="0.25">
      <c r="A165" t="str">
        <f>'Unformatted Trip Summary'!A163</f>
        <v>03 WAIKATO</v>
      </c>
      <c r="B165" t="str">
        <f>'Unformatted Trip Summary'!J163</f>
        <v>2012/13</v>
      </c>
      <c r="C165" t="str">
        <f>'Unformatted Trip Summary'!I163</f>
        <v>Pedestrian</v>
      </c>
      <c r="D165">
        <f>'Unformatted Trip Summary'!D163</f>
        <v>628</v>
      </c>
      <c r="E165">
        <f>'Unformatted Trip Summary'!E163</f>
        <v>2089</v>
      </c>
      <c r="F165" s="1">
        <f>'Unformatted Trip Summary'!F163</f>
        <v>68.689195601999998</v>
      </c>
      <c r="G165" s="1">
        <f>'Unformatted Trip Summary'!G163</f>
        <v>52.675735545000002</v>
      </c>
      <c r="H165" s="1">
        <f>'Unformatted Trip Summary'!H163</f>
        <v>13.69170819</v>
      </c>
    </row>
    <row r="166" spans="1:8" x14ac:dyDescent="0.25">
      <c r="A166" t="str">
        <f>'Unformatted Trip Summary'!A164</f>
        <v>03 WAIKATO</v>
      </c>
      <c r="B166" t="str">
        <f>'Unformatted Trip Summary'!J164</f>
        <v>2017/18</v>
      </c>
      <c r="C166" t="str">
        <f>'Unformatted Trip Summary'!I164</f>
        <v>Pedestrian</v>
      </c>
      <c r="D166">
        <f>'Unformatted Trip Summary'!D164</f>
        <v>628</v>
      </c>
      <c r="E166">
        <f>'Unformatted Trip Summary'!E164</f>
        <v>2089</v>
      </c>
      <c r="F166" s="1">
        <f>'Unformatted Trip Summary'!F164</f>
        <v>72.506485991000005</v>
      </c>
      <c r="G166" s="1">
        <f>'Unformatted Trip Summary'!G164</f>
        <v>55.406616696</v>
      </c>
      <c r="H166" s="1">
        <f>'Unformatted Trip Summary'!H164</f>
        <v>14.357342766</v>
      </c>
    </row>
    <row r="167" spans="1:8" x14ac:dyDescent="0.25">
      <c r="A167" t="str">
        <f>'Unformatted Trip Summary'!A165</f>
        <v>03 WAIKATO</v>
      </c>
      <c r="B167" t="str">
        <f>'Unformatted Trip Summary'!J165</f>
        <v>2022/23</v>
      </c>
      <c r="C167" t="str">
        <f>'Unformatted Trip Summary'!I165</f>
        <v>Pedestrian</v>
      </c>
      <c r="D167">
        <f>'Unformatted Trip Summary'!D165</f>
        <v>628</v>
      </c>
      <c r="E167">
        <f>'Unformatted Trip Summary'!E165</f>
        <v>2089</v>
      </c>
      <c r="F167" s="1">
        <f>'Unformatted Trip Summary'!F165</f>
        <v>74.751320499000002</v>
      </c>
      <c r="G167" s="1">
        <f>'Unformatted Trip Summary'!G165</f>
        <v>57.085431043</v>
      </c>
      <c r="H167" s="1">
        <f>'Unformatted Trip Summary'!H165</f>
        <v>14.771664960000001</v>
      </c>
    </row>
    <row r="168" spans="1:8" x14ac:dyDescent="0.25">
      <c r="A168" t="str">
        <f>'Unformatted Trip Summary'!A166</f>
        <v>03 WAIKATO</v>
      </c>
      <c r="B168" t="str">
        <f>'Unformatted Trip Summary'!J166</f>
        <v>2027/28</v>
      </c>
      <c r="C168" t="str">
        <f>'Unformatted Trip Summary'!I166</f>
        <v>Pedestrian</v>
      </c>
      <c r="D168">
        <f>'Unformatted Trip Summary'!D166</f>
        <v>628</v>
      </c>
      <c r="E168">
        <f>'Unformatted Trip Summary'!E166</f>
        <v>2089</v>
      </c>
      <c r="F168" s="1">
        <f>'Unformatted Trip Summary'!F166</f>
        <v>76.641057734</v>
      </c>
      <c r="G168" s="1">
        <f>'Unformatted Trip Summary'!G166</f>
        <v>58.031914768</v>
      </c>
      <c r="H168" s="1">
        <f>'Unformatted Trip Summary'!H166</f>
        <v>14.987517242999999</v>
      </c>
    </row>
    <row r="169" spans="1:8" x14ac:dyDescent="0.25">
      <c r="A169" t="str">
        <f>'Unformatted Trip Summary'!A167</f>
        <v>03 WAIKATO</v>
      </c>
      <c r="B169" t="str">
        <f>'Unformatted Trip Summary'!J167</f>
        <v>2032/33</v>
      </c>
      <c r="C169" t="str">
        <f>'Unformatted Trip Summary'!I167</f>
        <v>Pedestrian</v>
      </c>
      <c r="D169">
        <f>'Unformatted Trip Summary'!D167</f>
        <v>628</v>
      </c>
      <c r="E169">
        <f>'Unformatted Trip Summary'!E167</f>
        <v>2089</v>
      </c>
      <c r="F169" s="1">
        <f>'Unformatted Trip Summary'!F167</f>
        <v>77.794420815999999</v>
      </c>
      <c r="G169" s="1">
        <f>'Unformatted Trip Summary'!G167</f>
        <v>58.309579812999999</v>
      </c>
      <c r="H169" s="1">
        <f>'Unformatted Trip Summary'!H167</f>
        <v>15.066862043</v>
      </c>
    </row>
    <row r="170" spans="1:8" x14ac:dyDescent="0.25">
      <c r="A170" t="str">
        <f>'Unformatted Trip Summary'!A168</f>
        <v>03 WAIKATO</v>
      </c>
      <c r="B170" t="str">
        <f>'Unformatted Trip Summary'!J168</f>
        <v>2037/38</v>
      </c>
      <c r="C170" t="str">
        <f>'Unformatted Trip Summary'!I168</f>
        <v>Pedestrian</v>
      </c>
      <c r="D170">
        <f>'Unformatted Trip Summary'!D168</f>
        <v>628</v>
      </c>
      <c r="E170">
        <f>'Unformatted Trip Summary'!E168</f>
        <v>2089</v>
      </c>
      <c r="F170" s="1">
        <f>'Unformatted Trip Summary'!F168</f>
        <v>78.090368112999997</v>
      </c>
      <c r="G170" s="1">
        <f>'Unformatted Trip Summary'!G168</f>
        <v>58.300039781000002</v>
      </c>
      <c r="H170" s="1">
        <f>'Unformatted Trip Summary'!H168</f>
        <v>15.025476077</v>
      </c>
    </row>
    <row r="171" spans="1:8" x14ac:dyDescent="0.25">
      <c r="A171" t="str">
        <f>'Unformatted Trip Summary'!A169</f>
        <v>03 WAIKATO</v>
      </c>
      <c r="B171" t="str">
        <f>'Unformatted Trip Summary'!J169</f>
        <v>2042/43</v>
      </c>
      <c r="C171" t="str">
        <f>'Unformatted Trip Summary'!I169</f>
        <v>Pedestrian</v>
      </c>
      <c r="D171">
        <f>'Unformatted Trip Summary'!D169</f>
        <v>628</v>
      </c>
      <c r="E171">
        <f>'Unformatted Trip Summary'!E169</f>
        <v>2089</v>
      </c>
      <c r="F171" s="1">
        <f>'Unformatted Trip Summary'!F169</f>
        <v>78.092554774999996</v>
      </c>
      <c r="G171" s="1">
        <f>'Unformatted Trip Summary'!G169</f>
        <v>58.104213882000003</v>
      </c>
      <c r="H171" s="1">
        <f>'Unformatted Trip Summary'!H169</f>
        <v>14.928543499</v>
      </c>
    </row>
    <row r="172" spans="1:8" x14ac:dyDescent="0.25">
      <c r="A172" t="str">
        <f>'Unformatted Trip Summary'!A170</f>
        <v>03 WAIKATO</v>
      </c>
      <c r="B172" t="str">
        <f>'Unformatted Trip Summary'!J170</f>
        <v>2012/13</v>
      </c>
      <c r="C172" t="str">
        <f>'Unformatted Trip Summary'!I170</f>
        <v>Cyclist</v>
      </c>
      <c r="D172">
        <f>'Unformatted Trip Summary'!D170</f>
        <v>60</v>
      </c>
      <c r="E172">
        <f>'Unformatted Trip Summary'!E170</f>
        <v>183</v>
      </c>
      <c r="F172" s="1">
        <f>'Unformatted Trip Summary'!F170</f>
        <v>5.8956498267999997</v>
      </c>
      <c r="G172" s="1">
        <f>'Unformatted Trip Summary'!G170</f>
        <v>21.829422874999999</v>
      </c>
      <c r="H172" s="1">
        <f>'Unformatted Trip Summary'!H170</f>
        <v>1.7805943500000001</v>
      </c>
    </row>
    <row r="173" spans="1:8" x14ac:dyDescent="0.25">
      <c r="A173" t="str">
        <f>'Unformatted Trip Summary'!A171</f>
        <v>03 WAIKATO</v>
      </c>
      <c r="B173" t="str">
        <f>'Unformatted Trip Summary'!J171</f>
        <v>2017/18</v>
      </c>
      <c r="C173" t="str">
        <f>'Unformatted Trip Summary'!I171</f>
        <v>Cyclist</v>
      </c>
      <c r="D173">
        <f>'Unformatted Trip Summary'!D171</f>
        <v>60</v>
      </c>
      <c r="E173">
        <f>'Unformatted Trip Summary'!E171</f>
        <v>183</v>
      </c>
      <c r="F173" s="1">
        <f>'Unformatted Trip Summary'!F171</f>
        <v>6.2103844125999998</v>
      </c>
      <c r="G173" s="1">
        <f>'Unformatted Trip Summary'!G171</f>
        <v>22.705936718</v>
      </c>
      <c r="H173" s="1">
        <f>'Unformatted Trip Summary'!H171</f>
        <v>1.8936220923</v>
      </c>
    </row>
    <row r="174" spans="1:8" x14ac:dyDescent="0.25">
      <c r="A174" t="str">
        <f>'Unformatted Trip Summary'!A172</f>
        <v>03 WAIKATO</v>
      </c>
      <c r="B174" t="str">
        <f>'Unformatted Trip Summary'!J172</f>
        <v>2022/23</v>
      </c>
      <c r="C174" t="str">
        <f>'Unformatted Trip Summary'!I172</f>
        <v>Cyclist</v>
      </c>
      <c r="D174">
        <f>'Unformatted Trip Summary'!D172</f>
        <v>60</v>
      </c>
      <c r="E174">
        <f>'Unformatted Trip Summary'!E172</f>
        <v>183</v>
      </c>
      <c r="F174" s="1">
        <f>'Unformatted Trip Summary'!F172</f>
        <v>6.5298013027000001</v>
      </c>
      <c r="G174" s="1">
        <f>'Unformatted Trip Summary'!G172</f>
        <v>23.418774751000001</v>
      </c>
      <c r="H174" s="1">
        <f>'Unformatted Trip Summary'!H172</f>
        <v>1.9994453813999999</v>
      </c>
    </row>
    <row r="175" spans="1:8" x14ac:dyDescent="0.25">
      <c r="A175" t="str">
        <f>'Unformatted Trip Summary'!A173</f>
        <v>03 WAIKATO</v>
      </c>
      <c r="B175" t="str">
        <f>'Unformatted Trip Summary'!J173</f>
        <v>2027/28</v>
      </c>
      <c r="C175" t="str">
        <f>'Unformatted Trip Summary'!I173</f>
        <v>Cyclist</v>
      </c>
      <c r="D175">
        <f>'Unformatted Trip Summary'!D173</f>
        <v>60</v>
      </c>
      <c r="E175">
        <f>'Unformatted Trip Summary'!E173</f>
        <v>183</v>
      </c>
      <c r="F175" s="1">
        <f>'Unformatted Trip Summary'!F173</f>
        <v>6.7146378758000003</v>
      </c>
      <c r="G175" s="1">
        <f>'Unformatted Trip Summary'!G173</f>
        <v>23.612433871</v>
      </c>
      <c r="H175" s="1">
        <f>'Unformatted Trip Summary'!H173</f>
        <v>2.0528644739000002</v>
      </c>
    </row>
    <row r="176" spans="1:8" x14ac:dyDescent="0.25">
      <c r="A176" t="str">
        <f>'Unformatted Trip Summary'!A174</f>
        <v>03 WAIKATO</v>
      </c>
      <c r="B176" t="str">
        <f>'Unformatted Trip Summary'!J174</f>
        <v>2032/33</v>
      </c>
      <c r="C176" t="str">
        <f>'Unformatted Trip Summary'!I174</f>
        <v>Cyclist</v>
      </c>
      <c r="D176">
        <f>'Unformatted Trip Summary'!D174</f>
        <v>60</v>
      </c>
      <c r="E176">
        <f>'Unformatted Trip Summary'!E174</f>
        <v>183</v>
      </c>
      <c r="F176" s="1">
        <f>'Unformatted Trip Summary'!F174</f>
        <v>6.9362837576</v>
      </c>
      <c r="G176" s="1">
        <f>'Unformatted Trip Summary'!G174</f>
        <v>23.862754649999999</v>
      </c>
      <c r="H176" s="1">
        <f>'Unformatted Trip Summary'!H174</f>
        <v>2.1156244746000001</v>
      </c>
    </row>
    <row r="177" spans="1:8" x14ac:dyDescent="0.25">
      <c r="A177" t="str">
        <f>'Unformatted Trip Summary'!A175</f>
        <v>03 WAIKATO</v>
      </c>
      <c r="B177" t="str">
        <f>'Unformatted Trip Summary'!J175</f>
        <v>2037/38</v>
      </c>
      <c r="C177" t="str">
        <f>'Unformatted Trip Summary'!I175</f>
        <v>Cyclist</v>
      </c>
      <c r="D177">
        <f>'Unformatted Trip Summary'!D175</f>
        <v>60</v>
      </c>
      <c r="E177">
        <f>'Unformatted Trip Summary'!E175</f>
        <v>183</v>
      </c>
      <c r="F177" s="1">
        <f>'Unformatted Trip Summary'!F175</f>
        <v>7.2248806103999996</v>
      </c>
      <c r="G177" s="1">
        <f>'Unformatted Trip Summary'!G175</f>
        <v>24.122131498000002</v>
      </c>
      <c r="H177" s="1">
        <f>'Unformatted Trip Summary'!H175</f>
        <v>2.2083565195000001</v>
      </c>
    </row>
    <row r="178" spans="1:8" x14ac:dyDescent="0.25">
      <c r="A178" t="str">
        <f>'Unformatted Trip Summary'!A176</f>
        <v>03 WAIKATO</v>
      </c>
      <c r="B178" t="str">
        <f>'Unformatted Trip Summary'!J176</f>
        <v>2042/43</v>
      </c>
      <c r="C178" t="str">
        <f>'Unformatted Trip Summary'!I176</f>
        <v>Cyclist</v>
      </c>
      <c r="D178">
        <f>'Unformatted Trip Summary'!D176</f>
        <v>60</v>
      </c>
      <c r="E178">
        <f>'Unformatted Trip Summary'!E176</f>
        <v>183</v>
      </c>
      <c r="F178" s="1">
        <f>'Unformatted Trip Summary'!F176</f>
        <v>7.5234553713999999</v>
      </c>
      <c r="G178" s="1">
        <f>'Unformatted Trip Summary'!G176</f>
        <v>24.277213420999999</v>
      </c>
      <c r="H178" s="1">
        <f>'Unformatted Trip Summary'!H176</f>
        <v>2.3056362991000001</v>
      </c>
    </row>
    <row r="179" spans="1:8" x14ac:dyDescent="0.25">
      <c r="A179" t="str">
        <f>'Unformatted Trip Summary'!A177</f>
        <v>03 WAIKATO</v>
      </c>
      <c r="B179" t="str">
        <f>'Unformatted Trip Summary'!J177</f>
        <v>2012/13</v>
      </c>
      <c r="C179" t="str">
        <f>'Unformatted Trip Summary'!I177</f>
        <v>Light Vehicle Driver</v>
      </c>
      <c r="D179">
        <f>'Unformatted Trip Summary'!D177</f>
        <v>1302</v>
      </c>
      <c r="E179">
        <f>'Unformatted Trip Summary'!E177</f>
        <v>9074</v>
      </c>
      <c r="F179" s="1">
        <f>'Unformatted Trip Summary'!F177</f>
        <v>305.41478153000003</v>
      </c>
      <c r="G179" s="1">
        <f>'Unformatted Trip Summary'!G177</f>
        <v>3709.9843593000001</v>
      </c>
      <c r="H179" s="1">
        <f>'Unformatted Trip Summary'!H177</f>
        <v>82.274552721999996</v>
      </c>
    </row>
    <row r="180" spans="1:8" x14ac:dyDescent="0.25">
      <c r="A180" t="str">
        <f>'Unformatted Trip Summary'!A178</f>
        <v>03 WAIKATO</v>
      </c>
      <c r="B180" t="str">
        <f>'Unformatted Trip Summary'!J178</f>
        <v>2017/18</v>
      </c>
      <c r="C180" t="str">
        <f>'Unformatted Trip Summary'!I178</f>
        <v>Light Vehicle Driver</v>
      </c>
      <c r="D180">
        <f>'Unformatted Trip Summary'!D178</f>
        <v>1302</v>
      </c>
      <c r="E180">
        <f>'Unformatted Trip Summary'!E178</f>
        <v>9074</v>
      </c>
      <c r="F180" s="1">
        <f>'Unformatted Trip Summary'!F178</f>
        <v>331.15084179000002</v>
      </c>
      <c r="G180" s="1">
        <f>'Unformatted Trip Summary'!G178</f>
        <v>4013.2956181999998</v>
      </c>
      <c r="H180" s="1">
        <f>'Unformatted Trip Summary'!H178</f>
        <v>89.121473596000001</v>
      </c>
    </row>
    <row r="181" spans="1:8" x14ac:dyDescent="0.25">
      <c r="A181" t="str">
        <f>'Unformatted Trip Summary'!A179</f>
        <v>03 WAIKATO</v>
      </c>
      <c r="B181" t="str">
        <f>'Unformatted Trip Summary'!J179</f>
        <v>2022/23</v>
      </c>
      <c r="C181" t="str">
        <f>'Unformatted Trip Summary'!I179</f>
        <v>Light Vehicle Driver</v>
      </c>
      <c r="D181">
        <f>'Unformatted Trip Summary'!D179</f>
        <v>1302</v>
      </c>
      <c r="E181">
        <f>'Unformatted Trip Summary'!E179</f>
        <v>9074</v>
      </c>
      <c r="F181" s="1">
        <f>'Unformatted Trip Summary'!F179</f>
        <v>346.18657646000003</v>
      </c>
      <c r="G181" s="1">
        <f>'Unformatted Trip Summary'!G179</f>
        <v>4195.2758505000002</v>
      </c>
      <c r="H181" s="1">
        <f>'Unformatted Trip Summary'!H179</f>
        <v>93.102029618000003</v>
      </c>
    </row>
    <row r="182" spans="1:8" x14ac:dyDescent="0.25">
      <c r="A182" t="str">
        <f>'Unformatted Trip Summary'!A180</f>
        <v>03 WAIKATO</v>
      </c>
      <c r="B182" t="str">
        <f>'Unformatted Trip Summary'!J180</f>
        <v>2027/28</v>
      </c>
      <c r="C182" t="str">
        <f>'Unformatted Trip Summary'!I180</f>
        <v>Light Vehicle Driver</v>
      </c>
      <c r="D182">
        <f>'Unformatted Trip Summary'!D180</f>
        <v>1302</v>
      </c>
      <c r="E182">
        <f>'Unformatted Trip Summary'!E180</f>
        <v>9074</v>
      </c>
      <c r="F182" s="1">
        <f>'Unformatted Trip Summary'!F180</f>
        <v>362.39235446999999</v>
      </c>
      <c r="G182" s="1">
        <f>'Unformatted Trip Summary'!G180</f>
        <v>4390.7886171999999</v>
      </c>
      <c r="H182" s="1">
        <f>'Unformatted Trip Summary'!H180</f>
        <v>97.391877526000002</v>
      </c>
    </row>
    <row r="183" spans="1:8" x14ac:dyDescent="0.25">
      <c r="A183" t="str">
        <f>'Unformatted Trip Summary'!A181</f>
        <v>03 WAIKATO</v>
      </c>
      <c r="B183" t="str">
        <f>'Unformatted Trip Summary'!J181</f>
        <v>2032/33</v>
      </c>
      <c r="C183" t="str">
        <f>'Unformatted Trip Summary'!I181</f>
        <v>Light Vehicle Driver</v>
      </c>
      <c r="D183">
        <f>'Unformatted Trip Summary'!D181</f>
        <v>1302</v>
      </c>
      <c r="E183">
        <f>'Unformatted Trip Summary'!E181</f>
        <v>9074</v>
      </c>
      <c r="F183" s="1">
        <f>'Unformatted Trip Summary'!F181</f>
        <v>376.69663960000003</v>
      </c>
      <c r="G183" s="1">
        <f>'Unformatted Trip Summary'!G181</f>
        <v>4562.0400353000005</v>
      </c>
      <c r="H183" s="1">
        <f>'Unformatted Trip Summary'!H181</f>
        <v>101.12728018</v>
      </c>
    </row>
    <row r="184" spans="1:8" x14ac:dyDescent="0.25">
      <c r="A184" t="str">
        <f>'Unformatted Trip Summary'!A182</f>
        <v>03 WAIKATO</v>
      </c>
      <c r="B184" t="str">
        <f>'Unformatted Trip Summary'!J182</f>
        <v>2037/38</v>
      </c>
      <c r="C184" t="str">
        <f>'Unformatted Trip Summary'!I182</f>
        <v>Light Vehicle Driver</v>
      </c>
      <c r="D184">
        <f>'Unformatted Trip Summary'!D182</f>
        <v>1302</v>
      </c>
      <c r="E184">
        <f>'Unformatted Trip Summary'!E182</f>
        <v>9074</v>
      </c>
      <c r="F184" s="1">
        <f>'Unformatted Trip Summary'!F182</f>
        <v>386.07724008000002</v>
      </c>
      <c r="G184" s="1">
        <f>'Unformatted Trip Summary'!G182</f>
        <v>4675.8292522000002</v>
      </c>
      <c r="H184" s="1">
        <f>'Unformatted Trip Summary'!H182</f>
        <v>103.5606624</v>
      </c>
    </row>
    <row r="185" spans="1:8" x14ac:dyDescent="0.25">
      <c r="A185" t="str">
        <f>'Unformatted Trip Summary'!A183</f>
        <v>03 WAIKATO</v>
      </c>
      <c r="B185" t="str">
        <f>'Unformatted Trip Summary'!J183</f>
        <v>2042/43</v>
      </c>
      <c r="C185" t="str">
        <f>'Unformatted Trip Summary'!I183</f>
        <v>Light Vehicle Driver</v>
      </c>
      <c r="D185">
        <f>'Unformatted Trip Summary'!D183</f>
        <v>1302</v>
      </c>
      <c r="E185">
        <f>'Unformatted Trip Summary'!E183</f>
        <v>9074</v>
      </c>
      <c r="F185" s="1">
        <f>'Unformatted Trip Summary'!F183</f>
        <v>393.77809801000001</v>
      </c>
      <c r="G185" s="1">
        <f>'Unformatted Trip Summary'!G183</f>
        <v>4768.8117980999996</v>
      </c>
      <c r="H185" s="1">
        <f>'Unformatted Trip Summary'!H183</f>
        <v>105.54500254</v>
      </c>
    </row>
    <row r="186" spans="1:8" x14ac:dyDescent="0.25">
      <c r="A186" t="str">
        <f>'Unformatted Trip Summary'!A184</f>
        <v>03 WAIKATO</v>
      </c>
      <c r="B186" t="str">
        <f>'Unformatted Trip Summary'!J184</f>
        <v>2012/13</v>
      </c>
      <c r="C186" t="str">
        <f>'Unformatted Trip Summary'!I184</f>
        <v>Light Vehicle Passenger</v>
      </c>
      <c r="D186">
        <f>'Unformatted Trip Summary'!D184</f>
        <v>931</v>
      </c>
      <c r="E186">
        <f>'Unformatted Trip Summary'!E184</f>
        <v>4349</v>
      </c>
      <c r="F186" s="1">
        <f>'Unformatted Trip Summary'!F184</f>
        <v>139.07206360000001</v>
      </c>
      <c r="G186" s="1">
        <f>'Unformatted Trip Summary'!G184</f>
        <v>1955.0668243</v>
      </c>
      <c r="H186" s="1">
        <f>'Unformatted Trip Summary'!H184</f>
        <v>42.037273755000001</v>
      </c>
    </row>
    <row r="187" spans="1:8" x14ac:dyDescent="0.25">
      <c r="A187" t="str">
        <f>'Unformatted Trip Summary'!A185</f>
        <v>03 WAIKATO</v>
      </c>
      <c r="B187" t="str">
        <f>'Unformatted Trip Summary'!J185</f>
        <v>2017/18</v>
      </c>
      <c r="C187" t="str">
        <f>'Unformatted Trip Summary'!I185</f>
        <v>Light Vehicle Passenger</v>
      </c>
      <c r="D187">
        <f>'Unformatted Trip Summary'!D185</f>
        <v>931</v>
      </c>
      <c r="E187">
        <f>'Unformatted Trip Summary'!E185</f>
        <v>4349</v>
      </c>
      <c r="F187" s="1">
        <f>'Unformatted Trip Summary'!F185</f>
        <v>142.73073375999999</v>
      </c>
      <c r="G187" s="1">
        <f>'Unformatted Trip Summary'!G185</f>
        <v>2041.696876</v>
      </c>
      <c r="H187" s="1">
        <f>'Unformatted Trip Summary'!H185</f>
        <v>43.693956821999997</v>
      </c>
    </row>
    <row r="188" spans="1:8" x14ac:dyDescent="0.25">
      <c r="A188" t="str">
        <f>'Unformatted Trip Summary'!A186</f>
        <v>03 WAIKATO</v>
      </c>
      <c r="B188" t="str">
        <f>'Unformatted Trip Summary'!J186</f>
        <v>2022/23</v>
      </c>
      <c r="C188" t="str">
        <f>'Unformatted Trip Summary'!I186</f>
        <v>Light Vehicle Passenger</v>
      </c>
      <c r="D188">
        <f>'Unformatted Trip Summary'!D186</f>
        <v>931</v>
      </c>
      <c r="E188">
        <f>'Unformatted Trip Summary'!E186</f>
        <v>4349</v>
      </c>
      <c r="F188" s="1">
        <f>'Unformatted Trip Summary'!F186</f>
        <v>144.55903326000001</v>
      </c>
      <c r="G188" s="1">
        <f>'Unformatted Trip Summary'!G186</f>
        <v>2086.5942933000001</v>
      </c>
      <c r="H188" s="1">
        <f>'Unformatted Trip Summary'!H186</f>
        <v>44.554208862000003</v>
      </c>
    </row>
    <row r="189" spans="1:8" x14ac:dyDescent="0.25">
      <c r="A189" t="str">
        <f>'Unformatted Trip Summary'!A187</f>
        <v>03 WAIKATO</v>
      </c>
      <c r="B189" t="str">
        <f>'Unformatted Trip Summary'!J187</f>
        <v>2027/28</v>
      </c>
      <c r="C189" t="str">
        <f>'Unformatted Trip Summary'!I187</f>
        <v>Light Vehicle Passenger</v>
      </c>
      <c r="D189">
        <f>'Unformatted Trip Summary'!D187</f>
        <v>931</v>
      </c>
      <c r="E189">
        <f>'Unformatted Trip Summary'!E187</f>
        <v>4349</v>
      </c>
      <c r="F189" s="1">
        <f>'Unformatted Trip Summary'!F187</f>
        <v>145.90861473000001</v>
      </c>
      <c r="G189" s="1">
        <f>'Unformatted Trip Summary'!G187</f>
        <v>2121.4940228999999</v>
      </c>
      <c r="H189" s="1">
        <f>'Unformatted Trip Summary'!H187</f>
        <v>45.221079297999999</v>
      </c>
    </row>
    <row r="190" spans="1:8" x14ac:dyDescent="0.25">
      <c r="A190" t="str">
        <f>'Unformatted Trip Summary'!A188</f>
        <v>03 WAIKATO</v>
      </c>
      <c r="B190" t="str">
        <f>'Unformatted Trip Summary'!J188</f>
        <v>2032/33</v>
      </c>
      <c r="C190" t="str">
        <f>'Unformatted Trip Summary'!I188</f>
        <v>Light Vehicle Passenger</v>
      </c>
      <c r="D190">
        <f>'Unformatted Trip Summary'!D188</f>
        <v>931</v>
      </c>
      <c r="E190">
        <f>'Unformatted Trip Summary'!E188</f>
        <v>4349</v>
      </c>
      <c r="F190" s="1">
        <f>'Unformatted Trip Summary'!F188</f>
        <v>147.55463560999999</v>
      </c>
      <c r="G190" s="1">
        <f>'Unformatted Trip Summary'!G188</f>
        <v>2156.5981864</v>
      </c>
      <c r="H190" s="1">
        <f>'Unformatted Trip Summary'!H188</f>
        <v>45.901635280999997</v>
      </c>
    </row>
    <row r="191" spans="1:8" x14ac:dyDescent="0.25">
      <c r="A191" t="str">
        <f>'Unformatted Trip Summary'!A189</f>
        <v>03 WAIKATO</v>
      </c>
      <c r="B191" t="str">
        <f>'Unformatted Trip Summary'!J189</f>
        <v>2037/38</v>
      </c>
      <c r="C191" t="str">
        <f>'Unformatted Trip Summary'!I189</f>
        <v>Light Vehicle Passenger</v>
      </c>
      <c r="D191">
        <f>'Unformatted Trip Summary'!D189</f>
        <v>931</v>
      </c>
      <c r="E191">
        <f>'Unformatted Trip Summary'!E189</f>
        <v>4349</v>
      </c>
      <c r="F191" s="1">
        <f>'Unformatted Trip Summary'!F189</f>
        <v>147.76696043999999</v>
      </c>
      <c r="G191" s="1">
        <f>'Unformatted Trip Summary'!G189</f>
        <v>2167.1804321999998</v>
      </c>
      <c r="H191" s="1">
        <f>'Unformatted Trip Summary'!H189</f>
        <v>46.086564989000003</v>
      </c>
    </row>
    <row r="192" spans="1:8" x14ac:dyDescent="0.25">
      <c r="A192" t="str">
        <f>'Unformatted Trip Summary'!A190</f>
        <v>03 WAIKATO</v>
      </c>
      <c r="B192" t="str">
        <f>'Unformatted Trip Summary'!J190</f>
        <v>2042/43</v>
      </c>
      <c r="C192" t="str">
        <f>'Unformatted Trip Summary'!I190</f>
        <v>Light Vehicle Passenger</v>
      </c>
      <c r="D192">
        <f>'Unformatted Trip Summary'!D190</f>
        <v>931</v>
      </c>
      <c r="E192">
        <f>'Unformatted Trip Summary'!E190</f>
        <v>4349</v>
      </c>
      <c r="F192" s="1">
        <f>'Unformatted Trip Summary'!F190</f>
        <v>147.05574106</v>
      </c>
      <c r="G192" s="1">
        <f>'Unformatted Trip Summary'!G190</f>
        <v>2163.1720759999998</v>
      </c>
      <c r="H192" s="1">
        <f>'Unformatted Trip Summary'!H190</f>
        <v>45.972284184000003</v>
      </c>
    </row>
    <row r="193" spans="1:8" x14ac:dyDescent="0.25">
      <c r="A193" t="str">
        <f>'Unformatted Trip Summary'!A191</f>
        <v>03 WAIKATO</v>
      </c>
      <c r="B193" t="str">
        <f>'Unformatted Trip Summary'!J191</f>
        <v>2012/13</v>
      </c>
      <c r="C193" t="str">
        <f>'Unformatted Trip Summary'!I191</f>
        <v>Taxi/Vehicle Share</v>
      </c>
      <c r="D193">
        <f>'Unformatted Trip Summary'!D191</f>
        <v>13</v>
      </c>
      <c r="E193">
        <f>'Unformatted Trip Summary'!E191</f>
        <v>20</v>
      </c>
      <c r="F193" s="1">
        <f>'Unformatted Trip Summary'!F191</f>
        <v>0.69122996950000004</v>
      </c>
      <c r="G193" s="1">
        <f>'Unformatted Trip Summary'!G191</f>
        <v>2.4426175743999998</v>
      </c>
      <c r="H193" s="1">
        <f>'Unformatted Trip Summary'!H191</f>
        <v>0.1633822556</v>
      </c>
    </row>
    <row r="194" spans="1:8" x14ac:dyDescent="0.25">
      <c r="A194" t="str">
        <f>'Unformatted Trip Summary'!A192</f>
        <v>03 WAIKATO</v>
      </c>
      <c r="B194" t="str">
        <f>'Unformatted Trip Summary'!J192</f>
        <v>2017/18</v>
      </c>
      <c r="C194" t="str">
        <f>'Unformatted Trip Summary'!I192</f>
        <v>Taxi/Vehicle Share</v>
      </c>
      <c r="D194">
        <f>'Unformatted Trip Summary'!D192</f>
        <v>13</v>
      </c>
      <c r="E194">
        <f>'Unformatted Trip Summary'!E192</f>
        <v>20</v>
      </c>
      <c r="F194" s="1">
        <f>'Unformatted Trip Summary'!F192</f>
        <v>0.8158209126</v>
      </c>
      <c r="G194" s="1">
        <f>'Unformatted Trip Summary'!G192</f>
        <v>2.991471953</v>
      </c>
      <c r="H194" s="1">
        <f>'Unformatted Trip Summary'!H192</f>
        <v>0.1956792976</v>
      </c>
    </row>
    <row r="195" spans="1:8" x14ac:dyDescent="0.25">
      <c r="A195" t="str">
        <f>'Unformatted Trip Summary'!A193</f>
        <v>03 WAIKATO</v>
      </c>
      <c r="B195" t="str">
        <f>'Unformatted Trip Summary'!J193</f>
        <v>2022/23</v>
      </c>
      <c r="C195" t="str">
        <f>'Unformatted Trip Summary'!I193</f>
        <v>Taxi/Vehicle Share</v>
      </c>
      <c r="D195">
        <f>'Unformatted Trip Summary'!D193</f>
        <v>13</v>
      </c>
      <c r="E195">
        <f>'Unformatted Trip Summary'!E193</f>
        <v>20</v>
      </c>
      <c r="F195" s="1">
        <f>'Unformatted Trip Summary'!F193</f>
        <v>0.89022969669999996</v>
      </c>
      <c r="G195" s="1">
        <f>'Unformatted Trip Summary'!G193</f>
        <v>3.3637285608999998</v>
      </c>
      <c r="H195" s="1">
        <f>'Unformatted Trip Summary'!H193</f>
        <v>0.21635814959999999</v>
      </c>
    </row>
    <row r="196" spans="1:8" x14ac:dyDescent="0.25">
      <c r="A196" t="str">
        <f>'Unformatted Trip Summary'!A194</f>
        <v>03 WAIKATO</v>
      </c>
      <c r="B196" t="str">
        <f>'Unformatted Trip Summary'!J194</f>
        <v>2027/28</v>
      </c>
      <c r="C196" t="str">
        <f>'Unformatted Trip Summary'!I194</f>
        <v>Taxi/Vehicle Share</v>
      </c>
      <c r="D196">
        <f>'Unformatted Trip Summary'!D194</f>
        <v>13</v>
      </c>
      <c r="E196">
        <f>'Unformatted Trip Summary'!E194</f>
        <v>20</v>
      </c>
      <c r="F196" s="1">
        <f>'Unformatted Trip Summary'!F194</f>
        <v>0.93777434879999999</v>
      </c>
      <c r="G196" s="1">
        <f>'Unformatted Trip Summary'!G194</f>
        <v>3.6855221157</v>
      </c>
      <c r="H196" s="1">
        <f>'Unformatted Trip Summary'!H194</f>
        <v>0.23283442109999999</v>
      </c>
    </row>
    <row r="197" spans="1:8" x14ac:dyDescent="0.25">
      <c r="A197" t="str">
        <f>'Unformatted Trip Summary'!A195</f>
        <v>03 WAIKATO</v>
      </c>
      <c r="B197" t="str">
        <f>'Unformatted Trip Summary'!J195</f>
        <v>2032/33</v>
      </c>
      <c r="C197" t="str">
        <f>'Unformatted Trip Summary'!I195</f>
        <v>Taxi/Vehicle Share</v>
      </c>
      <c r="D197">
        <f>'Unformatted Trip Summary'!D195</f>
        <v>13</v>
      </c>
      <c r="E197">
        <f>'Unformatted Trip Summary'!E195</f>
        <v>20</v>
      </c>
      <c r="F197" s="1">
        <f>'Unformatted Trip Summary'!F195</f>
        <v>0.97002382279999999</v>
      </c>
      <c r="G197" s="1">
        <f>'Unformatted Trip Summary'!G195</f>
        <v>3.9306320826999999</v>
      </c>
      <c r="H197" s="1">
        <f>'Unformatted Trip Summary'!H195</f>
        <v>0.2445269313</v>
      </c>
    </row>
    <row r="198" spans="1:8" x14ac:dyDescent="0.25">
      <c r="A198" t="str">
        <f>'Unformatted Trip Summary'!A196</f>
        <v>03 WAIKATO</v>
      </c>
      <c r="B198" t="str">
        <f>'Unformatted Trip Summary'!J196</f>
        <v>2037/38</v>
      </c>
      <c r="C198" t="str">
        <f>'Unformatted Trip Summary'!I196</f>
        <v>Taxi/Vehicle Share</v>
      </c>
      <c r="D198">
        <f>'Unformatted Trip Summary'!D196</f>
        <v>13</v>
      </c>
      <c r="E198">
        <f>'Unformatted Trip Summary'!E196</f>
        <v>20</v>
      </c>
      <c r="F198" s="1">
        <f>'Unformatted Trip Summary'!F196</f>
        <v>0.97440302649999999</v>
      </c>
      <c r="G198" s="1">
        <f>'Unformatted Trip Summary'!G196</f>
        <v>4.0521869135999999</v>
      </c>
      <c r="H198" s="1">
        <f>'Unformatted Trip Summary'!H196</f>
        <v>0.24653400080000001</v>
      </c>
    </row>
    <row r="199" spans="1:8" x14ac:dyDescent="0.25">
      <c r="A199" t="str">
        <f>'Unformatted Trip Summary'!A197</f>
        <v>03 WAIKATO</v>
      </c>
      <c r="B199" t="str">
        <f>'Unformatted Trip Summary'!J197</f>
        <v>2042/43</v>
      </c>
      <c r="C199" t="str">
        <f>'Unformatted Trip Summary'!I197</f>
        <v>Taxi/Vehicle Share</v>
      </c>
      <c r="D199">
        <f>'Unformatted Trip Summary'!D197</f>
        <v>13</v>
      </c>
      <c r="E199">
        <f>'Unformatted Trip Summary'!E197</f>
        <v>20</v>
      </c>
      <c r="F199" s="1">
        <f>'Unformatted Trip Summary'!F197</f>
        <v>0.97650828430000003</v>
      </c>
      <c r="G199" s="1">
        <f>'Unformatted Trip Summary'!G197</f>
        <v>4.1760819771</v>
      </c>
      <c r="H199" s="1">
        <f>'Unformatted Trip Summary'!H197</f>
        <v>0.2482403765</v>
      </c>
    </row>
    <row r="200" spans="1:8" x14ac:dyDescent="0.25">
      <c r="A200" t="str">
        <f>'Unformatted Trip Summary'!A198</f>
        <v>03 WAIKATO</v>
      </c>
      <c r="B200" t="str">
        <f>'Unformatted Trip Summary'!J198</f>
        <v>2012/13</v>
      </c>
      <c r="C200" t="str">
        <f>'Unformatted Trip Summary'!I198</f>
        <v>Motorcyclist</v>
      </c>
      <c r="D200">
        <f>'Unformatted Trip Summary'!D198</f>
        <v>16</v>
      </c>
      <c r="E200">
        <f>'Unformatted Trip Summary'!E198</f>
        <v>51</v>
      </c>
      <c r="F200" s="1">
        <f>'Unformatted Trip Summary'!F198</f>
        <v>1.8680965575999999</v>
      </c>
      <c r="G200" s="1">
        <f>'Unformatted Trip Summary'!G198</f>
        <v>38.030338682999997</v>
      </c>
      <c r="H200" s="1">
        <f>'Unformatted Trip Summary'!H198</f>
        <v>0.60639269429999998</v>
      </c>
    </row>
    <row r="201" spans="1:8" x14ac:dyDescent="0.25">
      <c r="A201" t="str">
        <f>'Unformatted Trip Summary'!A199</f>
        <v>03 WAIKATO</v>
      </c>
      <c r="B201" t="str">
        <f>'Unformatted Trip Summary'!J199</f>
        <v>2017/18</v>
      </c>
      <c r="C201" t="str">
        <f>'Unformatted Trip Summary'!I199</f>
        <v>Motorcyclist</v>
      </c>
      <c r="D201">
        <f>'Unformatted Trip Summary'!D199</f>
        <v>16</v>
      </c>
      <c r="E201">
        <f>'Unformatted Trip Summary'!E199</f>
        <v>51</v>
      </c>
      <c r="F201" s="1">
        <f>'Unformatted Trip Summary'!F199</f>
        <v>1.8169065424999999</v>
      </c>
      <c r="G201" s="1">
        <f>'Unformatted Trip Summary'!G199</f>
        <v>39.204316693000003</v>
      </c>
      <c r="H201" s="1">
        <f>'Unformatted Trip Summary'!H199</f>
        <v>0.60691783379999997</v>
      </c>
    </row>
    <row r="202" spans="1:8" x14ac:dyDescent="0.25">
      <c r="A202" t="str">
        <f>'Unformatted Trip Summary'!A200</f>
        <v>03 WAIKATO</v>
      </c>
      <c r="B202" t="str">
        <f>'Unformatted Trip Summary'!J200</f>
        <v>2022/23</v>
      </c>
      <c r="C202" t="str">
        <f>'Unformatted Trip Summary'!I200</f>
        <v>Motorcyclist</v>
      </c>
      <c r="D202">
        <f>'Unformatted Trip Summary'!D200</f>
        <v>16</v>
      </c>
      <c r="E202">
        <f>'Unformatted Trip Summary'!E200</f>
        <v>51</v>
      </c>
      <c r="F202" s="1">
        <f>'Unformatted Trip Summary'!F200</f>
        <v>1.7665100045</v>
      </c>
      <c r="G202" s="1">
        <f>'Unformatted Trip Summary'!G200</f>
        <v>39.575297321000001</v>
      </c>
      <c r="H202" s="1">
        <f>'Unformatted Trip Summary'!H200</f>
        <v>0.60467174670000001</v>
      </c>
    </row>
    <row r="203" spans="1:8" x14ac:dyDescent="0.25">
      <c r="A203" t="str">
        <f>'Unformatted Trip Summary'!A201</f>
        <v>03 WAIKATO</v>
      </c>
      <c r="B203" t="str">
        <f>'Unformatted Trip Summary'!J201</f>
        <v>2027/28</v>
      </c>
      <c r="C203" t="str">
        <f>'Unformatted Trip Summary'!I201</f>
        <v>Motorcyclist</v>
      </c>
      <c r="D203">
        <f>'Unformatted Trip Summary'!D201</f>
        <v>16</v>
      </c>
      <c r="E203">
        <f>'Unformatted Trip Summary'!E201</f>
        <v>51</v>
      </c>
      <c r="F203" s="1">
        <f>'Unformatted Trip Summary'!F201</f>
        <v>1.7149340781</v>
      </c>
      <c r="G203" s="1">
        <f>'Unformatted Trip Summary'!G201</f>
        <v>38.572059703000001</v>
      </c>
      <c r="H203" s="1">
        <f>'Unformatted Trip Summary'!H201</f>
        <v>0.59109798499999999</v>
      </c>
    </row>
    <row r="204" spans="1:8" x14ac:dyDescent="0.25">
      <c r="A204" t="str">
        <f>'Unformatted Trip Summary'!A202</f>
        <v>03 WAIKATO</v>
      </c>
      <c r="B204" t="str">
        <f>'Unformatted Trip Summary'!J202</f>
        <v>2032/33</v>
      </c>
      <c r="C204" t="str">
        <f>'Unformatted Trip Summary'!I202</f>
        <v>Motorcyclist</v>
      </c>
      <c r="D204">
        <f>'Unformatted Trip Summary'!D202</f>
        <v>16</v>
      </c>
      <c r="E204">
        <f>'Unformatted Trip Summary'!E202</f>
        <v>51</v>
      </c>
      <c r="F204" s="1">
        <f>'Unformatted Trip Summary'!F202</f>
        <v>1.6577707763</v>
      </c>
      <c r="G204" s="1">
        <f>'Unformatted Trip Summary'!G202</f>
        <v>36.359309543000002</v>
      </c>
      <c r="H204" s="1">
        <f>'Unformatted Trip Summary'!H202</f>
        <v>0.56378002179999998</v>
      </c>
    </row>
    <row r="205" spans="1:8" x14ac:dyDescent="0.25">
      <c r="A205" t="str">
        <f>'Unformatted Trip Summary'!A203</f>
        <v>03 WAIKATO</v>
      </c>
      <c r="B205" t="str">
        <f>'Unformatted Trip Summary'!J203</f>
        <v>2037/38</v>
      </c>
      <c r="C205" t="str">
        <f>'Unformatted Trip Summary'!I203</f>
        <v>Motorcyclist</v>
      </c>
      <c r="D205">
        <f>'Unformatted Trip Summary'!D203</f>
        <v>16</v>
      </c>
      <c r="E205">
        <f>'Unformatted Trip Summary'!E203</f>
        <v>51</v>
      </c>
      <c r="F205" s="1">
        <f>'Unformatted Trip Summary'!F203</f>
        <v>1.5462133363999999</v>
      </c>
      <c r="G205" s="1">
        <f>'Unformatted Trip Summary'!G203</f>
        <v>32.700616771</v>
      </c>
      <c r="H205" s="1">
        <f>'Unformatted Trip Summary'!H203</f>
        <v>0.51272053409999996</v>
      </c>
    </row>
    <row r="206" spans="1:8" x14ac:dyDescent="0.25">
      <c r="A206" t="str">
        <f>'Unformatted Trip Summary'!A204</f>
        <v>03 WAIKATO</v>
      </c>
      <c r="B206" t="str">
        <f>'Unformatted Trip Summary'!J204</f>
        <v>2042/43</v>
      </c>
      <c r="C206" t="str">
        <f>'Unformatted Trip Summary'!I204</f>
        <v>Motorcyclist</v>
      </c>
      <c r="D206">
        <f>'Unformatted Trip Summary'!D204</f>
        <v>16</v>
      </c>
      <c r="E206">
        <f>'Unformatted Trip Summary'!E204</f>
        <v>51</v>
      </c>
      <c r="F206" s="1">
        <f>'Unformatted Trip Summary'!F204</f>
        <v>1.4348425339999999</v>
      </c>
      <c r="G206" s="1">
        <f>'Unformatted Trip Summary'!G204</f>
        <v>29.047686304999999</v>
      </c>
      <c r="H206" s="1">
        <f>'Unformatted Trip Summary'!H204</f>
        <v>0.46171781989999999</v>
      </c>
    </row>
    <row r="207" spans="1:8" x14ac:dyDescent="0.25">
      <c r="A207" t="str">
        <f>'Unformatted Trip Summary'!A205</f>
        <v>03 WAIKATO</v>
      </c>
      <c r="B207" t="str">
        <f>'Unformatted Trip Summary'!J205</f>
        <v>2012/13</v>
      </c>
      <c r="C207" t="str">
        <f>'Unformatted Trip Summary'!I205</f>
        <v>Local Train</v>
      </c>
      <c r="D207">
        <f>'Unformatted Trip Summary'!D205</f>
        <v>2</v>
      </c>
      <c r="E207">
        <f>'Unformatted Trip Summary'!E205</f>
        <v>5</v>
      </c>
      <c r="F207" s="1">
        <f>'Unformatted Trip Summary'!F205</f>
        <v>0.12019006359999999</v>
      </c>
      <c r="G207" s="1">
        <f>'Unformatted Trip Summary'!G205</f>
        <v>2.9773519310999998</v>
      </c>
      <c r="H207" s="1">
        <f>'Unformatted Trip Summary'!H205</f>
        <v>7.0969514100000006E-2</v>
      </c>
    </row>
    <row r="208" spans="1:8" x14ac:dyDescent="0.25">
      <c r="A208" t="str">
        <f>'Unformatted Trip Summary'!A206</f>
        <v>03 WAIKATO</v>
      </c>
      <c r="B208" t="str">
        <f>'Unformatted Trip Summary'!J206</f>
        <v>2017/18</v>
      </c>
      <c r="C208" t="str">
        <f>'Unformatted Trip Summary'!I206</f>
        <v>Local Train</v>
      </c>
      <c r="D208">
        <f>'Unformatted Trip Summary'!D206</f>
        <v>2</v>
      </c>
      <c r="E208">
        <f>'Unformatted Trip Summary'!E206</f>
        <v>5</v>
      </c>
      <c r="F208" s="1">
        <f>'Unformatted Trip Summary'!F206</f>
        <v>0.12626891809999999</v>
      </c>
      <c r="G208" s="1">
        <f>'Unformatted Trip Summary'!G206</f>
        <v>3.2314632346000001</v>
      </c>
      <c r="H208" s="1">
        <f>'Unformatted Trip Summary'!H206</f>
        <v>7.6984046700000003E-2</v>
      </c>
    </row>
    <row r="209" spans="1:8" x14ac:dyDescent="0.25">
      <c r="A209" t="str">
        <f>'Unformatted Trip Summary'!A207</f>
        <v>03 WAIKATO</v>
      </c>
      <c r="B209" t="str">
        <f>'Unformatted Trip Summary'!J207</f>
        <v>2022/23</v>
      </c>
      <c r="C209" t="str">
        <f>'Unformatted Trip Summary'!I207</f>
        <v>Local Train</v>
      </c>
      <c r="D209">
        <f>'Unformatted Trip Summary'!D207</f>
        <v>2</v>
      </c>
      <c r="E209">
        <f>'Unformatted Trip Summary'!E207</f>
        <v>5</v>
      </c>
      <c r="F209" s="1">
        <f>'Unformatted Trip Summary'!F207</f>
        <v>0.13921474180000001</v>
      </c>
      <c r="G209" s="1">
        <f>'Unformatted Trip Summary'!G207</f>
        <v>3.8027785731999999</v>
      </c>
      <c r="H209" s="1">
        <f>'Unformatted Trip Summary'!H207</f>
        <v>9.0499098900000005E-2</v>
      </c>
    </row>
    <row r="210" spans="1:8" x14ac:dyDescent="0.25">
      <c r="A210" t="str">
        <f>'Unformatted Trip Summary'!A208</f>
        <v>03 WAIKATO</v>
      </c>
      <c r="B210" t="str">
        <f>'Unformatted Trip Summary'!J208</f>
        <v>2027/28</v>
      </c>
      <c r="C210" t="str">
        <f>'Unformatted Trip Summary'!I208</f>
        <v>Local Train</v>
      </c>
      <c r="D210">
        <f>'Unformatted Trip Summary'!D208</f>
        <v>2</v>
      </c>
      <c r="E210">
        <f>'Unformatted Trip Summary'!E208</f>
        <v>5</v>
      </c>
      <c r="F210" s="1">
        <f>'Unformatted Trip Summary'!F208</f>
        <v>0.15409828389999999</v>
      </c>
      <c r="G210" s="1">
        <f>'Unformatted Trip Summary'!G208</f>
        <v>4.3010200814999999</v>
      </c>
      <c r="H210" s="1">
        <f>'Unformatted Trip Summary'!H208</f>
        <v>0.1023221279</v>
      </c>
    </row>
    <row r="211" spans="1:8" x14ac:dyDescent="0.25">
      <c r="A211" t="str">
        <f>'Unformatted Trip Summary'!A209</f>
        <v>03 WAIKATO</v>
      </c>
      <c r="B211" t="str">
        <f>'Unformatted Trip Summary'!J209</f>
        <v>2032/33</v>
      </c>
      <c r="C211" t="str">
        <f>'Unformatted Trip Summary'!I209</f>
        <v>Local Train</v>
      </c>
      <c r="D211">
        <f>'Unformatted Trip Summary'!D209</f>
        <v>2</v>
      </c>
      <c r="E211">
        <f>'Unformatted Trip Summary'!E209</f>
        <v>5</v>
      </c>
      <c r="F211" s="1">
        <f>'Unformatted Trip Summary'!F209</f>
        <v>0.16489572150000001</v>
      </c>
      <c r="G211" s="1">
        <f>'Unformatted Trip Summary'!G209</f>
        <v>4.6298650450999999</v>
      </c>
      <c r="H211" s="1">
        <f>'Unformatted Trip Summary'!H209</f>
        <v>0.11013538439999999</v>
      </c>
    </row>
    <row r="212" spans="1:8" x14ac:dyDescent="0.25">
      <c r="A212" t="str">
        <f>'Unformatted Trip Summary'!A210</f>
        <v>03 WAIKATO</v>
      </c>
      <c r="B212" t="str">
        <f>'Unformatted Trip Summary'!J210</f>
        <v>2037/38</v>
      </c>
      <c r="C212" t="str">
        <f>'Unformatted Trip Summary'!I210</f>
        <v>Local Train</v>
      </c>
      <c r="D212">
        <f>'Unformatted Trip Summary'!D210</f>
        <v>2</v>
      </c>
      <c r="E212">
        <f>'Unformatted Trip Summary'!E210</f>
        <v>5</v>
      </c>
      <c r="F212" s="1">
        <f>'Unformatted Trip Summary'!F210</f>
        <v>0.1711877373</v>
      </c>
      <c r="G212" s="1">
        <f>'Unformatted Trip Summary'!G210</f>
        <v>4.9172725539000002</v>
      </c>
      <c r="H212" s="1">
        <f>'Unformatted Trip Summary'!H210</f>
        <v>0.11693205769999999</v>
      </c>
    </row>
    <row r="213" spans="1:8" x14ac:dyDescent="0.25">
      <c r="A213" t="str">
        <f>'Unformatted Trip Summary'!A211</f>
        <v>03 WAIKATO</v>
      </c>
      <c r="B213" t="str">
        <f>'Unformatted Trip Summary'!J211</f>
        <v>2042/43</v>
      </c>
      <c r="C213" t="str">
        <f>'Unformatted Trip Summary'!I211</f>
        <v>Local Train</v>
      </c>
      <c r="D213">
        <f>'Unformatted Trip Summary'!D211</f>
        <v>2</v>
      </c>
      <c r="E213">
        <f>'Unformatted Trip Summary'!E211</f>
        <v>5</v>
      </c>
      <c r="F213" s="1">
        <f>'Unformatted Trip Summary'!F211</f>
        <v>0.175620156</v>
      </c>
      <c r="G213" s="1">
        <f>'Unformatted Trip Summary'!G211</f>
        <v>5.1503396770999998</v>
      </c>
      <c r="H213" s="1">
        <f>'Unformatted Trip Summary'!H211</f>
        <v>0.122436852</v>
      </c>
    </row>
    <row r="214" spans="1:8" x14ac:dyDescent="0.25">
      <c r="A214" t="str">
        <f>'Unformatted Trip Summary'!A212</f>
        <v>03 WAIKATO</v>
      </c>
      <c r="B214" t="str">
        <f>'Unformatted Trip Summary'!J212</f>
        <v>2012/13</v>
      </c>
      <c r="C214" t="str">
        <f>'Unformatted Trip Summary'!I212</f>
        <v>Local Bus</v>
      </c>
      <c r="D214">
        <f>'Unformatted Trip Summary'!D212</f>
        <v>81</v>
      </c>
      <c r="E214">
        <f>'Unformatted Trip Summary'!E212</f>
        <v>183</v>
      </c>
      <c r="F214" s="1">
        <f>'Unformatted Trip Summary'!F212</f>
        <v>5.7199103379</v>
      </c>
      <c r="G214" s="1">
        <f>'Unformatted Trip Summary'!G212</f>
        <v>54.303948532</v>
      </c>
      <c r="H214" s="1">
        <f>'Unformatted Trip Summary'!H212</f>
        <v>2.2088814398999999</v>
      </c>
    </row>
    <row r="215" spans="1:8" x14ac:dyDescent="0.25">
      <c r="A215" t="str">
        <f>'Unformatted Trip Summary'!A213</f>
        <v>03 WAIKATO</v>
      </c>
      <c r="B215" t="str">
        <f>'Unformatted Trip Summary'!J213</f>
        <v>2017/18</v>
      </c>
      <c r="C215" t="str">
        <f>'Unformatted Trip Summary'!I213</f>
        <v>Local Bus</v>
      </c>
      <c r="D215">
        <f>'Unformatted Trip Summary'!D213</f>
        <v>81</v>
      </c>
      <c r="E215">
        <f>'Unformatted Trip Summary'!E213</f>
        <v>183</v>
      </c>
      <c r="F215" s="1">
        <f>'Unformatted Trip Summary'!F213</f>
        <v>5.7461459003000002</v>
      </c>
      <c r="G215" s="1">
        <f>'Unformatted Trip Summary'!G213</f>
        <v>51.763012885000002</v>
      </c>
      <c r="H215" s="1">
        <f>'Unformatted Trip Summary'!H213</f>
        <v>2.1869187666999998</v>
      </c>
    </row>
    <row r="216" spans="1:8" x14ac:dyDescent="0.25">
      <c r="A216" t="str">
        <f>'Unformatted Trip Summary'!A214</f>
        <v>03 WAIKATO</v>
      </c>
      <c r="B216" t="str">
        <f>'Unformatted Trip Summary'!J214</f>
        <v>2022/23</v>
      </c>
      <c r="C216" t="str">
        <f>'Unformatted Trip Summary'!I214</f>
        <v>Local Bus</v>
      </c>
      <c r="D216">
        <f>'Unformatted Trip Summary'!D214</f>
        <v>81</v>
      </c>
      <c r="E216">
        <f>'Unformatted Trip Summary'!E214</f>
        <v>183</v>
      </c>
      <c r="F216" s="1">
        <f>'Unformatted Trip Summary'!F214</f>
        <v>5.6862867502999999</v>
      </c>
      <c r="G216" s="1">
        <f>'Unformatted Trip Summary'!G214</f>
        <v>50.418689811999997</v>
      </c>
      <c r="H216" s="1">
        <f>'Unformatted Trip Summary'!H214</f>
        <v>2.1520139730999999</v>
      </c>
    </row>
    <row r="217" spans="1:8" x14ac:dyDescent="0.25">
      <c r="A217" t="str">
        <f>'Unformatted Trip Summary'!A215</f>
        <v>03 WAIKATO</v>
      </c>
      <c r="B217" t="str">
        <f>'Unformatted Trip Summary'!J215</f>
        <v>2027/28</v>
      </c>
      <c r="C217" t="str">
        <f>'Unformatted Trip Summary'!I215</f>
        <v>Local Bus</v>
      </c>
      <c r="D217">
        <f>'Unformatted Trip Summary'!D215</f>
        <v>81</v>
      </c>
      <c r="E217">
        <f>'Unformatted Trip Summary'!E215</f>
        <v>183</v>
      </c>
      <c r="F217" s="1">
        <f>'Unformatted Trip Summary'!F215</f>
        <v>5.7386824849</v>
      </c>
      <c r="G217" s="1">
        <f>'Unformatted Trip Summary'!G215</f>
        <v>49.843693670999997</v>
      </c>
      <c r="H217" s="1">
        <f>'Unformatted Trip Summary'!H215</f>
        <v>2.1675429332</v>
      </c>
    </row>
    <row r="218" spans="1:8" x14ac:dyDescent="0.25">
      <c r="A218" t="str">
        <f>'Unformatted Trip Summary'!A216</f>
        <v>03 WAIKATO</v>
      </c>
      <c r="B218" t="str">
        <f>'Unformatted Trip Summary'!J216</f>
        <v>2032/33</v>
      </c>
      <c r="C218" t="str">
        <f>'Unformatted Trip Summary'!I216</f>
        <v>Local Bus</v>
      </c>
      <c r="D218">
        <f>'Unformatted Trip Summary'!D216</f>
        <v>81</v>
      </c>
      <c r="E218">
        <f>'Unformatted Trip Summary'!E216</f>
        <v>183</v>
      </c>
      <c r="F218" s="1">
        <f>'Unformatted Trip Summary'!F216</f>
        <v>5.7654870465999997</v>
      </c>
      <c r="G218" s="1">
        <f>'Unformatted Trip Summary'!G216</f>
        <v>48.979427686000001</v>
      </c>
      <c r="H218" s="1">
        <f>'Unformatted Trip Summary'!H216</f>
        <v>2.1696934758999999</v>
      </c>
    </row>
    <row r="219" spans="1:8" x14ac:dyDescent="0.25">
      <c r="A219" t="str">
        <f>'Unformatted Trip Summary'!A217</f>
        <v>03 WAIKATO</v>
      </c>
      <c r="B219" t="str">
        <f>'Unformatted Trip Summary'!J217</f>
        <v>2037/38</v>
      </c>
      <c r="C219" t="str">
        <f>'Unformatted Trip Summary'!I217</f>
        <v>Local Bus</v>
      </c>
      <c r="D219">
        <f>'Unformatted Trip Summary'!D217</f>
        <v>81</v>
      </c>
      <c r="E219">
        <f>'Unformatted Trip Summary'!E217</f>
        <v>183</v>
      </c>
      <c r="F219" s="1">
        <f>'Unformatted Trip Summary'!F217</f>
        <v>5.7454560841999998</v>
      </c>
      <c r="G219" s="1">
        <f>'Unformatted Trip Summary'!G217</f>
        <v>48.203982576999998</v>
      </c>
      <c r="H219" s="1">
        <f>'Unformatted Trip Summary'!H217</f>
        <v>2.1588323475000002</v>
      </c>
    </row>
    <row r="220" spans="1:8" x14ac:dyDescent="0.25">
      <c r="A220" t="str">
        <f>'Unformatted Trip Summary'!A218</f>
        <v>03 WAIKATO</v>
      </c>
      <c r="B220" t="str">
        <f>'Unformatted Trip Summary'!J218</f>
        <v>2042/43</v>
      </c>
      <c r="C220" t="str">
        <f>'Unformatted Trip Summary'!I218</f>
        <v>Local Bus</v>
      </c>
      <c r="D220">
        <f>'Unformatted Trip Summary'!D218</f>
        <v>81</v>
      </c>
      <c r="E220">
        <f>'Unformatted Trip Summary'!E218</f>
        <v>183</v>
      </c>
      <c r="F220" s="1">
        <f>'Unformatted Trip Summary'!F218</f>
        <v>5.6752577720000001</v>
      </c>
      <c r="G220" s="1">
        <f>'Unformatted Trip Summary'!G218</f>
        <v>47.224436009000001</v>
      </c>
      <c r="H220" s="1">
        <f>'Unformatted Trip Summary'!H218</f>
        <v>2.1343226210999999</v>
      </c>
    </row>
    <row r="221" spans="1:8" x14ac:dyDescent="0.25">
      <c r="A221" t="str">
        <f>'Unformatted Trip Summary'!A219</f>
        <v>03 WAIKATO</v>
      </c>
      <c r="B221" t="str">
        <f>'Unformatted Trip Summary'!J219</f>
        <v>2012/13</v>
      </c>
      <c r="C221" t="str">
        <f>'Unformatted Trip Summary'!I219</f>
        <v>Local Ferry</v>
      </c>
      <c r="D221">
        <f>'Unformatted Trip Summary'!D219</f>
        <v>3</v>
      </c>
      <c r="E221">
        <f>'Unformatted Trip Summary'!E219</f>
        <v>7</v>
      </c>
      <c r="F221" s="1">
        <f>'Unformatted Trip Summary'!F219</f>
        <v>0.2446181519</v>
      </c>
      <c r="G221" s="1">
        <f>'Unformatted Trip Summary'!G219</f>
        <v>0</v>
      </c>
      <c r="H221" s="1">
        <f>'Unformatted Trip Summary'!H219</f>
        <v>9.3342661800000004E-2</v>
      </c>
    </row>
    <row r="222" spans="1:8" x14ac:dyDescent="0.25">
      <c r="A222" t="str">
        <f>'Unformatted Trip Summary'!A220</f>
        <v>03 WAIKATO</v>
      </c>
      <c r="B222" t="str">
        <f>'Unformatted Trip Summary'!J220</f>
        <v>2017/18</v>
      </c>
      <c r="C222" t="str">
        <f>'Unformatted Trip Summary'!I220</f>
        <v>Local Ferry</v>
      </c>
      <c r="D222">
        <f>'Unformatted Trip Summary'!D220</f>
        <v>3</v>
      </c>
      <c r="E222">
        <f>'Unformatted Trip Summary'!E220</f>
        <v>7</v>
      </c>
      <c r="F222" s="1">
        <f>'Unformatted Trip Summary'!F220</f>
        <v>0.2673120779</v>
      </c>
      <c r="G222" s="1">
        <f>'Unformatted Trip Summary'!G220</f>
        <v>0</v>
      </c>
      <c r="H222" s="1">
        <f>'Unformatted Trip Summary'!H220</f>
        <v>0.104861736</v>
      </c>
    </row>
    <row r="223" spans="1:8" x14ac:dyDescent="0.25">
      <c r="A223" t="str">
        <f>'Unformatted Trip Summary'!A221</f>
        <v>03 WAIKATO</v>
      </c>
      <c r="B223" t="str">
        <f>'Unformatted Trip Summary'!J221</f>
        <v>2022/23</v>
      </c>
      <c r="C223" t="str">
        <f>'Unformatted Trip Summary'!I221</f>
        <v>Local Ferry</v>
      </c>
      <c r="D223">
        <f>'Unformatted Trip Summary'!D221</f>
        <v>3</v>
      </c>
      <c r="E223">
        <f>'Unformatted Trip Summary'!E221</f>
        <v>7</v>
      </c>
      <c r="F223" s="1">
        <f>'Unformatted Trip Summary'!F221</f>
        <v>0.2806473391</v>
      </c>
      <c r="G223" s="1">
        <f>'Unformatted Trip Summary'!G221</f>
        <v>0</v>
      </c>
      <c r="H223" s="1">
        <f>'Unformatted Trip Summary'!H221</f>
        <v>0.1116998555</v>
      </c>
    </row>
    <row r="224" spans="1:8" x14ac:dyDescent="0.25">
      <c r="A224" t="str">
        <f>'Unformatted Trip Summary'!A222</f>
        <v>03 WAIKATO</v>
      </c>
      <c r="B224" t="str">
        <f>'Unformatted Trip Summary'!J222</f>
        <v>2027/28</v>
      </c>
      <c r="C224" t="str">
        <f>'Unformatted Trip Summary'!I222</f>
        <v>Local Ferry</v>
      </c>
      <c r="D224">
        <f>'Unformatted Trip Summary'!D222</f>
        <v>3</v>
      </c>
      <c r="E224">
        <f>'Unformatted Trip Summary'!E222</f>
        <v>7</v>
      </c>
      <c r="F224" s="1">
        <f>'Unformatted Trip Summary'!F222</f>
        <v>0.30273286830000001</v>
      </c>
      <c r="G224" s="1">
        <f>'Unformatted Trip Summary'!G222</f>
        <v>0</v>
      </c>
      <c r="H224" s="1">
        <f>'Unformatted Trip Summary'!H222</f>
        <v>0.1234257163</v>
      </c>
    </row>
    <row r="225" spans="1:8" x14ac:dyDescent="0.25">
      <c r="A225" t="str">
        <f>'Unformatted Trip Summary'!A223</f>
        <v>03 WAIKATO</v>
      </c>
      <c r="B225" t="str">
        <f>'Unformatted Trip Summary'!J223</f>
        <v>2032/33</v>
      </c>
      <c r="C225" t="str">
        <f>'Unformatted Trip Summary'!I223</f>
        <v>Local Ferry</v>
      </c>
      <c r="D225">
        <f>'Unformatted Trip Summary'!D223</f>
        <v>3</v>
      </c>
      <c r="E225">
        <f>'Unformatted Trip Summary'!E223</f>
        <v>7</v>
      </c>
      <c r="F225" s="1">
        <f>'Unformatted Trip Summary'!F223</f>
        <v>0.31177955219999998</v>
      </c>
      <c r="G225" s="1">
        <f>'Unformatted Trip Summary'!G223</f>
        <v>0</v>
      </c>
      <c r="H225" s="1">
        <f>'Unformatted Trip Summary'!H223</f>
        <v>0.12781436430000001</v>
      </c>
    </row>
    <row r="226" spans="1:8" x14ac:dyDescent="0.25">
      <c r="A226" t="str">
        <f>'Unformatted Trip Summary'!A224</f>
        <v>03 WAIKATO</v>
      </c>
      <c r="B226" t="str">
        <f>'Unformatted Trip Summary'!J224</f>
        <v>2037/38</v>
      </c>
      <c r="C226" t="str">
        <f>'Unformatted Trip Summary'!I224</f>
        <v>Local Ferry</v>
      </c>
      <c r="D226">
        <f>'Unformatted Trip Summary'!D224</f>
        <v>3</v>
      </c>
      <c r="E226">
        <f>'Unformatted Trip Summary'!E224</f>
        <v>7</v>
      </c>
      <c r="F226" s="1">
        <f>'Unformatted Trip Summary'!F224</f>
        <v>0.3054565018</v>
      </c>
      <c r="G226" s="1">
        <f>'Unformatted Trip Summary'!G224</f>
        <v>0</v>
      </c>
      <c r="H226" s="1">
        <f>'Unformatted Trip Summary'!H224</f>
        <v>0.1250733195</v>
      </c>
    </row>
    <row r="227" spans="1:8" x14ac:dyDescent="0.25">
      <c r="A227" t="str">
        <f>'Unformatted Trip Summary'!A225</f>
        <v>03 WAIKATO</v>
      </c>
      <c r="B227" t="str">
        <f>'Unformatted Trip Summary'!J225</f>
        <v>2042/43</v>
      </c>
      <c r="C227" t="str">
        <f>'Unformatted Trip Summary'!I225</f>
        <v>Local Ferry</v>
      </c>
      <c r="D227">
        <f>'Unformatted Trip Summary'!D225</f>
        <v>3</v>
      </c>
      <c r="E227">
        <f>'Unformatted Trip Summary'!E225</f>
        <v>7</v>
      </c>
      <c r="F227" s="1">
        <f>'Unformatted Trip Summary'!F225</f>
        <v>0.29611963400000002</v>
      </c>
      <c r="G227" s="1">
        <f>'Unformatted Trip Summary'!G225</f>
        <v>0</v>
      </c>
      <c r="H227" s="1">
        <f>'Unformatted Trip Summary'!H225</f>
        <v>0.12098275830000001</v>
      </c>
    </row>
    <row r="228" spans="1:8" x14ac:dyDescent="0.25">
      <c r="A228" t="str">
        <f>'Unformatted Trip Summary'!A226</f>
        <v>03 WAIKATO</v>
      </c>
      <c r="B228" t="str">
        <f>'Unformatted Trip Summary'!J226</f>
        <v>2012/13</v>
      </c>
      <c r="C228" t="str">
        <f>'Unformatted Trip Summary'!I226</f>
        <v>Other Household Travel</v>
      </c>
      <c r="D228">
        <f>'Unformatted Trip Summary'!D226</f>
        <v>17</v>
      </c>
      <c r="E228">
        <f>'Unformatted Trip Summary'!E226</f>
        <v>46</v>
      </c>
      <c r="F228" s="1">
        <f>'Unformatted Trip Summary'!F226</f>
        <v>1.8854250596</v>
      </c>
      <c r="G228" s="1">
        <f>'Unformatted Trip Summary'!G226</f>
        <v>0</v>
      </c>
      <c r="H228" s="1">
        <f>'Unformatted Trip Summary'!H226</f>
        <v>0.63404452519999999</v>
      </c>
    </row>
    <row r="229" spans="1:8" x14ac:dyDescent="0.25">
      <c r="A229" t="str">
        <f>'Unformatted Trip Summary'!A227</f>
        <v>03 WAIKATO</v>
      </c>
      <c r="B229" t="str">
        <f>'Unformatted Trip Summary'!J227</f>
        <v>2017/18</v>
      </c>
      <c r="C229" t="str">
        <f>'Unformatted Trip Summary'!I227</f>
        <v>Other Household Travel</v>
      </c>
      <c r="D229">
        <f>'Unformatted Trip Summary'!D227</f>
        <v>17</v>
      </c>
      <c r="E229">
        <f>'Unformatted Trip Summary'!E227</f>
        <v>46</v>
      </c>
      <c r="F229" s="1">
        <f>'Unformatted Trip Summary'!F227</f>
        <v>2.0135229020000001</v>
      </c>
      <c r="G229" s="1">
        <f>'Unformatted Trip Summary'!G227</f>
        <v>0</v>
      </c>
      <c r="H229" s="1">
        <f>'Unformatted Trip Summary'!H227</f>
        <v>0.65864474080000002</v>
      </c>
    </row>
    <row r="230" spans="1:8" x14ac:dyDescent="0.25">
      <c r="A230" t="str">
        <f>'Unformatted Trip Summary'!A228</f>
        <v>03 WAIKATO</v>
      </c>
      <c r="B230" t="str">
        <f>'Unformatted Trip Summary'!J228</f>
        <v>2022/23</v>
      </c>
      <c r="C230" t="str">
        <f>'Unformatted Trip Summary'!I228</f>
        <v>Other Household Travel</v>
      </c>
      <c r="D230">
        <f>'Unformatted Trip Summary'!D228</f>
        <v>17</v>
      </c>
      <c r="E230">
        <f>'Unformatted Trip Summary'!E228</f>
        <v>46</v>
      </c>
      <c r="F230" s="1">
        <f>'Unformatted Trip Summary'!F228</f>
        <v>2.1248313519000002</v>
      </c>
      <c r="G230" s="1">
        <f>'Unformatted Trip Summary'!G228</f>
        <v>0</v>
      </c>
      <c r="H230" s="1">
        <f>'Unformatted Trip Summary'!H228</f>
        <v>0.67759649519999998</v>
      </c>
    </row>
    <row r="231" spans="1:8" x14ac:dyDescent="0.25">
      <c r="A231" t="str">
        <f>'Unformatted Trip Summary'!A229</f>
        <v>03 WAIKATO</v>
      </c>
      <c r="B231" t="str">
        <f>'Unformatted Trip Summary'!J229</f>
        <v>2027/28</v>
      </c>
      <c r="C231" t="str">
        <f>'Unformatted Trip Summary'!I229</f>
        <v>Other Household Travel</v>
      </c>
      <c r="D231">
        <f>'Unformatted Trip Summary'!D229</f>
        <v>17</v>
      </c>
      <c r="E231">
        <f>'Unformatted Trip Summary'!E229</f>
        <v>46</v>
      </c>
      <c r="F231" s="1">
        <f>'Unformatted Trip Summary'!F229</f>
        <v>2.2213623219</v>
      </c>
      <c r="G231" s="1">
        <f>'Unformatted Trip Summary'!G229</f>
        <v>0</v>
      </c>
      <c r="H231" s="1">
        <f>'Unformatted Trip Summary'!H229</f>
        <v>0.67909130390000005</v>
      </c>
    </row>
    <row r="232" spans="1:8" x14ac:dyDescent="0.25">
      <c r="A232" t="str">
        <f>'Unformatted Trip Summary'!A230</f>
        <v>03 WAIKATO</v>
      </c>
      <c r="B232" t="str">
        <f>'Unformatted Trip Summary'!J230</f>
        <v>2032/33</v>
      </c>
      <c r="C232" t="str">
        <f>'Unformatted Trip Summary'!I230</f>
        <v>Other Household Travel</v>
      </c>
      <c r="D232">
        <f>'Unformatted Trip Summary'!D230</f>
        <v>17</v>
      </c>
      <c r="E232">
        <f>'Unformatted Trip Summary'!E230</f>
        <v>46</v>
      </c>
      <c r="F232" s="1">
        <f>'Unformatted Trip Summary'!F230</f>
        <v>2.3544325535000001</v>
      </c>
      <c r="G232" s="1">
        <f>'Unformatted Trip Summary'!G230</f>
        <v>0</v>
      </c>
      <c r="H232" s="1">
        <f>'Unformatted Trip Summary'!H230</f>
        <v>0.67869345110000001</v>
      </c>
    </row>
    <row r="233" spans="1:8" x14ac:dyDescent="0.25">
      <c r="A233" t="str">
        <f>'Unformatted Trip Summary'!A231</f>
        <v>03 WAIKATO</v>
      </c>
      <c r="B233" t="str">
        <f>'Unformatted Trip Summary'!J231</f>
        <v>2037/38</v>
      </c>
      <c r="C233" t="str">
        <f>'Unformatted Trip Summary'!I231</f>
        <v>Other Household Travel</v>
      </c>
      <c r="D233">
        <f>'Unformatted Trip Summary'!D231</f>
        <v>17</v>
      </c>
      <c r="E233">
        <f>'Unformatted Trip Summary'!E231</f>
        <v>46</v>
      </c>
      <c r="F233" s="1">
        <f>'Unformatted Trip Summary'!F231</f>
        <v>2.4175919336999998</v>
      </c>
      <c r="G233" s="1">
        <f>'Unformatted Trip Summary'!G231</f>
        <v>0</v>
      </c>
      <c r="H233" s="1">
        <f>'Unformatted Trip Summary'!H231</f>
        <v>0.67244219790000004</v>
      </c>
    </row>
    <row r="234" spans="1:8" x14ac:dyDescent="0.25">
      <c r="A234" t="str">
        <f>'Unformatted Trip Summary'!A232</f>
        <v>03 WAIKATO</v>
      </c>
      <c r="B234" t="str">
        <f>'Unformatted Trip Summary'!J232</f>
        <v>2042/43</v>
      </c>
      <c r="C234" t="str">
        <f>'Unformatted Trip Summary'!I232</f>
        <v>Other Household Travel</v>
      </c>
      <c r="D234">
        <f>'Unformatted Trip Summary'!D232</f>
        <v>17</v>
      </c>
      <c r="E234">
        <f>'Unformatted Trip Summary'!E232</f>
        <v>46</v>
      </c>
      <c r="F234" s="1">
        <f>'Unformatted Trip Summary'!F232</f>
        <v>2.3887015695999998</v>
      </c>
      <c r="G234" s="1">
        <f>'Unformatted Trip Summary'!G232</f>
        <v>0</v>
      </c>
      <c r="H234" s="1">
        <f>'Unformatted Trip Summary'!H232</f>
        <v>0.65020723209999998</v>
      </c>
    </row>
    <row r="235" spans="1:8" x14ac:dyDescent="0.25">
      <c r="A235" t="str">
        <f>'Unformatted Trip Summary'!A233</f>
        <v>03 WAIKATO</v>
      </c>
      <c r="B235" t="str">
        <f>'Unformatted Trip Summary'!J233</f>
        <v>2012/13</v>
      </c>
      <c r="C235" t="str">
        <f>'Unformatted Trip Summary'!I233</f>
        <v>Air/Non-Local PT</v>
      </c>
      <c r="D235">
        <f>'Unformatted Trip Summary'!D233</f>
        <v>18</v>
      </c>
      <c r="E235">
        <f>'Unformatted Trip Summary'!E233</f>
        <v>32</v>
      </c>
      <c r="F235" s="1">
        <f>'Unformatted Trip Summary'!F233</f>
        <v>0.92406733060000001</v>
      </c>
      <c r="G235" s="1">
        <f>'Unformatted Trip Summary'!G233</f>
        <v>54.768337629999998</v>
      </c>
      <c r="H235" s="1">
        <f>'Unformatted Trip Summary'!H233</f>
        <v>2.3234459650999999</v>
      </c>
    </row>
    <row r="236" spans="1:8" x14ac:dyDescent="0.25">
      <c r="A236" t="str">
        <f>'Unformatted Trip Summary'!A234</f>
        <v>03 WAIKATO</v>
      </c>
      <c r="B236" t="str">
        <f>'Unformatted Trip Summary'!J234</f>
        <v>2017/18</v>
      </c>
      <c r="C236" t="str">
        <f>'Unformatted Trip Summary'!I234</f>
        <v>Air/Non-Local PT</v>
      </c>
      <c r="D236">
        <f>'Unformatted Trip Summary'!D234</f>
        <v>18</v>
      </c>
      <c r="E236">
        <f>'Unformatted Trip Summary'!E234</f>
        <v>32</v>
      </c>
      <c r="F236" s="1">
        <f>'Unformatted Trip Summary'!F234</f>
        <v>1.0254001501000001</v>
      </c>
      <c r="G236" s="1">
        <f>'Unformatted Trip Summary'!G234</f>
        <v>58.519535152000003</v>
      </c>
      <c r="H236" s="1">
        <f>'Unformatted Trip Summary'!H234</f>
        <v>2.5897311071</v>
      </c>
    </row>
    <row r="237" spans="1:8" x14ac:dyDescent="0.25">
      <c r="A237" t="str">
        <f>'Unformatted Trip Summary'!A235</f>
        <v>03 WAIKATO</v>
      </c>
      <c r="B237" t="str">
        <f>'Unformatted Trip Summary'!J235</f>
        <v>2022/23</v>
      </c>
      <c r="C237" t="str">
        <f>'Unformatted Trip Summary'!I235</f>
        <v>Air/Non-Local PT</v>
      </c>
      <c r="D237">
        <f>'Unformatted Trip Summary'!D235</f>
        <v>18</v>
      </c>
      <c r="E237">
        <f>'Unformatted Trip Summary'!E235</f>
        <v>32</v>
      </c>
      <c r="F237" s="1">
        <f>'Unformatted Trip Summary'!F235</f>
        <v>1.1433761354</v>
      </c>
      <c r="G237" s="1">
        <f>'Unformatted Trip Summary'!G235</f>
        <v>61.705591978000001</v>
      </c>
      <c r="H237" s="1">
        <f>'Unformatted Trip Summary'!H235</f>
        <v>2.8340951893000002</v>
      </c>
    </row>
    <row r="238" spans="1:8" x14ac:dyDescent="0.25">
      <c r="A238" t="str">
        <f>'Unformatted Trip Summary'!A236</f>
        <v>03 WAIKATO</v>
      </c>
      <c r="B238" t="str">
        <f>'Unformatted Trip Summary'!J236</f>
        <v>2027/28</v>
      </c>
      <c r="C238" t="str">
        <f>'Unformatted Trip Summary'!I236</f>
        <v>Air/Non-Local PT</v>
      </c>
      <c r="D238">
        <f>'Unformatted Trip Summary'!D236</f>
        <v>18</v>
      </c>
      <c r="E238">
        <f>'Unformatted Trip Summary'!E236</f>
        <v>32</v>
      </c>
      <c r="F238" s="1">
        <f>'Unformatted Trip Summary'!F236</f>
        <v>1.2775157846</v>
      </c>
      <c r="G238" s="1">
        <f>'Unformatted Trip Summary'!G236</f>
        <v>64.965502806000003</v>
      </c>
      <c r="H238" s="1">
        <f>'Unformatted Trip Summary'!H236</f>
        <v>3.2056210942000001</v>
      </c>
    </row>
    <row r="239" spans="1:8" x14ac:dyDescent="0.25">
      <c r="A239" t="str">
        <f>'Unformatted Trip Summary'!A237</f>
        <v>03 WAIKATO</v>
      </c>
      <c r="B239" t="str">
        <f>'Unformatted Trip Summary'!J237</f>
        <v>2032/33</v>
      </c>
      <c r="C239" t="str">
        <f>'Unformatted Trip Summary'!I237</f>
        <v>Air/Non-Local PT</v>
      </c>
      <c r="D239">
        <f>'Unformatted Trip Summary'!D237</f>
        <v>18</v>
      </c>
      <c r="E239">
        <f>'Unformatted Trip Summary'!E237</f>
        <v>32</v>
      </c>
      <c r="F239" s="1">
        <f>'Unformatted Trip Summary'!F237</f>
        <v>1.3868558708000001</v>
      </c>
      <c r="G239" s="1">
        <f>'Unformatted Trip Summary'!G237</f>
        <v>69.262692997000002</v>
      </c>
      <c r="H239" s="1">
        <f>'Unformatted Trip Summary'!H237</f>
        <v>3.5058490554000001</v>
      </c>
    </row>
    <row r="240" spans="1:8" x14ac:dyDescent="0.25">
      <c r="A240" t="str">
        <f>'Unformatted Trip Summary'!A238</f>
        <v>03 WAIKATO</v>
      </c>
      <c r="B240" t="str">
        <f>'Unformatted Trip Summary'!J238</f>
        <v>2037/38</v>
      </c>
      <c r="C240" t="str">
        <f>'Unformatted Trip Summary'!I238</f>
        <v>Air/Non-Local PT</v>
      </c>
      <c r="D240">
        <f>'Unformatted Trip Summary'!D238</f>
        <v>18</v>
      </c>
      <c r="E240">
        <f>'Unformatted Trip Summary'!E238</f>
        <v>32</v>
      </c>
      <c r="F240" s="1">
        <f>'Unformatted Trip Summary'!F238</f>
        <v>1.4652633698999999</v>
      </c>
      <c r="G240" s="1">
        <f>'Unformatted Trip Summary'!G238</f>
        <v>74.434476169000007</v>
      </c>
      <c r="H240" s="1">
        <f>'Unformatted Trip Summary'!H238</f>
        <v>3.5945635465999999</v>
      </c>
    </row>
    <row r="241" spans="1:8" x14ac:dyDescent="0.25">
      <c r="A241" t="str">
        <f>'Unformatted Trip Summary'!A239</f>
        <v>03 WAIKATO</v>
      </c>
      <c r="B241" t="str">
        <f>'Unformatted Trip Summary'!J239</f>
        <v>2042/43</v>
      </c>
      <c r="C241" t="str">
        <f>'Unformatted Trip Summary'!I239</f>
        <v>Air/Non-Local PT</v>
      </c>
      <c r="D241">
        <f>'Unformatted Trip Summary'!D239</f>
        <v>18</v>
      </c>
      <c r="E241">
        <f>'Unformatted Trip Summary'!E239</f>
        <v>32</v>
      </c>
      <c r="F241" s="1">
        <f>'Unformatted Trip Summary'!F239</f>
        <v>1.542700964</v>
      </c>
      <c r="G241" s="1">
        <f>'Unformatted Trip Summary'!G239</f>
        <v>80.12679369</v>
      </c>
      <c r="H241" s="1">
        <f>'Unformatted Trip Summary'!H239</f>
        <v>3.6718965058999999</v>
      </c>
    </row>
    <row r="242" spans="1:8" x14ac:dyDescent="0.25">
      <c r="A242" t="str">
        <f>'Unformatted Trip Summary'!A240</f>
        <v>03 WAIKATO</v>
      </c>
      <c r="B242" t="str">
        <f>'Unformatted Trip Summary'!J240</f>
        <v>2012/13</v>
      </c>
      <c r="C242" t="str">
        <f>'Unformatted Trip Summary'!I240</f>
        <v>Non-Household Travel</v>
      </c>
      <c r="D242">
        <f>'Unformatted Trip Summary'!D240</f>
        <v>52</v>
      </c>
      <c r="E242">
        <f>'Unformatted Trip Summary'!E240</f>
        <v>244</v>
      </c>
      <c r="F242" s="1">
        <f>'Unformatted Trip Summary'!F240</f>
        <v>8.7527428694000005</v>
      </c>
      <c r="G242" s="1">
        <f>'Unformatted Trip Summary'!G240</f>
        <v>166.86894676</v>
      </c>
      <c r="H242" s="1">
        <f>'Unformatted Trip Summary'!H240</f>
        <v>3.3327759721999999</v>
      </c>
    </row>
    <row r="243" spans="1:8" x14ac:dyDescent="0.25">
      <c r="A243" t="str">
        <f>'Unformatted Trip Summary'!A241</f>
        <v>03 WAIKATO</v>
      </c>
      <c r="B243" t="str">
        <f>'Unformatted Trip Summary'!J241</f>
        <v>2017/18</v>
      </c>
      <c r="C243" t="str">
        <f>'Unformatted Trip Summary'!I241</f>
        <v>Non-Household Travel</v>
      </c>
      <c r="D243">
        <f>'Unformatted Trip Summary'!D241</f>
        <v>52</v>
      </c>
      <c r="E243">
        <f>'Unformatted Trip Summary'!E241</f>
        <v>244</v>
      </c>
      <c r="F243" s="1">
        <f>'Unformatted Trip Summary'!F241</f>
        <v>9.1104739896000009</v>
      </c>
      <c r="G243" s="1">
        <f>'Unformatted Trip Summary'!G241</f>
        <v>171.16717632000001</v>
      </c>
      <c r="H243" s="1">
        <f>'Unformatted Trip Summary'!H241</f>
        <v>3.4369504678</v>
      </c>
    </row>
    <row r="244" spans="1:8" x14ac:dyDescent="0.25">
      <c r="A244" t="str">
        <f>'Unformatted Trip Summary'!A242</f>
        <v>03 WAIKATO</v>
      </c>
      <c r="B244" t="str">
        <f>'Unformatted Trip Summary'!J242</f>
        <v>2022/23</v>
      </c>
      <c r="C244" t="str">
        <f>'Unformatted Trip Summary'!I242</f>
        <v>Non-Household Travel</v>
      </c>
      <c r="D244">
        <f>'Unformatted Trip Summary'!D242</f>
        <v>52</v>
      </c>
      <c r="E244">
        <f>'Unformatted Trip Summary'!E242</f>
        <v>244</v>
      </c>
      <c r="F244" s="1">
        <f>'Unformatted Trip Summary'!F242</f>
        <v>9.2178153900000002</v>
      </c>
      <c r="G244" s="1">
        <f>'Unformatted Trip Summary'!G242</f>
        <v>172.85319709999999</v>
      </c>
      <c r="H244" s="1">
        <f>'Unformatted Trip Summary'!H242</f>
        <v>3.4740804974000001</v>
      </c>
    </row>
    <row r="245" spans="1:8" x14ac:dyDescent="0.25">
      <c r="A245" t="str">
        <f>'Unformatted Trip Summary'!A243</f>
        <v>03 WAIKATO</v>
      </c>
      <c r="B245" t="str">
        <f>'Unformatted Trip Summary'!J243</f>
        <v>2027/28</v>
      </c>
      <c r="C245" t="str">
        <f>'Unformatted Trip Summary'!I243</f>
        <v>Non-Household Travel</v>
      </c>
      <c r="D245">
        <f>'Unformatted Trip Summary'!D243</f>
        <v>52</v>
      </c>
      <c r="E245">
        <f>'Unformatted Trip Summary'!E243</f>
        <v>244</v>
      </c>
      <c r="F245" s="1">
        <f>'Unformatted Trip Summary'!F243</f>
        <v>9.3626850333</v>
      </c>
      <c r="G245" s="1">
        <f>'Unformatted Trip Summary'!G243</f>
        <v>178.29019266</v>
      </c>
      <c r="H245" s="1">
        <f>'Unformatted Trip Summary'!H243</f>
        <v>3.5690151241999999</v>
      </c>
    </row>
    <row r="246" spans="1:8" x14ac:dyDescent="0.25">
      <c r="A246" t="str">
        <f>'Unformatted Trip Summary'!A244</f>
        <v>03 WAIKATO</v>
      </c>
      <c r="B246" t="str">
        <f>'Unformatted Trip Summary'!J244</f>
        <v>2032/33</v>
      </c>
      <c r="C246" t="str">
        <f>'Unformatted Trip Summary'!I244</f>
        <v>Non-Household Travel</v>
      </c>
      <c r="D246">
        <f>'Unformatted Trip Summary'!D244</f>
        <v>52</v>
      </c>
      <c r="E246">
        <f>'Unformatted Trip Summary'!E244</f>
        <v>244</v>
      </c>
      <c r="F246" s="1">
        <f>'Unformatted Trip Summary'!F244</f>
        <v>9.5189366662000001</v>
      </c>
      <c r="G246" s="1">
        <f>'Unformatted Trip Summary'!G244</f>
        <v>185.33342224</v>
      </c>
      <c r="H246" s="1">
        <f>'Unformatted Trip Summary'!H244</f>
        <v>3.6856464273</v>
      </c>
    </row>
    <row r="247" spans="1:8" x14ac:dyDescent="0.25">
      <c r="A247" t="str">
        <f>'Unformatted Trip Summary'!A245</f>
        <v>03 WAIKATO</v>
      </c>
      <c r="B247" t="str">
        <f>'Unformatted Trip Summary'!J245</f>
        <v>2037/38</v>
      </c>
      <c r="C247" t="str">
        <f>'Unformatted Trip Summary'!I245</f>
        <v>Non-Household Travel</v>
      </c>
      <c r="D247">
        <f>'Unformatted Trip Summary'!D245</f>
        <v>52</v>
      </c>
      <c r="E247">
        <f>'Unformatted Trip Summary'!E245</f>
        <v>244</v>
      </c>
      <c r="F247" s="1">
        <f>'Unformatted Trip Summary'!F245</f>
        <v>9.7155234560999997</v>
      </c>
      <c r="G247" s="1">
        <f>'Unformatted Trip Summary'!G245</f>
        <v>192.10237180999999</v>
      </c>
      <c r="H247" s="1">
        <f>'Unformatted Trip Summary'!H245</f>
        <v>3.8078684053999998</v>
      </c>
    </row>
    <row r="248" spans="1:8" x14ac:dyDescent="0.25">
      <c r="A248" t="str">
        <f>'Unformatted Trip Summary'!A246</f>
        <v>03 WAIKATO</v>
      </c>
      <c r="B248" t="str">
        <f>'Unformatted Trip Summary'!J246</f>
        <v>2042/43</v>
      </c>
      <c r="C248" t="str">
        <f>'Unformatted Trip Summary'!I246</f>
        <v>Non-Household Travel</v>
      </c>
      <c r="D248">
        <f>'Unformatted Trip Summary'!D246</f>
        <v>52</v>
      </c>
      <c r="E248">
        <f>'Unformatted Trip Summary'!E246</f>
        <v>244</v>
      </c>
      <c r="F248" s="1">
        <f>'Unformatted Trip Summary'!F246</f>
        <v>9.8602518520999993</v>
      </c>
      <c r="G248" s="1">
        <f>'Unformatted Trip Summary'!G246</f>
        <v>197.93015933999999</v>
      </c>
      <c r="H248" s="1">
        <f>'Unformatted Trip Summary'!H246</f>
        <v>3.9103839455</v>
      </c>
    </row>
    <row r="249" spans="1:8" x14ac:dyDescent="0.25">
      <c r="A249" t="str">
        <f>'Unformatted Trip Summary'!A247</f>
        <v>04 BAY OF PLENTY</v>
      </c>
      <c r="B249" t="str">
        <f>'Unformatted Trip Summary'!J247</f>
        <v>2012/13</v>
      </c>
      <c r="C249" t="str">
        <f>'Unformatted Trip Summary'!I247</f>
        <v>Pedestrian</v>
      </c>
      <c r="D249">
        <f>'Unformatted Trip Summary'!D247</f>
        <v>436</v>
      </c>
      <c r="E249">
        <f>'Unformatted Trip Summary'!E247</f>
        <v>1419</v>
      </c>
      <c r="F249" s="1">
        <f>'Unformatted Trip Summary'!F247</f>
        <v>43.402809341999998</v>
      </c>
      <c r="G249" s="1">
        <f>'Unformatted Trip Summary'!G247</f>
        <v>35.579183637</v>
      </c>
      <c r="H249" s="1">
        <f>'Unformatted Trip Summary'!H247</f>
        <v>9.1706746114000008</v>
      </c>
    </row>
    <row r="250" spans="1:8" x14ac:dyDescent="0.25">
      <c r="A250" t="str">
        <f>'Unformatted Trip Summary'!A248</f>
        <v>04 BAY OF PLENTY</v>
      </c>
      <c r="B250" t="str">
        <f>'Unformatted Trip Summary'!J248</f>
        <v>2017/18</v>
      </c>
      <c r="C250" t="str">
        <f>'Unformatted Trip Summary'!I248</f>
        <v>Pedestrian</v>
      </c>
      <c r="D250">
        <f>'Unformatted Trip Summary'!D248</f>
        <v>436</v>
      </c>
      <c r="E250">
        <f>'Unformatted Trip Summary'!E248</f>
        <v>1419</v>
      </c>
      <c r="F250" s="1">
        <f>'Unformatted Trip Summary'!F248</f>
        <v>43.372110368999998</v>
      </c>
      <c r="G250" s="1">
        <f>'Unformatted Trip Summary'!G248</f>
        <v>34.790992879000001</v>
      </c>
      <c r="H250" s="1">
        <f>'Unformatted Trip Summary'!H248</f>
        <v>9.1231368286999999</v>
      </c>
    </row>
    <row r="251" spans="1:8" x14ac:dyDescent="0.25">
      <c r="A251" t="str">
        <f>'Unformatted Trip Summary'!A249</f>
        <v>04 BAY OF PLENTY</v>
      </c>
      <c r="B251" t="str">
        <f>'Unformatted Trip Summary'!J249</f>
        <v>2022/23</v>
      </c>
      <c r="C251" t="str">
        <f>'Unformatted Trip Summary'!I249</f>
        <v>Pedestrian</v>
      </c>
      <c r="D251">
        <f>'Unformatted Trip Summary'!D249</f>
        <v>436</v>
      </c>
      <c r="E251">
        <f>'Unformatted Trip Summary'!E249</f>
        <v>1419</v>
      </c>
      <c r="F251" s="1">
        <f>'Unformatted Trip Summary'!F249</f>
        <v>43.995149914999999</v>
      </c>
      <c r="G251" s="1">
        <f>'Unformatted Trip Summary'!G249</f>
        <v>34.740502710000001</v>
      </c>
      <c r="H251" s="1">
        <f>'Unformatted Trip Summary'!H249</f>
        <v>9.2253754374000003</v>
      </c>
    </row>
    <row r="252" spans="1:8" x14ac:dyDescent="0.25">
      <c r="A252" t="str">
        <f>'Unformatted Trip Summary'!A250</f>
        <v>04 BAY OF PLENTY</v>
      </c>
      <c r="B252" t="str">
        <f>'Unformatted Trip Summary'!J250</f>
        <v>2027/28</v>
      </c>
      <c r="C252" t="str">
        <f>'Unformatted Trip Summary'!I250</f>
        <v>Pedestrian</v>
      </c>
      <c r="D252">
        <f>'Unformatted Trip Summary'!D250</f>
        <v>436</v>
      </c>
      <c r="E252">
        <f>'Unformatted Trip Summary'!E250</f>
        <v>1419</v>
      </c>
      <c r="F252" s="1">
        <f>'Unformatted Trip Summary'!F250</f>
        <v>45.152885740999999</v>
      </c>
      <c r="G252" s="1">
        <f>'Unformatted Trip Summary'!G250</f>
        <v>34.816979435999997</v>
      </c>
      <c r="H252" s="1">
        <f>'Unformatted Trip Summary'!H250</f>
        <v>9.3384111796999996</v>
      </c>
    </row>
    <row r="253" spans="1:8" x14ac:dyDescent="0.25">
      <c r="A253" t="str">
        <f>'Unformatted Trip Summary'!A251</f>
        <v>04 BAY OF PLENTY</v>
      </c>
      <c r="B253" t="str">
        <f>'Unformatted Trip Summary'!J251</f>
        <v>2032/33</v>
      </c>
      <c r="C253" t="str">
        <f>'Unformatted Trip Summary'!I251</f>
        <v>Pedestrian</v>
      </c>
      <c r="D253">
        <f>'Unformatted Trip Summary'!D251</f>
        <v>436</v>
      </c>
      <c r="E253">
        <f>'Unformatted Trip Summary'!E251</f>
        <v>1419</v>
      </c>
      <c r="F253" s="1">
        <f>'Unformatted Trip Summary'!F251</f>
        <v>45.919451062</v>
      </c>
      <c r="G253" s="1">
        <f>'Unformatted Trip Summary'!G251</f>
        <v>34.448423263999999</v>
      </c>
      <c r="H253" s="1">
        <f>'Unformatted Trip Summary'!H251</f>
        <v>9.3299146004000004</v>
      </c>
    </row>
    <row r="254" spans="1:8" x14ac:dyDescent="0.25">
      <c r="A254" t="str">
        <f>'Unformatted Trip Summary'!A252</f>
        <v>04 BAY OF PLENTY</v>
      </c>
      <c r="B254" t="str">
        <f>'Unformatted Trip Summary'!J252</f>
        <v>2037/38</v>
      </c>
      <c r="C254" t="str">
        <f>'Unformatted Trip Summary'!I252</f>
        <v>Pedestrian</v>
      </c>
      <c r="D254">
        <f>'Unformatted Trip Summary'!D252</f>
        <v>436</v>
      </c>
      <c r="E254">
        <f>'Unformatted Trip Summary'!E252</f>
        <v>1419</v>
      </c>
      <c r="F254" s="1">
        <f>'Unformatted Trip Summary'!F252</f>
        <v>46.561837576000002</v>
      </c>
      <c r="G254" s="1">
        <f>'Unformatted Trip Summary'!G252</f>
        <v>34.190260559000002</v>
      </c>
      <c r="H254" s="1">
        <f>'Unformatted Trip Summary'!H252</f>
        <v>9.3014655286999997</v>
      </c>
    </row>
    <row r="255" spans="1:8" x14ac:dyDescent="0.25">
      <c r="A255" t="str">
        <f>'Unformatted Trip Summary'!A253</f>
        <v>04 BAY OF PLENTY</v>
      </c>
      <c r="B255" t="str">
        <f>'Unformatted Trip Summary'!J253</f>
        <v>2042/43</v>
      </c>
      <c r="C255" t="str">
        <f>'Unformatted Trip Summary'!I253</f>
        <v>Pedestrian</v>
      </c>
      <c r="D255">
        <f>'Unformatted Trip Summary'!D253</f>
        <v>436</v>
      </c>
      <c r="E255">
        <f>'Unformatted Trip Summary'!E253</f>
        <v>1419</v>
      </c>
      <c r="F255" s="1">
        <f>'Unformatted Trip Summary'!F253</f>
        <v>47.068287372</v>
      </c>
      <c r="G255" s="1">
        <f>'Unformatted Trip Summary'!G253</f>
        <v>33.855235813</v>
      </c>
      <c r="H255" s="1">
        <f>'Unformatted Trip Summary'!H253</f>
        <v>9.2469032937000009</v>
      </c>
    </row>
    <row r="256" spans="1:8" x14ac:dyDescent="0.25">
      <c r="A256" t="str">
        <f>'Unformatted Trip Summary'!A254</f>
        <v>04 BAY OF PLENTY</v>
      </c>
      <c r="B256" t="str">
        <f>'Unformatted Trip Summary'!J254</f>
        <v>2012/13</v>
      </c>
      <c r="C256" t="str">
        <f>'Unformatted Trip Summary'!I254</f>
        <v>Cyclist</v>
      </c>
      <c r="D256">
        <f>'Unformatted Trip Summary'!D254</f>
        <v>53</v>
      </c>
      <c r="E256">
        <f>'Unformatted Trip Summary'!E254</f>
        <v>183</v>
      </c>
      <c r="F256" s="1">
        <f>'Unformatted Trip Summary'!F254</f>
        <v>5.1579391552000002</v>
      </c>
      <c r="G256" s="1">
        <f>'Unformatted Trip Summary'!G254</f>
        <v>8.5028812633000008</v>
      </c>
      <c r="H256" s="1">
        <f>'Unformatted Trip Summary'!H254</f>
        <v>0.91801276549999999</v>
      </c>
    </row>
    <row r="257" spans="1:8" x14ac:dyDescent="0.25">
      <c r="A257" t="str">
        <f>'Unformatted Trip Summary'!A255</f>
        <v>04 BAY OF PLENTY</v>
      </c>
      <c r="B257" t="str">
        <f>'Unformatted Trip Summary'!J255</f>
        <v>2017/18</v>
      </c>
      <c r="C257" t="str">
        <f>'Unformatted Trip Summary'!I255</f>
        <v>Cyclist</v>
      </c>
      <c r="D257">
        <f>'Unformatted Trip Summary'!D255</f>
        <v>53</v>
      </c>
      <c r="E257">
        <f>'Unformatted Trip Summary'!E255</f>
        <v>183</v>
      </c>
      <c r="F257" s="1">
        <f>'Unformatted Trip Summary'!F255</f>
        <v>4.9444556304000002</v>
      </c>
      <c r="G257" s="1">
        <f>'Unformatted Trip Summary'!G255</f>
        <v>8.1634751249999997</v>
      </c>
      <c r="H257" s="1">
        <f>'Unformatted Trip Summary'!H255</f>
        <v>0.87246196180000002</v>
      </c>
    </row>
    <row r="258" spans="1:8" x14ac:dyDescent="0.25">
      <c r="A258" t="str">
        <f>'Unformatted Trip Summary'!A256</f>
        <v>04 BAY OF PLENTY</v>
      </c>
      <c r="B258" t="str">
        <f>'Unformatted Trip Summary'!J256</f>
        <v>2022/23</v>
      </c>
      <c r="C258" t="str">
        <f>'Unformatted Trip Summary'!I256</f>
        <v>Cyclist</v>
      </c>
      <c r="D258">
        <f>'Unformatted Trip Summary'!D256</f>
        <v>53</v>
      </c>
      <c r="E258">
        <f>'Unformatted Trip Summary'!E256</f>
        <v>183</v>
      </c>
      <c r="F258" s="1">
        <f>'Unformatted Trip Summary'!F256</f>
        <v>4.8500432681000003</v>
      </c>
      <c r="G258" s="1">
        <f>'Unformatted Trip Summary'!G256</f>
        <v>8.0152527414999994</v>
      </c>
      <c r="H258" s="1">
        <f>'Unformatted Trip Summary'!H256</f>
        <v>0.85065460429999995</v>
      </c>
    </row>
    <row r="259" spans="1:8" x14ac:dyDescent="0.25">
      <c r="A259" t="str">
        <f>'Unformatted Trip Summary'!A257</f>
        <v>04 BAY OF PLENTY</v>
      </c>
      <c r="B259" t="str">
        <f>'Unformatted Trip Summary'!J257</f>
        <v>2027/28</v>
      </c>
      <c r="C259" t="str">
        <f>'Unformatted Trip Summary'!I257</f>
        <v>Cyclist</v>
      </c>
      <c r="D259">
        <f>'Unformatted Trip Summary'!D257</f>
        <v>53</v>
      </c>
      <c r="E259">
        <f>'Unformatted Trip Summary'!E257</f>
        <v>183</v>
      </c>
      <c r="F259" s="1">
        <f>'Unformatted Trip Summary'!F257</f>
        <v>4.9282689907000004</v>
      </c>
      <c r="G259" s="1">
        <f>'Unformatted Trip Summary'!G257</f>
        <v>8.1177348283999997</v>
      </c>
      <c r="H259" s="1">
        <f>'Unformatted Trip Summary'!H257</f>
        <v>0.85599727280000004</v>
      </c>
    </row>
    <row r="260" spans="1:8" x14ac:dyDescent="0.25">
      <c r="A260" t="str">
        <f>'Unformatted Trip Summary'!A258</f>
        <v>04 BAY OF PLENTY</v>
      </c>
      <c r="B260" t="str">
        <f>'Unformatted Trip Summary'!J258</f>
        <v>2032/33</v>
      </c>
      <c r="C260" t="str">
        <f>'Unformatted Trip Summary'!I258</f>
        <v>Cyclist</v>
      </c>
      <c r="D260">
        <f>'Unformatted Trip Summary'!D258</f>
        <v>53</v>
      </c>
      <c r="E260">
        <f>'Unformatted Trip Summary'!E258</f>
        <v>183</v>
      </c>
      <c r="F260" s="1">
        <f>'Unformatted Trip Summary'!F258</f>
        <v>4.9497597988999997</v>
      </c>
      <c r="G260" s="1">
        <f>'Unformatted Trip Summary'!G258</f>
        <v>8.0581097381000006</v>
      </c>
      <c r="H260" s="1">
        <f>'Unformatted Trip Summary'!H258</f>
        <v>0.84902615749999999</v>
      </c>
    </row>
    <row r="261" spans="1:8" x14ac:dyDescent="0.25">
      <c r="A261" t="str">
        <f>'Unformatted Trip Summary'!A259</f>
        <v>04 BAY OF PLENTY</v>
      </c>
      <c r="B261" t="str">
        <f>'Unformatted Trip Summary'!J259</f>
        <v>2037/38</v>
      </c>
      <c r="C261" t="str">
        <f>'Unformatted Trip Summary'!I259</f>
        <v>Cyclist</v>
      </c>
      <c r="D261">
        <f>'Unformatted Trip Summary'!D259</f>
        <v>53</v>
      </c>
      <c r="E261">
        <f>'Unformatted Trip Summary'!E259</f>
        <v>183</v>
      </c>
      <c r="F261" s="1">
        <f>'Unformatted Trip Summary'!F259</f>
        <v>4.9417954130000004</v>
      </c>
      <c r="G261" s="1">
        <f>'Unformatted Trip Summary'!G259</f>
        <v>8.0842583906000005</v>
      </c>
      <c r="H261" s="1">
        <f>'Unformatted Trip Summary'!H259</f>
        <v>0.84240488530000002</v>
      </c>
    </row>
    <row r="262" spans="1:8" x14ac:dyDescent="0.25">
      <c r="A262" t="str">
        <f>'Unformatted Trip Summary'!A260</f>
        <v>04 BAY OF PLENTY</v>
      </c>
      <c r="B262" t="str">
        <f>'Unformatted Trip Summary'!J260</f>
        <v>2042/43</v>
      </c>
      <c r="C262" t="str">
        <f>'Unformatted Trip Summary'!I260</f>
        <v>Cyclist</v>
      </c>
      <c r="D262">
        <f>'Unformatted Trip Summary'!D260</f>
        <v>53</v>
      </c>
      <c r="E262">
        <f>'Unformatted Trip Summary'!E260</f>
        <v>183</v>
      </c>
      <c r="F262" s="1">
        <f>'Unformatted Trip Summary'!F260</f>
        <v>4.9165953797000004</v>
      </c>
      <c r="G262" s="1">
        <f>'Unformatted Trip Summary'!G260</f>
        <v>8.0943519877999996</v>
      </c>
      <c r="H262" s="1">
        <f>'Unformatted Trip Summary'!H260</f>
        <v>0.83391520279999998</v>
      </c>
    </row>
    <row r="263" spans="1:8" x14ac:dyDescent="0.25">
      <c r="A263" t="str">
        <f>'Unformatted Trip Summary'!A261</f>
        <v>04 BAY OF PLENTY</v>
      </c>
      <c r="B263" t="str">
        <f>'Unformatted Trip Summary'!J261</f>
        <v>2012/13</v>
      </c>
      <c r="C263" t="str">
        <f>'Unformatted Trip Summary'!I261</f>
        <v>Light Vehicle Driver</v>
      </c>
      <c r="D263">
        <f>'Unformatted Trip Summary'!D261</f>
        <v>777</v>
      </c>
      <c r="E263">
        <f>'Unformatted Trip Summary'!E261</f>
        <v>5260</v>
      </c>
      <c r="F263" s="1">
        <f>'Unformatted Trip Summary'!F261</f>
        <v>178.59124365</v>
      </c>
      <c r="G263" s="1">
        <f>'Unformatted Trip Summary'!G261</f>
        <v>1972.0747595</v>
      </c>
      <c r="H263" s="1">
        <f>'Unformatted Trip Summary'!H261</f>
        <v>45.59682093</v>
      </c>
    </row>
    <row r="264" spans="1:8" x14ac:dyDescent="0.25">
      <c r="A264" t="str">
        <f>'Unformatted Trip Summary'!A262</f>
        <v>04 BAY OF PLENTY</v>
      </c>
      <c r="B264" t="str">
        <f>'Unformatted Trip Summary'!J262</f>
        <v>2017/18</v>
      </c>
      <c r="C264" t="str">
        <f>'Unformatted Trip Summary'!I262</f>
        <v>Light Vehicle Driver</v>
      </c>
      <c r="D264">
        <f>'Unformatted Trip Summary'!D262</f>
        <v>777</v>
      </c>
      <c r="E264">
        <f>'Unformatted Trip Summary'!E262</f>
        <v>5260</v>
      </c>
      <c r="F264" s="1">
        <f>'Unformatted Trip Summary'!F262</f>
        <v>182.18770501</v>
      </c>
      <c r="G264" s="1">
        <f>'Unformatted Trip Summary'!G262</f>
        <v>2042.3257997999999</v>
      </c>
      <c r="H264" s="1">
        <f>'Unformatted Trip Summary'!H262</f>
        <v>46.924778840000002</v>
      </c>
    </row>
    <row r="265" spans="1:8" x14ac:dyDescent="0.25">
      <c r="A265" t="str">
        <f>'Unformatted Trip Summary'!A263</f>
        <v>04 BAY OF PLENTY</v>
      </c>
      <c r="B265" t="str">
        <f>'Unformatted Trip Summary'!J263</f>
        <v>2022/23</v>
      </c>
      <c r="C265" t="str">
        <f>'Unformatted Trip Summary'!I263</f>
        <v>Light Vehicle Driver</v>
      </c>
      <c r="D265">
        <f>'Unformatted Trip Summary'!D263</f>
        <v>777</v>
      </c>
      <c r="E265">
        <f>'Unformatted Trip Summary'!E263</f>
        <v>5260</v>
      </c>
      <c r="F265" s="1">
        <f>'Unformatted Trip Summary'!F263</f>
        <v>188.84163054000001</v>
      </c>
      <c r="G265" s="1">
        <f>'Unformatted Trip Summary'!G263</f>
        <v>2141.3896730000001</v>
      </c>
      <c r="H265" s="1">
        <f>'Unformatted Trip Summary'!H263</f>
        <v>48.980642240000002</v>
      </c>
    </row>
    <row r="266" spans="1:8" x14ac:dyDescent="0.25">
      <c r="A266" t="str">
        <f>'Unformatted Trip Summary'!A264</f>
        <v>04 BAY OF PLENTY</v>
      </c>
      <c r="B266" t="str">
        <f>'Unformatted Trip Summary'!J264</f>
        <v>2027/28</v>
      </c>
      <c r="C266" t="str">
        <f>'Unformatted Trip Summary'!I264</f>
        <v>Light Vehicle Driver</v>
      </c>
      <c r="D266">
        <f>'Unformatted Trip Summary'!D264</f>
        <v>777</v>
      </c>
      <c r="E266">
        <f>'Unformatted Trip Summary'!E264</f>
        <v>5260</v>
      </c>
      <c r="F266" s="1">
        <f>'Unformatted Trip Summary'!F264</f>
        <v>198.75493283</v>
      </c>
      <c r="G266" s="1">
        <f>'Unformatted Trip Summary'!G264</f>
        <v>2278.1616451999998</v>
      </c>
      <c r="H266" s="1">
        <f>'Unformatted Trip Summary'!H264</f>
        <v>51.924729636999999</v>
      </c>
    </row>
    <row r="267" spans="1:8" x14ac:dyDescent="0.25">
      <c r="A267" t="str">
        <f>'Unformatted Trip Summary'!A265</f>
        <v>04 BAY OF PLENTY</v>
      </c>
      <c r="B267" t="str">
        <f>'Unformatted Trip Summary'!J265</f>
        <v>2032/33</v>
      </c>
      <c r="C267" t="str">
        <f>'Unformatted Trip Summary'!I265</f>
        <v>Light Vehicle Driver</v>
      </c>
      <c r="D267">
        <f>'Unformatted Trip Summary'!D265</f>
        <v>777</v>
      </c>
      <c r="E267">
        <f>'Unformatted Trip Summary'!E265</f>
        <v>5260</v>
      </c>
      <c r="F267" s="1">
        <f>'Unformatted Trip Summary'!F265</f>
        <v>205.77851817000001</v>
      </c>
      <c r="G267" s="1">
        <f>'Unformatted Trip Summary'!G265</f>
        <v>2374.3043545999999</v>
      </c>
      <c r="H267" s="1">
        <f>'Unformatted Trip Summary'!H265</f>
        <v>54.023771197999999</v>
      </c>
    </row>
    <row r="268" spans="1:8" x14ac:dyDescent="0.25">
      <c r="A268" t="str">
        <f>'Unformatted Trip Summary'!A266</f>
        <v>04 BAY OF PLENTY</v>
      </c>
      <c r="B268" t="str">
        <f>'Unformatted Trip Summary'!J266</f>
        <v>2037/38</v>
      </c>
      <c r="C268" t="str">
        <f>'Unformatted Trip Summary'!I266</f>
        <v>Light Vehicle Driver</v>
      </c>
      <c r="D268">
        <f>'Unformatted Trip Summary'!D266</f>
        <v>777</v>
      </c>
      <c r="E268">
        <f>'Unformatted Trip Summary'!E266</f>
        <v>5260</v>
      </c>
      <c r="F268" s="1">
        <f>'Unformatted Trip Summary'!F266</f>
        <v>208.99509796000001</v>
      </c>
      <c r="G268" s="1">
        <f>'Unformatted Trip Summary'!G266</f>
        <v>2420.4336051</v>
      </c>
      <c r="H268" s="1">
        <f>'Unformatted Trip Summary'!H266</f>
        <v>55.089980236999999</v>
      </c>
    </row>
    <row r="269" spans="1:8" x14ac:dyDescent="0.25">
      <c r="A269" t="str">
        <f>'Unformatted Trip Summary'!A267</f>
        <v>04 BAY OF PLENTY</v>
      </c>
      <c r="B269" t="str">
        <f>'Unformatted Trip Summary'!J267</f>
        <v>2042/43</v>
      </c>
      <c r="C269" t="str">
        <f>'Unformatted Trip Summary'!I267</f>
        <v>Light Vehicle Driver</v>
      </c>
      <c r="D269">
        <f>'Unformatted Trip Summary'!D267</f>
        <v>777</v>
      </c>
      <c r="E269">
        <f>'Unformatted Trip Summary'!E267</f>
        <v>5260</v>
      </c>
      <c r="F269" s="1">
        <f>'Unformatted Trip Summary'!F267</f>
        <v>211.30127001</v>
      </c>
      <c r="G269" s="1">
        <f>'Unformatted Trip Summary'!G267</f>
        <v>2455.6110985</v>
      </c>
      <c r="H269" s="1">
        <f>'Unformatted Trip Summary'!H267</f>
        <v>55.933187685</v>
      </c>
    </row>
    <row r="270" spans="1:8" x14ac:dyDescent="0.25">
      <c r="A270" t="str">
        <f>'Unformatted Trip Summary'!A268</f>
        <v>04 BAY OF PLENTY</v>
      </c>
      <c r="B270" t="str">
        <f>'Unformatted Trip Summary'!J268</f>
        <v>2012/13</v>
      </c>
      <c r="C270" t="str">
        <f>'Unformatted Trip Summary'!I268</f>
        <v>Light Vehicle Passenger</v>
      </c>
      <c r="D270">
        <f>'Unformatted Trip Summary'!D268</f>
        <v>591</v>
      </c>
      <c r="E270">
        <f>'Unformatted Trip Summary'!E268</f>
        <v>2668</v>
      </c>
      <c r="F270" s="1">
        <f>'Unformatted Trip Summary'!F268</f>
        <v>98.719582360000004</v>
      </c>
      <c r="G270" s="1">
        <f>'Unformatted Trip Summary'!G268</f>
        <v>1385.2330090999999</v>
      </c>
      <c r="H270" s="1">
        <f>'Unformatted Trip Summary'!H268</f>
        <v>28.895615969000001</v>
      </c>
    </row>
    <row r="271" spans="1:8" x14ac:dyDescent="0.25">
      <c r="A271" t="str">
        <f>'Unformatted Trip Summary'!A269</f>
        <v>04 BAY OF PLENTY</v>
      </c>
      <c r="B271" t="str">
        <f>'Unformatted Trip Summary'!J269</f>
        <v>2017/18</v>
      </c>
      <c r="C271" t="str">
        <f>'Unformatted Trip Summary'!I269</f>
        <v>Light Vehicle Passenger</v>
      </c>
      <c r="D271">
        <f>'Unformatted Trip Summary'!D269</f>
        <v>591</v>
      </c>
      <c r="E271">
        <f>'Unformatted Trip Summary'!E269</f>
        <v>2668</v>
      </c>
      <c r="F271" s="1">
        <f>'Unformatted Trip Summary'!F269</f>
        <v>96.854488774999993</v>
      </c>
      <c r="G271" s="1">
        <f>'Unformatted Trip Summary'!G269</f>
        <v>1434.7632172000001</v>
      </c>
      <c r="H271" s="1">
        <f>'Unformatted Trip Summary'!H269</f>
        <v>29.389756508000001</v>
      </c>
    </row>
    <row r="272" spans="1:8" x14ac:dyDescent="0.25">
      <c r="A272" t="str">
        <f>'Unformatted Trip Summary'!A270</f>
        <v>04 BAY OF PLENTY</v>
      </c>
      <c r="B272" t="str">
        <f>'Unformatted Trip Summary'!J270</f>
        <v>2022/23</v>
      </c>
      <c r="C272" t="str">
        <f>'Unformatted Trip Summary'!I270</f>
        <v>Light Vehicle Passenger</v>
      </c>
      <c r="D272">
        <f>'Unformatted Trip Summary'!D270</f>
        <v>591</v>
      </c>
      <c r="E272">
        <f>'Unformatted Trip Summary'!E270</f>
        <v>2668</v>
      </c>
      <c r="F272" s="1">
        <f>'Unformatted Trip Summary'!F270</f>
        <v>96.308968105000005</v>
      </c>
      <c r="G272" s="1">
        <f>'Unformatted Trip Summary'!G270</f>
        <v>1486.2109055000001</v>
      </c>
      <c r="H272" s="1">
        <f>'Unformatted Trip Summary'!H270</f>
        <v>30.100385065000001</v>
      </c>
    </row>
    <row r="273" spans="1:8" x14ac:dyDescent="0.25">
      <c r="A273" t="str">
        <f>'Unformatted Trip Summary'!A271</f>
        <v>04 BAY OF PLENTY</v>
      </c>
      <c r="B273" t="str">
        <f>'Unformatted Trip Summary'!J271</f>
        <v>2027/28</v>
      </c>
      <c r="C273" t="str">
        <f>'Unformatted Trip Summary'!I271</f>
        <v>Light Vehicle Passenger</v>
      </c>
      <c r="D273">
        <f>'Unformatted Trip Summary'!D271</f>
        <v>591</v>
      </c>
      <c r="E273">
        <f>'Unformatted Trip Summary'!E271</f>
        <v>2668</v>
      </c>
      <c r="F273" s="1">
        <f>'Unformatted Trip Summary'!F271</f>
        <v>97.190953843000003</v>
      </c>
      <c r="G273" s="1">
        <f>'Unformatted Trip Summary'!G271</f>
        <v>1545.3871498999999</v>
      </c>
      <c r="H273" s="1">
        <f>'Unformatted Trip Summary'!H271</f>
        <v>31.045389652000001</v>
      </c>
    </row>
    <row r="274" spans="1:8" x14ac:dyDescent="0.25">
      <c r="A274" t="str">
        <f>'Unformatted Trip Summary'!A272</f>
        <v>04 BAY OF PLENTY</v>
      </c>
      <c r="B274" t="str">
        <f>'Unformatted Trip Summary'!J272</f>
        <v>2032/33</v>
      </c>
      <c r="C274" t="str">
        <f>'Unformatted Trip Summary'!I272</f>
        <v>Light Vehicle Passenger</v>
      </c>
      <c r="D274">
        <f>'Unformatted Trip Summary'!D272</f>
        <v>591</v>
      </c>
      <c r="E274">
        <f>'Unformatted Trip Summary'!E272</f>
        <v>2668</v>
      </c>
      <c r="F274" s="1">
        <f>'Unformatted Trip Summary'!F272</f>
        <v>97.427187984</v>
      </c>
      <c r="G274" s="1">
        <f>'Unformatted Trip Summary'!G272</f>
        <v>1575.3837180999999</v>
      </c>
      <c r="H274" s="1">
        <f>'Unformatted Trip Summary'!H272</f>
        <v>31.493922194</v>
      </c>
    </row>
    <row r="275" spans="1:8" x14ac:dyDescent="0.25">
      <c r="A275" t="str">
        <f>'Unformatted Trip Summary'!A273</f>
        <v>04 BAY OF PLENTY</v>
      </c>
      <c r="B275" t="str">
        <f>'Unformatted Trip Summary'!J273</f>
        <v>2037/38</v>
      </c>
      <c r="C275" t="str">
        <f>'Unformatted Trip Summary'!I273</f>
        <v>Light Vehicle Passenger</v>
      </c>
      <c r="D275">
        <f>'Unformatted Trip Summary'!D273</f>
        <v>591</v>
      </c>
      <c r="E275">
        <f>'Unformatted Trip Summary'!E273</f>
        <v>2668</v>
      </c>
      <c r="F275" s="1">
        <f>'Unformatted Trip Summary'!F273</f>
        <v>97.174843167000006</v>
      </c>
      <c r="G275" s="1">
        <f>'Unformatted Trip Summary'!G273</f>
        <v>1592.4646315</v>
      </c>
      <c r="H275" s="1">
        <f>'Unformatted Trip Summary'!H273</f>
        <v>31.720440298</v>
      </c>
    </row>
    <row r="276" spans="1:8" x14ac:dyDescent="0.25">
      <c r="A276" t="str">
        <f>'Unformatted Trip Summary'!A274</f>
        <v>04 BAY OF PLENTY</v>
      </c>
      <c r="B276" t="str">
        <f>'Unformatted Trip Summary'!J274</f>
        <v>2042/43</v>
      </c>
      <c r="C276" t="str">
        <f>'Unformatted Trip Summary'!I274</f>
        <v>Light Vehicle Passenger</v>
      </c>
      <c r="D276">
        <f>'Unformatted Trip Summary'!D274</f>
        <v>591</v>
      </c>
      <c r="E276">
        <f>'Unformatted Trip Summary'!E274</f>
        <v>2668</v>
      </c>
      <c r="F276" s="1">
        <f>'Unformatted Trip Summary'!F274</f>
        <v>96.611828657000004</v>
      </c>
      <c r="G276" s="1">
        <f>'Unformatted Trip Summary'!G274</f>
        <v>1603.5248200999999</v>
      </c>
      <c r="H276" s="1">
        <f>'Unformatted Trip Summary'!H274</f>
        <v>31.835575307999999</v>
      </c>
    </row>
    <row r="277" spans="1:8" x14ac:dyDescent="0.25">
      <c r="A277" t="str">
        <f>'Unformatted Trip Summary'!A275</f>
        <v>04 BAY OF PLENTY</v>
      </c>
      <c r="B277" t="str">
        <f>'Unformatted Trip Summary'!J275</f>
        <v>2012/13</v>
      </c>
      <c r="C277" t="str">
        <f>'Unformatted Trip Summary'!I275</f>
        <v>Taxi/Vehicle Share</v>
      </c>
      <c r="D277">
        <f>'Unformatted Trip Summary'!D275</f>
        <v>4</v>
      </c>
      <c r="E277">
        <f>'Unformatted Trip Summary'!E275</f>
        <v>8</v>
      </c>
      <c r="F277" s="1">
        <f>'Unformatted Trip Summary'!F275</f>
        <v>0.15552198610000001</v>
      </c>
      <c r="G277" s="1">
        <f>'Unformatted Trip Summary'!G275</f>
        <v>0.98369936449999995</v>
      </c>
      <c r="H277" s="1">
        <f>'Unformatted Trip Summary'!H275</f>
        <v>7.3048454499999999E-2</v>
      </c>
    </row>
    <row r="278" spans="1:8" x14ac:dyDescent="0.25">
      <c r="A278" t="str">
        <f>'Unformatted Trip Summary'!A276</f>
        <v>04 BAY OF PLENTY</v>
      </c>
      <c r="B278" t="str">
        <f>'Unformatted Trip Summary'!J276</f>
        <v>2017/18</v>
      </c>
      <c r="C278" t="str">
        <f>'Unformatted Trip Summary'!I276</f>
        <v>Taxi/Vehicle Share</v>
      </c>
      <c r="D278">
        <f>'Unformatted Trip Summary'!D276</f>
        <v>4</v>
      </c>
      <c r="E278">
        <f>'Unformatted Trip Summary'!E276</f>
        <v>8</v>
      </c>
      <c r="F278" s="1">
        <f>'Unformatted Trip Summary'!F276</f>
        <v>0.1405204562</v>
      </c>
      <c r="G278" s="1">
        <f>'Unformatted Trip Summary'!G276</f>
        <v>0.88961446099999997</v>
      </c>
      <c r="H278" s="1">
        <f>'Unformatted Trip Summary'!H276</f>
        <v>6.6186346500000007E-2</v>
      </c>
    </row>
    <row r="279" spans="1:8" x14ac:dyDescent="0.25">
      <c r="A279" t="str">
        <f>'Unformatted Trip Summary'!A277</f>
        <v>04 BAY OF PLENTY</v>
      </c>
      <c r="B279" t="str">
        <f>'Unformatted Trip Summary'!J277</f>
        <v>2022/23</v>
      </c>
      <c r="C279" t="str">
        <f>'Unformatted Trip Summary'!I277</f>
        <v>Taxi/Vehicle Share</v>
      </c>
      <c r="D279">
        <f>'Unformatted Trip Summary'!D277</f>
        <v>4</v>
      </c>
      <c r="E279">
        <f>'Unformatted Trip Summary'!E277</f>
        <v>8</v>
      </c>
      <c r="F279" s="1">
        <f>'Unformatted Trip Summary'!F277</f>
        <v>0.13009125229999999</v>
      </c>
      <c r="G279" s="1">
        <f>'Unformatted Trip Summary'!G277</f>
        <v>0.85643251509999996</v>
      </c>
      <c r="H279" s="1">
        <f>'Unformatted Trip Summary'!H277</f>
        <v>6.3705255500000002E-2</v>
      </c>
    </row>
    <row r="280" spans="1:8" x14ac:dyDescent="0.25">
      <c r="A280" t="str">
        <f>'Unformatted Trip Summary'!A278</f>
        <v>04 BAY OF PLENTY</v>
      </c>
      <c r="B280" t="str">
        <f>'Unformatted Trip Summary'!J278</f>
        <v>2027/28</v>
      </c>
      <c r="C280" t="str">
        <f>'Unformatted Trip Summary'!I278</f>
        <v>Taxi/Vehicle Share</v>
      </c>
      <c r="D280">
        <f>'Unformatted Trip Summary'!D278</f>
        <v>4</v>
      </c>
      <c r="E280">
        <f>'Unformatted Trip Summary'!E278</f>
        <v>8</v>
      </c>
      <c r="F280" s="1">
        <f>'Unformatted Trip Summary'!F278</f>
        <v>0.1243562644</v>
      </c>
      <c r="G280" s="1">
        <f>'Unformatted Trip Summary'!G278</f>
        <v>0.86840002230000002</v>
      </c>
      <c r="H280" s="1">
        <f>'Unformatted Trip Summary'!H278</f>
        <v>6.4323127300000005E-2</v>
      </c>
    </row>
    <row r="281" spans="1:8" x14ac:dyDescent="0.25">
      <c r="A281" t="str">
        <f>'Unformatted Trip Summary'!A279</f>
        <v>04 BAY OF PLENTY</v>
      </c>
      <c r="B281" t="str">
        <f>'Unformatted Trip Summary'!J279</f>
        <v>2032/33</v>
      </c>
      <c r="C281" t="str">
        <f>'Unformatted Trip Summary'!I279</f>
        <v>Taxi/Vehicle Share</v>
      </c>
      <c r="D281">
        <f>'Unformatted Trip Summary'!D279</f>
        <v>4</v>
      </c>
      <c r="E281">
        <f>'Unformatted Trip Summary'!E279</f>
        <v>8</v>
      </c>
      <c r="F281" s="1">
        <f>'Unformatted Trip Summary'!F279</f>
        <v>0.1188904566</v>
      </c>
      <c r="G281" s="1">
        <f>'Unformatted Trip Summary'!G279</f>
        <v>0.83907297010000004</v>
      </c>
      <c r="H281" s="1">
        <f>'Unformatted Trip Summary'!H279</f>
        <v>6.1791671300000003E-2</v>
      </c>
    </row>
    <row r="282" spans="1:8" x14ac:dyDescent="0.25">
      <c r="A282" t="str">
        <f>'Unformatted Trip Summary'!A280</f>
        <v>04 BAY OF PLENTY</v>
      </c>
      <c r="B282" t="str">
        <f>'Unformatted Trip Summary'!J280</f>
        <v>2037/38</v>
      </c>
      <c r="C282" t="str">
        <f>'Unformatted Trip Summary'!I280</f>
        <v>Taxi/Vehicle Share</v>
      </c>
      <c r="D282">
        <f>'Unformatted Trip Summary'!D280</f>
        <v>4</v>
      </c>
      <c r="E282">
        <f>'Unformatted Trip Summary'!E280</f>
        <v>8</v>
      </c>
      <c r="F282" s="1">
        <f>'Unformatted Trip Summary'!F280</f>
        <v>0.115249093</v>
      </c>
      <c r="G282" s="1">
        <f>'Unformatted Trip Summary'!G280</f>
        <v>0.81564620629999995</v>
      </c>
      <c r="H282" s="1">
        <f>'Unformatted Trip Summary'!H280</f>
        <v>6.0084388699999998E-2</v>
      </c>
    </row>
    <row r="283" spans="1:8" x14ac:dyDescent="0.25">
      <c r="A283" t="str">
        <f>'Unformatted Trip Summary'!A281</f>
        <v>04 BAY OF PLENTY</v>
      </c>
      <c r="B283" t="str">
        <f>'Unformatted Trip Summary'!J281</f>
        <v>2042/43</v>
      </c>
      <c r="C283" t="str">
        <f>'Unformatted Trip Summary'!I281</f>
        <v>Taxi/Vehicle Share</v>
      </c>
      <c r="D283">
        <f>'Unformatted Trip Summary'!D281</f>
        <v>4</v>
      </c>
      <c r="E283">
        <f>'Unformatted Trip Summary'!E281</f>
        <v>8</v>
      </c>
      <c r="F283" s="1">
        <f>'Unformatted Trip Summary'!F281</f>
        <v>0.1106888572</v>
      </c>
      <c r="G283" s="1">
        <f>'Unformatted Trip Summary'!G281</f>
        <v>0.78788008840000001</v>
      </c>
      <c r="H283" s="1">
        <f>'Unformatted Trip Summary'!H281</f>
        <v>5.8129013200000003E-2</v>
      </c>
    </row>
    <row r="284" spans="1:8" x14ac:dyDescent="0.25">
      <c r="A284" t="str">
        <f>'Unformatted Trip Summary'!A282</f>
        <v>04 BAY OF PLENTY</v>
      </c>
      <c r="B284" t="str">
        <f>'Unformatted Trip Summary'!J282</f>
        <v>2012/13</v>
      </c>
      <c r="C284" t="str">
        <f>'Unformatted Trip Summary'!I282</f>
        <v>Motorcyclist</v>
      </c>
      <c r="D284">
        <f>'Unformatted Trip Summary'!D282</f>
        <v>10</v>
      </c>
      <c r="E284">
        <f>'Unformatted Trip Summary'!E282</f>
        <v>40</v>
      </c>
      <c r="F284" s="1">
        <f>'Unformatted Trip Summary'!F282</f>
        <v>0.90641599910000004</v>
      </c>
      <c r="G284" s="1">
        <f>'Unformatted Trip Summary'!G282</f>
        <v>35.608960758999999</v>
      </c>
      <c r="H284" s="1">
        <f>'Unformatted Trip Summary'!H282</f>
        <v>0.60409197079999999</v>
      </c>
    </row>
    <row r="285" spans="1:8" x14ac:dyDescent="0.25">
      <c r="A285" t="str">
        <f>'Unformatted Trip Summary'!A283</f>
        <v>04 BAY OF PLENTY</v>
      </c>
      <c r="B285" t="str">
        <f>'Unformatted Trip Summary'!J283</f>
        <v>2017/18</v>
      </c>
      <c r="C285" t="str">
        <f>'Unformatted Trip Summary'!I283</f>
        <v>Motorcyclist</v>
      </c>
      <c r="D285">
        <f>'Unformatted Trip Summary'!D283</f>
        <v>10</v>
      </c>
      <c r="E285">
        <f>'Unformatted Trip Summary'!E283</f>
        <v>40</v>
      </c>
      <c r="F285" s="1">
        <f>'Unformatted Trip Summary'!F283</f>
        <v>0.95061612230000003</v>
      </c>
      <c r="G285" s="1">
        <f>'Unformatted Trip Summary'!G283</f>
        <v>37.997833892999999</v>
      </c>
      <c r="H285" s="1">
        <f>'Unformatted Trip Summary'!H283</f>
        <v>0.64185001230000005</v>
      </c>
    </row>
    <row r="286" spans="1:8" x14ac:dyDescent="0.25">
      <c r="A286" t="str">
        <f>'Unformatted Trip Summary'!A284</f>
        <v>04 BAY OF PLENTY</v>
      </c>
      <c r="B286" t="str">
        <f>'Unformatted Trip Summary'!J284</f>
        <v>2022/23</v>
      </c>
      <c r="C286" t="str">
        <f>'Unformatted Trip Summary'!I284</f>
        <v>Motorcyclist</v>
      </c>
      <c r="D286">
        <f>'Unformatted Trip Summary'!D284</f>
        <v>10</v>
      </c>
      <c r="E286">
        <f>'Unformatted Trip Summary'!E284</f>
        <v>40</v>
      </c>
      <c r="F286" s="1">
        <f>'Unformatted Trip Summary'!F284</f>
        <v>0.98734330370000001</v>
      </c>
      <c r="G286" s="1">
        <f>'Unformatted Trip Summary'!G284</f>
        <v>39.257677358999999</v>
      </c>
      <c r="H286" s="1">
        <f>'Unformatted Trip Summary'!H284</f>
        <v>0.66243605240000003</v>
      </c>
    </row>
    <row r="287" spans="1:8" x14ac:dyDescent="0.25">
      <c r="A287" t="str">
        <f>'Unformatted Trip Summary'!A285</f>
        <v>04 BAY OF PLENTY</v>
      </c>
      <c r="B287" t="str">
        <f>'Unformatted Trip Summary'!J285</f>
        <v>2027/28</v>
      </c>
      <c r="C287" t="str">
        <f>'Unformatted Trip Summary'!I285</f>
        <v>Motorcyclist</v>
      </c>
      <c r="D287">
        <f>'Unformatted Trip Summary'!D285</f>
        <v>10</v>
      </c>
      <c r="E287">
        <f>'Unformatted Trip Summary'!E285</f>
        <v>40</v>
      </c>
      <c r="F287" s="1">
        <f>'Unformatted Trip Summary'!F285</f>
        <v>1.0275184917</v>
      </c>
      <c r="G287" s="1">
        <f>'Unformatted Trip Summary'!G285</f>
        <v>40.819015200999999</v>
      </c>
      <c r="H287" s="1">
        <f>'Unformatted Trip Summary'!H285</f>
        <v>0.68699899230000006</v>
      </c>
    </row>
    <row r="288" spans="1:8" x14ac:dyDescent="0.25">
      <c r="A288" t="str">
        <f>'Unformatted Trip Summary'!A286</f>
        <v>04 BAY OF PLENTY</v>
      </c>
      <c r="B288" t="str">
        <f>'Unformatted Trip Summary'!J286</f>
        <v>2032/33</v>
      </c>
      <c r="C288" t="str">
        <f>'Unformatted Trip Summary'!I286</f>
        <v>Motorcyclist</v>
      </c>
      <c r="D288">
        <f>'Unformatted Trip Summary'!D286</f>
        <v>10</v>
      </c>
      <c r="E288">
        <f>'Unformatted Trip Summary'!E286</f>
        <v>40</v>
      </c>
      <c r="F288" s="1">
        <f>'Unformatted Trip Summary'!F286</f>
        <v>1.0397784501</v>
      </c>
      <c r="G288" s="1">
        <f>'Unformatted Trip Summary'!G286</f>
        <v>41.178987313999997</v>
      </c>
      <c r="H288" s="1">
        <f>'Unformatted Trip Summary'!H286</f>
        <v>0.69348004870000002</v>
      </c>
    </row>
    <row r="289" spans="1:8" x14ac:dyDescent="0.25">
      <c r="A289" t="str">
        <f>'Unformatted Trip Summary'!A287</f>
        <v>04 BAY OF PLENTY</v>
      </c>
      <c r="B289" t="str">
        <f>'Unformatted Trip Summary'!J287</f>
        <v>2037/38</v>
      </c>
      <c r="C289" t="str">
        <f>'Unformatted Trip Summary'!I287</f>
        <v>Motorcyclist</v>
      </c>
      <c r="D289">
        <f>'Unformatted Trip Summary'!D287</f>
        <v>10</v>
      </c>
      <c r="E289">
        <f>'Unformatted Trip Summary'!E287</f>
        <v>40</v>
      </c>
      <c r="F289" s="1">
        <f>'Unformatted Trip Summary'!F287</f>
        <v>1.0238844961</v>
      </c>
      <c r="G289" s="1">
        <f>'Unformatted Trip Summary'!G287</f>
        <v>40.750946485</v>
      </c>
      <c r="H289" s="1">
        <f>'Unformatted Trip Summary'!H287</f>
        <v>0.68705663579999998</v>
      </c>
    </row>
    <row r="290" spans="1:8" x14ac:dyDescent="0.25">
      <c r="A290" t="str">
        <f>'Unformatted Trip Summary'!A288</f>
        <v>04 BAY OF PLENTY</v>
      </c>
      <c r="B290" t="str">
        <f>'Unformatted Trip Summary'!J288</f>
        <v>2042/43</v>
      </c>
      <c r="C290" t="str">
        <f>'Unformatted Trip Summary'!I288</f>
        <v>Motorcyclist</v>
      </c>
      <c r="D290">
        <f>'Unformatted Trip Summary'!D288</f>
        <v>10</v>
      </c>
      <c r="E290">
        <f>'Unformatted Trip Summary'!E288</f>
        <v>40</v>
      </c>
      <c r="F290" s="1">
        <f>'Unformatted Trip Summary'!F288</f>
        <v>1.0004777245000001</v>
      </c>
      <c r="G290" s="1">
        <f>'Unformatted Trip Summary'!G288</f>
        <v>40.040919848000001</v>
      </c>
      <c r="H290" s="1">
        <f>'Unformatted Trip Summary'!H288</f>
        <v>0.67588049439999998</v>
      </c>
    </row>
    <row r="291" spans="1:8" x14ac:dyDescent="0.25">
      <c r="A291" t="str">
        <f>'Unformatted Trip Summary'!A289</f>
        <v>04 BAY OF PLENTY</v>
      </c>
      <c r="B291" t="str">
        <f>'Unformatted Trip Summary'!J289</f>
        <v>2012/13</v>
      </c>
      <c r="C291" t="str">
        <f>'Unformatted Trip Summary'!I289</f>
        <v>Local Bus</v>
      </c>
      <c r="D291">
        <f>'Unformatted Trip Summary'!D289</f>
        <v>73</v>
      </c>
      <c r="E291">
        <f>'Unformatted Trip Summary'!E289</f>
        <v>194</v>
      </c>
      <c r="F291" s="1">
        <f>'Unformatted Trip Summary'!F289</f>
        <v>7.4672006229000001</v>
      </c>
      <c r="G291" s="1">
        <f>'Unformatted Trip Summary'!G289</f>
        <v>52.669440211999998</v>
      </c>
      <c r="H291" s="1">
        <f>'Unformatted Trip Summary'!H289</f>
        <v>2.9412276716000001</v>
      </c>
    </row>
    <row r="292" spans="1:8" x14ac:dyDescent="0.25">
      <c r="A292" t="str">
        <f>'Unformatted Trip Summary'!A290</f>
        <v>04 BAY OF PLENTY</v>
      </c>
      <c r="B292" t="str">
        <f>'Unformatted Trip Summary'!J290</f>
        <v>2017/18</v>
      </c>
      <c r="C292" t="str">
        <f>'Unformatted Trip Summary'!I290</f>
        <v>Local Bus</v>
      </c>
      <c r="D292">
        <f>'Unformatted Trip Summary'!D290</f>
        <v>73</v>
      </c>
      <c r="E292">
        <f>'Unformatted Trip Summary'!E290</f>
        <v>194</v>
      </c>
      <c r="F292" s="1">
        <f>'Unformatted Trip Summary'!F290</f>
        <v>7.1614095521000003</v>
      </c>
      <c r="G292" s="1">
        <f>'Unformatted Trip Summary'!G290</f>
        <v>49.582888507</v>
      </c>
      <c r="H292" s="1">
        <f>'Unformatted Trip Summary'!H290</f>
        <v>2.7768122193</v>
      </c>
    </row>
    <row r="293" spans="1:8" x14ac:dyDescent="0.25">
      <c r="A293" t="str">
        <f>'Unformatted Trip Summary'!A291</f>
        <v>04 BAY OF PLENTY</v>
      </c>
      <c r="B293" t="str">
        <f>'Unformatted Trip Summary'!J291</f>
        <v>2022/23</v>
      </c>
      <c r="C293" t="str">
        <f>'Unformatted Trip Summary'!I291</f>
        <v>Local Bus</v>
      </c>
      <c r="D293">
        <f>'Unformatted Trip Summary'!D291</f>
        <v>73</v>
      </c>
      <c r="E293">
        <f>'Unformatted Trip Summary'!E291</f>
        <v>194</v>
      </c>
      <c r="F293" s="1">
        <f>'Unformatted Trip Summary'!F291</f>
        <v>6.9729575610000003</v>
      </c>
      <c r="G293" s="1">
        <f>'Unformatted Trip Summary'!G291</f>
        <v>47.670083429999998</v>
      </c>
      <c r="H293" s="1">
        <f>'Unformatted Trip Summary'!H291</f>
        <v>2.6738167587000001</v>
      </c>
    </row>
    <row r="294" spans="1:8" x14ac:dyDescent="0.25">
      <c r="A294" t="str">
        <f>'Unformatted Trip Summary'!A292</f>
        <v>04 BAY OF PLENTY</v>
      </c>
      <c r="B294" t="str">
        <f>'Unformatted Trip Summary'!J292</f>
        <v>2027/28</v>
      </c>
      <c r="C294" t="str">
        <f>'Unformatted Trip Summary'!I292</f>
        <v>Local Bus</v>
      </c>
      <c r="D294">
        <f>'Unformatted Trip Summary'!D292</f>
        <v>73</v>
      </c>
      <c r="E294">
        <f>'Unformatted Trip Summary'!E292</f>
        <v>194</v>
      </c>
      <c r="F294" s="1">
        <f>'Unformatted Trip Summary'!F292</f>
        <v>6.9442188356000001</v>
      </c>
      <c r="G294" s="1">
        <f>'Unformatted Trip Summary'!G292</f>
        <v>45.967398043999999</v>
      </c>
      <c r="H294" s="1">
        <f>'Unformatted Trip Summary'!H292</f>
        <v>2.6194087339999998</v>
      </c>
    </row>
    <row r="295" spans="1:8" x14ac:dyDescent="0.25">
      <c r="A295" t="str">
        <f>'Unformatted Trip Summary'!A293</f>
        <v>04 BAY OF PLENTY</v>
      </c>
      <c r="B295" t="str">
        <f>'Unformatted Trip Summary'!J293</f>
        <v>2032/33</v>
      </c>
      <c r="C295" t="str">
        <f>'Unformatted Trip Summary'!I293</f>
        <v>Local Bus</v>
      </c>
      <c r="D295">
        <f>'Unformatted Trip Summary'!D293</f>
        <v>73</v>
      </c>
      <c r="E295">
        <f>'Unformatted Trip Summary'!E293</f>
        <v>194</v>
      </c>
      <c r="F295" s="1">
        <f>'Unformatted Trip Summary'!F293</f>
        <v>6.9026515985000003</v>
      </c>
      <c r="G295" s="1">
        <f>'Unformatted Trip Summary'!G293</f>
        <v>43.933462509000002</v>
      </c>
      <c r="H295" s="1">
        <f>'Unformatted Trip Summary'!H293</f>
        <v>2.5575959040999998</v>
      </c>
    </row>
    <row r="296" spans="1:8" x14ac:dyDescent="0.25">
      <c r="A296" t="str">
        <f>'Unformatted Trip Summary'!A294</f>
        <v>04 BAY OF PLENTY</v>
      </c>
      <c r="B296" t="str">
        <f>'Unformatted Trip Summary'!J294</f>
        <v>2037/38</v>
      </c>
      <c r="C296" t="str">
        <f>'Unformatted Trip Summary'!I294</f>
        <v>Local Bus</v>
      </c>
      <c r="D296">
        <f>'Unformatted Trip Summary'!D294</f>
        <v>73</v>
      </c>
      <c r="E296">
        <f>'Unformatted Trip Summary'!E294</f>
        <v>194</v>
      </c>
      <c r="F296" s="1">
        <f>'Unformatted Trip Summary'!F294</f>
        <v>6.9038987928999997</v>
      </c>
      <c r="G296" s="1">
        <f>'Unformatted Trip Summary'!G294</f>
        <v>42.571029846000002</v>
      </c>
      <c r="H296" s="1">
        <f>'Unformatted Trip Summary'!H294</f>
        <v>2.5174347174</v>
      </c>
    </row>
    <row r="297" spans="1:8" x14ac:dyDescent="0.25">
      <c r="A297" t="str">
        <f>'Unformatted Trip Summary'!A295</f>
        <v>04 BAY OF PLENTY</v>
      </c>
      <c r="B297" t="str">
        <f>'Unformatted Trip Summary'!J295</f>
        <v>2042/43</v>
      </c>
      <c r="C297" t="str">
        <f>'Unformatted Trip Summary'!I295</f>
        <v>Local Bus</v>
      </c>
      <c r="D297">
        <f>'Unformatted Trip Summary'!D295</f>
        <v>73</v>
      </c>
      <c r="E297">
        <f>'Unformatted Trip Summary'!E295</f>
        <v>194</v>
      </c>
      <c r="F297" s="1">
        <f>'Unformatted Trip Summary'!F295</f>
        <v>6.8770317354000001</v>
      </c>
      <c r="G297" s="1">
        <f>'Unformatted Trip Summary'!G295</f>
        <v>41.073932116999998</v>
      </c>
      <c r="H297" s="1">
        <f>'Unformatted Trip Summary'!H295</f>
        <v>2.4676767335999998</v>
      </c>
    </row>
    <row r="298" spans="1:8" x14ac:dyDescent="0.25">
      <c r="A298" t="str">
        <f>'Unformatted Trip Summary'!A296</f>
        <v>04 BAY OF PLENTY</v>
      </c>
      <c r="B298" t="str">
        <f>'Unformatted Trip Summary'!J296</f>
        <v>2012/13</v>
      </c>
      <c r="C298" t="str">
        <f>'Unformatted Trip Summary'!I296</f>
        <v>Other Household Travel</v>
      </c>
      <c r="D298">
        <f>'Unformatted Trip Summary'!D296</f>
        <v>13</v>
      </c>
      <c r="E298">
        <f>'Unformatted Trip Summary'!E296</f>
        <v>34</v>
      </c>
      <c r="F298" s="1">
        <f>'Unformatted Trip Summary'!F296</f>
        <v>0.59853678389999998</v>
      </c>
      <c r="G298" s="1">
        <f>'Unformatted Trip Summary'!G296</f>
        <v>0</v>
      </c>
      <c r="H298" s="1">
        <f>'Unformatted Trip Summary'!H296</f>
        <v>0.21279540499999999</v>
      </c>
    </row>
    <row r="299" spans="1:8" x14ac:dyDescent="0.25">
      <c r="A299" t="str">
        <f>'Unformatted Trip Summary'!A297</f>
        <v>04 BAY OF PLENTY</v>
      </c>
      <c r="B299" t="str">
        <f>'Unformatted Trip Summary'!J297</f>
        <v>2017/18</v>
      </c>
      <c r="C299" t="str">
        <f>'Unformatted Trip Summary'!I297</f>
        <v>Other Household Travel</v>
      </c>
      <c r="D299">
        <f>'Unformatted Trip Summary'!D297</f>
        <v>13</v>
      </c>
      <c r="E299">
        <f>'Unformatted Trip Summary'!E297</f>
        <v>34</v>
      </c>
      <c r="F299" s="1">
        <f>'Unformatted Trip Summary'!F297</f>
        <v>0.58026710999999997</v>
      </c>
      <c r="G299" s="1">
        <f>'Unformatted Trip Summary'!G297</f>
        <v>0</v>
      </c>
      <c r="H299" s="1">
        <f>'Unformatted Trip Summary'!H297</f>
        <v>0.21267646770000001</v>
      </c>
    </row>
    <row r="300" spans="1:8" x14ac:dyDescent="0.25">
      <c r="A300" t="str">
        <f>'Unformatted Trip Summary'!A298</f>
        <v>04 BAY OF PLENTY</v>
      </c>
      <c r="B300" t="str">
        <f>'Unformatted Trip Summary'!J298</f>
        <v>2022/23</v>
      </c>
      <c r="C300" t="str">
        <f>'Unformatted Trip Summary'!I298</f>
        <v>Other Household Travel</v>
      </c>
      <c r="D300">
        <f>'Unformatted Trip Summary'!D298</f>
        <v>13</v>
      </c>
      <c r="E300">
        <f>'Unformatted Trip Summary'!E298</f>
        <v>34</v>
      </c>
      <c r="F300" s="1">
        <f>'Unformatted Trip Summary'!F298</f>
        <v>0.54579265690000001</v>
      </c>
      <c r="G300" s="1">
        <f>'Unformatted Trip Summary'!G298</f>
        <v>0</v>
      </c>
      <c r="H300" s="1">
        <f>'Unformatted Trip Summary'!H298</f>
        <v>0.20595571630000001</v>
      </c>
    </row>
    <row r="301" spans="1:8" x14ac:dyDescent="0.25">
      <c r="A301" t="str">
        <f>'Unformatted Trip Summary'!A299</f>
        <v>04 BAY OF PLENTY</v>
      </c>
      <c r="B301" t="str">
        <f>'Unformatted Trip Summary'!J299</f>
        <v>2027/28</v>
      </c>
      <c r="C301" t="str">
        <f>'Unformatted Trip Summary'!I299</f>
        <v>Other Household Travel</v>
      </c>
      <c r="D301">
        <f>'Unformatted Trip Summary'!D299</f>
        <v>13</v>
      </c>
      <c r="E301">
        <f>'Unformatted Trip Summary'!E299</f>
        <v>34</v>
      </c>
      <c r="F301" s="1">
        <f>'Unformatted Trip Summary'!F299</f>
        <v>0.48802212379999999</v>
      </c>
      <c r="G301" s="1">
        <f>'Unformatted Trip Summary'!G299</f>
        <v>0</v>
      </c>
      <c r="H301" s="1">
        <f>'Unformatted Trip Summary'!H299</f>
        <v>0.18795076059999999</v>
      </c>
    </row>
    <row r="302" spans="1:8" x14ac:dyDescent="0.25">
      <c r="A302" t="str">
        <f>'Unformatted Trip Summary'!A300</f>
        <v>04 BAY OF PLENTY</v>
      </c>
      <c r="B302" t="str">
        <f>'Unformatted Trip Summary'!J300</f>
        <v>2032/33</v>
      </c>
      <c r="C302" t="str">
        <f>'Unformatted Trip Summary'!I300</f>
        <v>Other Household Travel</v>
      </c>
      <c r="D302">
        <f>'Unformatted Trip Summary'!D300</f>
        <v>13</v>
      </c>
      <c r="E302">
        <f>'Unformatted Trip Summary'!E300</f>
        <v>34</v>
      </c>
      <c r="F302" s="1">
        <f>'Unformatted Trip Summary'!F300</f>
        <v>0.43866323229999998</v>
      </c>
      <c r="G302" s="1">
        <f>'Unformatted Trip Summary'!G300</f>
        <v>0</v>
      </c>
      <c r="H302" s="1">
        <f>'Unformatted Trip Summary'!H300</f>
        <v>0.16635084880000001</v>
      </c>
    </row>
    <row r="303" spans="1:8" x14ac:dyDescent="0.25">
      <c r="A303" t="str">
        <f>'Unformatted Trip Summary'!A301</f>
        <v>04 BAY OF PLENTY</v>
      </c>
      <c r="B303" t="str">
        <f>'Unformatted Trip Summary'!J301</f>
        <v>2037/38</v>
      </c>
      <c r="C303" t="str">
        <f>'Unformatted Trip Summary'!I301</f>
        <v>Other Household Travel</v>
      </c>
      <c r="D303">
        <f>'Unformatted Trip Summary'!D301</f>
        <v>13</v>
      </c>
      <c r="E303">
        <f>'Unformatted Trip Summary'!E301</f>
        <v>34</v>
      </c>
      <c r="F303" s="1">
        <f>'Unformatted Trip Summary'!F301</f>
        <v>0.39988539899999997</v>
      </c>
      <c r="G303" s="1">
        <f>'Unformatted Trip Summary'!G301</f>
        <v>0</v>
      </c>
      <c r="H303" s="1">
        <f>'Unformatted Trip Summary'!H301</f>
        <v>0.1512496787</v>
      </c>
    </row>
    <row r="304" spans="1:8" x14ac:dyDescent="0.25">
      <c r="A304" t="str">
        <f>'Unformatted Trip Summary'!A302</f>
        <v>04 BAY OF PLENTY</v>
      </c>
      <c r="B304" t="str">
        <f>'Unformatted Trip Summary'!J302</f>
        <v>2042/43</v>
      </c>
      <c r="C304" t="str">
        <f>'Unformatted Trip Summary'!I302</f>
        <v>Other Household Travel</v>
      </c>
      <c r="D304">
        <f>'Unformatted Trip Summary'!D302</f>
        <v>13</v>
      </c>
      <c r="E304">
        <f>'Unformatted Trip Summary'!E302</f>
        <v>34</v>
      </c>
      <c r="F304" s="1">
        <f>'Unformatted Trip Summary'!F302</f>
        <v>0.36400247390000001</v>
      </c>
      <c r="G304" s="1">
        <f>'Unformatted Trip Summary'!G302</f>
        <v>0</v>
      </c>
      <c r="H304" s="1">
        <f>'Unformatted Trip Summary'!H302</f>
        <v>0.13712991290000001</v>
      </c>
    </row>
    <row r="305" spans="1:8" x14ac:dyDescent="0.25">
      <c r="A305" t="str">
        <f>'Unformatted Trip Summary'!A303</f>
        <v>04 BAY OF PLENTY</v>
      </c>
      <c r="B305" t="str">
        <f>'Unformatted Trip Summary'!J303</f>
        <v>2012/13</v>
      </c>
      <c r="C305" t="str">
        <f>'Unformatted Trip Summary'!I303</f>
        <v>Air/Non-Local PT</v>
      </c>
      <c r="D305">
        <f>'Unformatted Trip Summary'!D303</f>
        <v>10</v>
      </c>
      <c r="E305">
        <f>'Unformatted Trip Summary'!E303</f>
        <v>20</v>
      </c>
      <c r="F305" s="1">
        <f>'Unformatted Trip Summary'!F303</f>
        <v>0.7132672793</v>
      </c>
      <c r="G305" s="1">
        <f>'Unformatted Trip Summary'!G303</f>
        <v>34.241381883000003</v>
      </c>
      <c r="H305" s="1">
        <f>'Unformatted Trip Summary'!H303</f>
        <v>1.7899343983</v>
      </c>
    </row>
    <row r="306" spans="1:8" x14ac:dyDescent="0.25">
      <c r="A306" t="str">
        <f>'Unformatted Trip Summary'!A304</f>
        <v>04 BAY OF PLENTY</v>
      </c>
      <c r="B306" t="str">
        <f>'Unformatted Trip Summary'!J304</f>
        <v>2017/18</v>
      </c>
      <c r="C306" t="str">
        <f>'Unformatted Trip Summary'!I304</f>
        <v>Air/Non-Local PT</v>
      </c>
      <c r="D306">
        <f>'Unformatted Trip Summary'!D304</f>
        <v>10</v>
      </c>
      <c r="E306">
        <f>'Unformatted Trip Summary'!E304</f>
        <v>20</v>
      </c>
      <c r="F306" s="1">
        <f>'Unformatted Trip Summary'!F304</f>
        <v>0.74443794870000002</v>
      </c>
      <c r="G306" s="1">
        <f>'Unformatted Trip Summary'!G304</f>
        <v>36.605527549999998</v>
      </c>
      <c r="H306" s="1">
        <f>'Unformatted Trip Summary'!H304</f>
        <v>2.1315612314000001</v>
      </c>
    </row>
    <row r="307" spans="1:8" x14ac:dyDescent="0.25">
      <c r="A307" t="str">
        <f>'Unformatted Trip Summary'!A305</f>
        <v>04 BAY OF PLENTY</v>
      </c>
      <c r="B307" t="str">
        <f>'Unformatted Trip Summary'!J305</f>
        <v>2022/23</v>
      </c>
      <c r="C307" t="str">
        <f>'Unformatted Trip Summary'!I305</f>
        <v>Air/Non-Local PT</v>
      </c>
      <c r="D307">
        <f>'Unformatted Trip Summary'!D305</f>
        <v>10</v>
      </c>
      <c r="E307">
        <f>'Unformatted Trip Summary'!E305</f>
        <v>20</v>
      </c>
      <c r="F307" s="1">
        <f>'Unformatted Trip Summary'!F305</f>
        <v>0.7790542265</v>
      </c>
      <c r="G307" s="1">
        <f>'Unformatted Trip Summary'!G305</f>
        <v>38.739281188</v>
      </c>
      <c r="H307" s="1">
        <f>'Unformatted Trip Summary'!H305</f>
        <v>2.4340122272000002</v>
      </c>
    </row>
    <row r="308" spans="1:8" x14ac:dyDescent="0.25">
      <c r="A308" t="str">
        <f>'Unformatted Trip Summary'!A306</f>
        <v>04 BAY OF PLENTY</v>
      </c>
      <c r="B308" t="str">
        <f>'Unformatted Trip Summary'!J306</f>
        <v>2027/28</v>
      </c>
      <c r="C308" t="str">
        <f>'Unformatted Trip Summary'!I306</f>
        <v>Air/Non-Local PT</v>
      </c>
      <c r="D308">
        <f>'Unformatted Trip Summary'!D306</f>
        <v>10</v>
      </c>
      <c r="E308">
        <f>'Unformatted Trip Summary'!E306</f>
        <v>20</v>
      </c>
      <c r="F308" s="1">
        <f>'Unformatted Trip Summary'!F306</f>
        <v>0.80563002449999999</v>
      </c>
      <c r="G308" s="1">
        <f>'Unformatted Trip Summary'!G306</f>
        <v>40.701990647000002</v>
      </c>
      <c r="H308" s="1">
        <f>'Unformatted Trip Summary'!H306</f>
        <v>2.6170214948999999</v>
      </c>
    </row>
    <row r="309" spans="1:8" x14ac:dyDescent="0.25">
      <c r="A309" t="str">
        <f>'Unformatted Trip Summary'!A307</f>
        <v>04 BAY OF PLENTY</v>
      </c>
      <c r="B309" t="str">
        <f>'Unformatted Trip Summary'!J307</f>
        <v>2032/33</v>
      </c>
      <c r="C309" t="str">
        <f>'Unformatted Trip Summary'!I307</f>
        <v>Air/Non-Local PT</v>
      </c>
      <c r="D309">
        <f>'Unformatted Trip Summary'!D307</f>
        <v>10</v>
      </c>
      <c r="E309">
        <f>'Unformatted Trip Summary'!E307</f>
        <v>20</v>
      </c>
      <c r="F309" s="1">
        <f>'Unformatted Trip Summary'!F307</f>
        <v>0.81690312639999996</v>
      </c>
      <c r="G309" s="1">
        <f>'Unformatted Trip Summary'!G307</f>
        <v>42.077485549999999</v>
      </c>
      <c r="H309" s="1">
        <f>'Unformatted Trip Summary'!H307</f>
        <v>2.6957184137999999</v>
      </c>
    </row>
    <row r="310" spans="1:8" x14ac:dyDescent="0.25">
      <c r="A310" t="str">
        <f>'Unformatted Trip Summary'!A308</f>
        <v>04 BAY OF PLENTY</v>
      </c>
      <c r="B310" t="str">
        <f>'Unformatted Trip Summary'!J308</f>
        <v>2037/38</v>
      </c>
      <c r="C310" t="str">
        <f>'Unformatted Trip Summary'!I308</f>
        <v>Air/Non-Local PT</v>
      </c>
      <c r="D310">
        <f>'Unformatted Trip Summary'!D308</f>
        <v>10</v>
      </c>
      <c r="E310">
        <f>'Unformatted Trip Summary'!E308</f>
        <v>20</v>
      </c>
      <c r="F310" s="1">
        <f>'Unformatted Trip Summary'!F308</f>
        <v>0.85792493650000001</v>
      </c>
      <c r="G310" s="1">
        <f>'Unformatted Trip Summary'!G308</f>
        <v>46.830681435999999</v>
      </c>
      <c r="H310" s="1">
        <f>'Unformatted Trip Summary'!H308</f>
        <v>2.7792824808000001</v>
      </c>
    </row>
    <row r="311" spans="1:8" x14ac:dyDescent="0.25">
      <c r="A311" t="str">
        <f>'Unformatted Trip Summary'!A309</f>
        <v>04 BAY OF PLENTY</v>
      </c>
      <c r="B311" t="str">
        <f>'Unformatted Trip Summary'!J309</f>
        <v>2042/43</v>
      </c>
      <c r="C311" t="str">
        <f>'Unformatted Trip Summary'!I309</f>
        <v>Air/Non-Local PT</v>
      </c>
      <c r="D311">
        <f>'Unformatted Trip Summary'!D309</f>
        <v>10</v>
      </c>
      <c r="E311">
        <f>'Unformatted Trip Summary'!E309</f>
        <v>20</v>
      </c>
      <c r="F311" s="1">
        <f>'Unformatted Trip Summary'!F309</f>
        <v>0.90061513770000001</v>
      </c>
      <c r="G311" s="1">
        <f>'Unformatted Trip Summary'!G309</f>
        <v>51.925700380000002</v>
      </c>
      <c r="H311" s="1">
        <f>'Unformatted Trip Summary'!H309</f>
        <v>2.8558188913000002</v>
      </c>
    </row>
    <row r="312" spans="1:8" x14ac:dyDescent="0.25">
      <c r="A312" t="str">
        <f>'Unformatted Trip Summary'!A310</f>
        <v>04 BAY OF PLENTY</v>
      </c>
      <c r="B312" t="str">
        <f>'Unformatted Trip Summary'!J310</f>
        <v>2012/13</v>
      </c>
      <c r="C312" t="str">
        <f>'Unformatted Trip Summary'!I310</f>
        <v>Non-Household Travel</v>
      </c>
      <c r="D312">
        <f>'Unformatted Trip Summary'!D310</f>
        <v>6</v>
      </c>
      <c r="E312">
        <f>'Unformatted Trip Summary'!E310</f>
        <v>33</v>
      </c>
      <c r="F312" s="1">
        <f>'Unformatted Trip Summary'!F310</f>
        <v>1.4872690419000001</v>
      </c>
      <c r="G312" s="1">
        <f>'Unformatted Trip Summary'!G310</f>
        <v>13.901388431999999</v>
      </c>
      <c r="H312" s="1">
        <f>'Unformatted Trip Summary'!H310</f>
        <v>0.32958292379999998</v>
      </c>
    </row>
    <row r="313" spans="1:8" x14ac:dyDescent="0.25">
      <c r="A313" t="str">
        <f>'Unformatted Trip Summary'!A311</f>
        <v>04 BAY OF PLENTY</v>
      </c>
      <c r="B313" t="str">
        <f>'Unformatted Trip Summary'!J311</f>
        <v>2017/18</v>
      </c>
      <c r="C313" t="str">
        <f>'Unformatted Trip Summary'!I311</f>
        <v>Non-Household Travel</v>
      </c>
      <c r="D313">
        <f>'Unformatted Trip Summary'!D311</f>
        <v>6</v>
      </c>
      <c r="E313">
        <f>'Unformatted Trip Summary'!E311</f>
        <v>33</v>
      </c>
      <c r="F313" s="1">
        <f>'Unformatted Trip Summary'!F311</f>
        <v>1.5864073910000001</v>
      </c>
      <c r="G313" s="1">
        <f>'Unformatted Trip Summary'!G311</f>
        <v>13.60787792</v>
      </c>
      <c r="H313" s="1">
        <f>'Unformatted Trip Summary'!H311</f>
        <v>0.33939279950000001</v>
      </c>
    </row>
    <row r="314" spans="1:8" x14ac:dyDescent="0.25">
      <c r="A314" t="str">
        <f>'Unformatted Trip Summary'!A312</f>
        <v>04 BAY OF PLENTY</v>
      </c>
      <c r="B314" t="str">
        <f>'Unformatted Trip Summary'!J312</f>
        <v>2022/23</v>
      </c>
      <c r="C314" t="str">
        <f>'Unformatted Trip Summary'!I312</f>
        <v>Non-Household Travel</v>
      </c>
      <c r="D314">
        <f>'Unformatted Trip Summary'!D312</f>
        <v>6</v>
      </c>
      <c r="E314">
        <f>'Unformatted Trip Summary'!E312</f>
        <v>33</v>
      </c>
      <c r="F314" s="1">
        <f>'Unformatted Trip Summary'!F312</f>
        <v>1.6284751308000001</v>
      </c>
      <c r="G314" s="1">
        <f>'Unformatted Trip Summary'!G312</f>
        <v>13.062091462</v>
      </c>
      <c r="H314" s="1">
        <f>'Unformatted Trip Summary'!H312</f>
        <v>0.33925528510000003</v>
      </c>
    </row>
    <row r="315" spans="1:8" x14ac:dyDescent="0.25">
      <c r="A315" t="str">
        <f>'Unformatted Trip Summary'!A313</f>
        <v>04 BAY OF PLENTY</v>
      </c>
      <c r="B315" t="str">
        <f>'Unformatted Trip Summary'!J313</f>
        <v>2027/28</v>
      </c>
      <c r="C315" t="str">
        <f>'Unformatted Trip Summary'!I313</f>
        <v>Non-Household Travel</v>
      </c>
      <c r="D315">
        <f>'Unformatted Trip Summary'!D313</f>
        <v>6</v>
      </c>
      <c r="E315">
        <f>'Unformatted Trip Summary'!E313</f>
        <v>33</v>
      </c>
      <c r="F315" s="1">
        <f>'Unformatted Trip Summary'!F313</f>
        <v>1.6633846364</v>
      </c>
      <c r="G315" s="1">
        <f>'Unformatted Trip Summary'!G313</f>
        <v>12.631686267999999</v>
      </c>
      <c r="H315" s="1">
        <f>'Unformatted Trip Summary'!H313</f>
        <v>0.33820705740000001</v>
      </c>
    </row>
    <row r="316" spans="1:8" x14ac:dyDescent="0.25">
      <c r="A316" t="str">
        <f>'Unformatted Trip Summary'!A314</f>
        <v>04 BAY OF PLENTY</v>
      </c>
      <c r="B316" t="str">
        <f>'Unformatted Trip Summary'!J314</f>
        <v>2032/33</v>
      </c>
      <c r="C316" t="str">
        <f>'Unformatted Trip Summary'!I314</f>
        <v>Non-Household Travel</v>
      </c>
      <c r="D316">
        <f>'Unformatted Trip Summary'!D314</f>
        <v>6</v>
      </c>
      <c r="E316">
        <f>'Unformatted Trip Summary'!E314</f>
        <v>33</v>
      </c>
      <c r="F316" s="1">
        <f>'Unformatted Trip Summary'!F314</f>
        <v>1.6749065005999999</v>
      </c>
      <c r="G316" s="1">
        <f>'Unformatted Trip Summary'!G314</f>
        <v>12.412343742999999</v>
      </c>
      <c r="H316" s="1">
        <f>'Unformatted Trip Summary'!H314</f>
        <v>0.33646584550000003</v>
      </c>
    </row>
    <row r="317" spans="1:8" x14ac:dyDescent="0.25">
      <c r="A317" t="str">
        <f>'Unformatted Trip Summary'!A315</f>
        <v>04 BAY OF PLENTY</v>
      </c>
      <c r="B317" t="str">
        <f>'Unformatted Trip Summary'!J315</f>
        <v>2037/38</v>
      </c>
      <c r="C317" t="str">
        <f>'Unformatted Trip Summary'!I315</f>
        <v>Non-Household Travel</v>
      </c>
      <c r="D317">
        <f>'Unformatted Trip Summary'!D315</f>
        <v>6</v>
      </c>
      <c r="E317">
        <f>'Unformatted Trip Summary'!E315</f>
        <v>33</v>
      </c>
      <c r="F317" s="1">
        <f>'Unformatted Trip Summary'!F315</f>
        <v>1.6841030782999999</v>
      </c>
      <c r="G317" s="1">
        <f>'Unformatted Trip Summary'!G315</f>
        <v>12.323303376</v>
      </c>
      <c r="H317" s="1">
        <f>'Unformatted Trip Summary'!H315</f>
        <v>0.33621020140000002</v>
      </c>
    </row>
    <row r="318" spans="1:8" x14ac:dyDescent="0.25">
      <c r="A318" t="str">
        <f>'Unformatted Trip Summary'!A316</f>
        <v>04 BAY OF PLENTY</v>
      </c>
      <c r="B318" t="str">
        <f>'Unformatted Trip Summary'!J316</f>
        <v>2042/43</v>
      </c>
      <c r="C318" t="str">
        <f>'Unformatted Trip Summary'!I316</f>
        <v>Non-Household Travel</v>
      </c>
      <c r="D318">
        <f>'Unformatted Trip Summary'!D316</f>
        <v>6</v>
      </c>
      <c r="E318">
        <f>'Unformatted Trip Summary'!E316</f>
        <v>33</v>
      </c>
      <c r="F318" s="1">
        <f>'Unformatted Trip Summary'!F316</f>
        <v>1.6799741741000001</v>
      </c>
      <c r="G318" s="1">
        <f>'Unformatted Trip Summary'!G316</f>
        <v>12.079705097</v>
      </c>
      <c r="H318" s="1">
        <f>'Unformatted Trip Summary'!H316</f>
        <v>0.33275858740000003</v>
      </c>
    </row>
    <row r="319" spans="1:8" x14ac:dyDescent="0.25">
      <c r="A319" t="str">
        <f>'Unformatted Trip Summary'!A317</f>
        <v>05 GISBORNE</v>
      </c>
      <c r="B319" t="str">
        <f>'Unformatted Trip Summary'!J317</f>
        <v>2012/13</v>
      </c>
      <c r="C319" t="str">
        <f>'Unformatted Trip Summary'!I317</f>
        <v>Pedestrian</v>
      </c>
      <c r="D319">
        <f>'Unformatted Trip Summary'!D317</f>
        <v>242</v>
      </c>
      <c r="E319">
        <f>'Unformatted Trip Summary'!E317</f>
        <v>910</v>
      </c>
      <c r="F319" s="1">
        <f>'Unformatted Trip Summary'!F317</f>
        <v>12.564280467</v>
      </c>
      <c r="G319" s="1">
        <f>'Unformatted Trip Summary'!G317</f>
        <v>7.5635235767999998</v>
      </c>
      <c r="H319" s="1">
        <f>'Unformatted Trip Summary'!H317</f>
        <v>2.2694063563000002</v>
      </c>
    </row>
    <row r="320" spans="1:8" x14ac:dyDescent="0.25">
      <c r="A320" t="str">
        <f>'Unformatted Trip Summary'!A318</f>
        <v>05 GISBORNE</v>
      </c>
      <c r="B320" t="str">
        <f>'Unformatted Trip Summary'!J318</f>
        <v>2017/18</v>
      </c>
      <c r="C320" t="str">
        <f>'Unformatted Trip Summary'!I318</f>
        <v>Pedestrian</v>
      </c>
      <c r="D320">
        <f>'Unformatted Trip Summary'!D318</f>
        <v>242</v>
      </c>
      <c r="E320">
        <f>'Unformatted Trip Summary'!E318</f>
        <v>910</v>
      </c>
      <c r="F320" s="1">
        <f>'Unformatted Trip Summary'!F318</f>
        <v>12.027814319000001</v>
      </c>
      <c r="G320" s="1">
        <f>'Unformatted Trip Summary'!G318</f>
        <v>7.2552094140000003</v>
      </c>
      <c r="H320" s="1">
        <f>'Unformatted Trip Summary'!H318</f>
        <v>2.1452482674</v>
      </c>
    </row>
    <row r="321" spans="1:8" x14ac:dyDescent="0.25">
      <c r="A321" t="str">
        <f>'Unformatted Trip Summary'!A319</f>
        <v>05 GISBORNE</v>
      </c>
      <c r="B321" t="str">
        <f>'Unformatted Trip Summary'!J319</f>
        <v>2022/23</v>
      </c>
      <c r="C321" t="str">
        <f>'Unformatted Trip Summary'!I319</f>
        <v>Pedestrian</v>
      </c>
      <c r="D321">
        <f>'Unformatted Trip Summary'!D319</f>
        <v>242</v>
      </c>
      <c r="E321">
        <f>'Unformatted Trip Summary'!E319</f>
        <v>910</v>
      </c>
      <c r="F321" s="1">
        <f>'Unformatted Trip Summary'!F319</f>
        <v>11.536277094000001</v>
      </c>
      <c r="G321" s="1">
        <f>'Unformatted Trip Summary'!G319</f>
        <v>7.0004881509999999</v>
      </c>
      <c r="H321" s="1">
        <f>'Unformatted Trip Summary'!H319</f>
        <v>2.0338131262000001</v>
      </c>
    </row>
    <row r="322" spans="1:8" x14ac:dyDescent="0.25">
      <c r="A322" t="str">
        <f>'Unformatted Trip Summary'!A320</f>
        <v>05 GISBORNE</v>
      </c>
      <c r="B322" t="str">
        <f>'Unformatted Trip Summary'!J320</f>
        <v>2027/28</v>
      </c>
      <c r="C322" t="str">
        <f>'Unformatted Trip Summary'!I320</f>
        <v>Pedestrian</v>
      </c>
      <c r="D322">
        <f>'Unformatted Trip Summary'!D320</f>
        <v>242</v>
      </c>
      <c r="E322">
        <f>'Unformatted Trip Summary'!E320</f>
        <v>910</v>
      </c>
      <c r="F322" s="1">
        <f>'Unformatted Trip Summary'!F320</f>
        <v>11.208667079</v>
      </c>
      <c r="G322" s="1">
        <f>'Unformatted Trip Summary'!G320</f>
        <v>6.8967704684999998</v>
      </c>
      <c r="H322" s="1">
        <f>'Unformatted Trip Summary'!H320</f>
        <v>1.9720493110999999</v>
      </c>
    </row>
    <row r="323" spans="1:8" x14ac:dyDescent="0.25">
      <c r="A323" t="str">
        <f>'Unformatted Trip Summary'!A321</f>
        <v>05 GISBORNE</v>
      </c>
      <c r="B323" t="str">
        <f>'Unformatted Trip Summary'!J321</f>
        <v>2032/33</v>
      </c>
      <c r="C323" t="str">
        <f>'Unformatted Trip Summary'!I321</f>
        <v>Pedestrian</v>
      </c>
      <c r="D323">
        <f>'Unformatted Trip Summary'!D321</f>
        <v>242</v>
      </c>
      <c r="E323">
        <f>'Unformatted Trip Summary'!E321</f>
        <v>910</v>
      </c>
      <c r="F323" s="1">
        <f>'Unformatted Trip Summary'!F321</f>
        <v>10.813413696</v>
      </c>
      <c r="G323" s="1">
        <f>'Unformatted Trip Summary'!G321</f>
        <v>6.7636561305000003</v>
      </c>
      <c r="H323" s="1">
        <f>'Unformatted Trip Summary'!H321</f>
        <v>1.9070143397999999</v>
      </c>
    </row>
    <row r="324" spans="1:8" x14ac:dyDescent="0.25">
      <c r="A324" t="str">
        <f>'Unformatted Trip Summary'!A322</f>
        <v>05 GISBORNE</v>
      </c>
      <c r="B324" t="str">
        <f>'Unformatted Trip Summary'!J322</f>
        <v>2037/38</v>
      </c>
      <c r="C324" t="str">
        <f>'Unformatted Trip Summary'!I322</f>
        <v>Pedestrian</v>
      </c>
      <c r="D324">
        <f>'Unformatted Trip Summary'!D322</f>
        <v>242</v>
      </c>
      <c r="E324">
        <f>'Unformatted Trip Summary'!E322</f>
        <v>910</v>
      </c>
      <c r="F324" s="1">
        <f>'Unformatted Trip Summary'!F322</f>
        <v>10.397675804</v>
      </c>
      <c r="G324" s="1">
        <f>'Unformatted Trip Summary'!G322</f>
        <v>6.5489439032999996</v>
      </c>
      <c r="H324" s="1">
        <f>'Unformatted Trip Summary'!H322</f>
        <v>1.8349818942</v>
      </c>
    </row>
    <row r="325" spans="1:8" x14ac:dyDescent="0.25">
      <c r="A325" t="str">
        <f>'Unformatted Trip Summary'!A323</f>
        <v>05 GISBORNE</v>
      </c>
      <c r="B325" t="str">
        <f>'Unformatted Trip Summary'!J323</f>
        <v>2042/43</v>
      </c>
      <c r="C325" t="str">
        <f>'Unformatted Trip Summary'!I323</f>
        <v>Pedestrian</v>
      </c>
      <c r="D325">
        <f>'Unformatted Trip Summary'!D323</f>
        <v>242</v>
      </c>
      <c r="E325">
        <f>'Unformatted Trip Summary'!E323</f>
        <v>910</v>
      </c>
      <c r="F325" s="1">
        <f>'Unformatted Trip Summary'!F323</f>
        <v>9.9906845094999994</v>
      </c>
      <c r="G325" s="1">
        <f>'Unformatted Trip Summary'!G323</f>
        <v>6.3600363009000001</v>
      </c>
      <c r="H325" s="1">
        <f>'Unformatted Trip Summary'!H323</f>
        <v>1.7654359237999999</v>
      </c>
    </row>
    <row r="326" spans="1:8" x14ac:dyDescent="0.25">
      <c r="A326" t="str">
        <f>'Unformatted Trip Summary'!A324</f>
        <v>05 GISBORNE</v>
      </c>
      <c r="B326" t="str">
        <f>'Unformatted Trip Summary'!J324</f>
        <v>2012/13</v>
      </c>
      <c r="C326" t="str">
        <f>'Unformatted Trip Summary'!I324</f>
        <v>Cyclist</v>
      </c>
      <c r="D326">
        <f>'Unformatted Trip Summary'!D324</f>
        <v>27</v>
      </c>
      <c r="E326">
        <f>'Unformatted Trip Summary'!E324</f>
        <v>100</v>
      </c>
      <c r="F326" s="1">
        <f>'Unformatted Trip Summary'!F324</f>
        <v>1.1119455742</v>
      </c>
      <c r="G326" s="1">
        <f>'Unformatted Trip Summary'!G324</f>
        <v>3.8031873472000002</v>
      </c>
      <c r="H326" s="1">
        <f>'Unformatted Trip Summary'!H324</f>
        <v>0.28046850410000002</v>
      </c>
    </row>
    <row r="327" spans="1:8" x14ac:dyDescent="0.25">
      <c r="A327" t="str">
        <f>'Unformatted Trip Summary'!A325</f>
        <v>05 GISBORNE</v>
      </c>
      <c r="B327" t="str">
        <f>'Unformatted Trip Summary'!J325</f>
        <v>2017/18</v>
      </c>
      <c r="C327" t="str">
        <f>'Unformatted Trip Summary'!I325</f>
        <v>Cyclist</v>
      </c>
      <c r="D327">
        <f>'Unformatted Trip Summary'!D325</f>
        <v>27</v>
      </c>
      <c r="E327">
        <f>'Unformatted Trip Summary'!E325</f>
        <v>100</v>
      </c>
      <c r="F327" s="1">
        <f>'Unformatted Trip Summary'!F325</f>
        <v>1.0553586051999999</v>
      </c>
      <c r="G327" s="1">
        <f>'Unformatted Trip Summary'!G325</f>
        <v>3.4125129915999999</v>
      </c>
      <c r="H327" s="1">
        <f>'Unformatted Trip Summary'!H325</f>
        <v>0.25736887819999998</v>
      </c>
    </row>
    <row r="328" spans="1:8" x14ac:dyDescent="0.25">
      <c r="A328" t="str">
        <f>'Unformatted Trip Summary'!A326</f>
        <v>05 GISBORNE</v>
      </c>
      <c r="B328" t="str">
        <f>'Unformatted Trip Summary'!J326</f>
        <v>2022/23</v>
      </c>
      <c r="C328" t="str">
        <f>'Unformatted Trip Summary'!I326</f>
        <v>Cyclist</v>
      </c>
      <c r="D328">
        <f>'Unformatted Trip Summary'!D326</f>
        <v>27</v>
      </c>
      <c r="E328">
        <f>'Unformatted Trip Summary'!E326</f>
        <v>100</v>
      </c>
      <c r="F328" s="1">
        <f>'Unformatted Trip Summary'!F326</f>
        <v>1.0209961311</v>
      </c>
      <c r="G328" s="1">
        <f>'Unformatted Trip Summary'!G326</f>
        <v>3.1860215773</v>
      </c>
      <c r="H328" s="1">
        <f>'Unformatted Trip Summary'!H326</f>
        <v>0.24146255380000001</v>
      </c>
    </row>
    <row r="329" spans="1:8" x14ac:dyDescent="0.25">
      <c r="A329" t="str">
        <f>'Unformatted Trip Summary'!A327</f>
        <v>05 GISBORNE</v>
      </c>
      <c r="B329" t="str">
        <f>'Unformatted Trip Summary'!J327</f>
        <v>2027/28</v>
      </c>
      <c r="C329" t="str">
        <f>'Unformatted Trip Summary'!I327</f>
        <v>Cyclist</v>
      </c>
      <c r="D329">
        <f>'Unformatted Trip Summary'!D327</f>
        <v>27</v>
      </c>
      <c r="E329">
        <f>'Unformatted Trip Summary'!E327</f>
        <v>100</v>
      </c>
      <c r="F329" s="1">
        <f>'Unformatted Trip Summary'!F327</f>
        <v>0.95888166450000001</v>
      </c>
      <c r="G329" s="1">
        <f>'Unformatted Trip Summary'!G327</f>
        <v>2.8562106812999999</v>
      </c>
      <c r="H329" s="1">
        <f>'Unformatted Trip Summary'!H327</f>
        <v>0.21699228509999999</v>
      </c>
    </row>
    <row r="330" spans="1:8" x14ac:dyDescent="0.25">
      <c r="A330" t="str">
        <f>'Unformatted Trip Summary'!A328</f>
        <v>05 GISBORNE</v>
      </c>
      <c r="B330" t="str">
        <f>'Unformatted Trip Summary'!J328</f>
        <v>2032/33</v>
      </c>
      <c r="C330" t="str">
        <f>'Unformatted Trip Summary'!I328</f>
        <v>Cyclist</v>
      </c>
      <c r="D330">
        <f>'Unformatted Trip Summary'!D328</f>
        <v>27</v>
      </c>
      <c r="E330">
        <f>'Unformatted Trip Summary'!E328</f>
        <v>100</v>
      </c>
      <c r="F330" s="1">
        <f>'Unformatted Trip Summary'!F328</f>
        <v>0.88622468060000004</v>
      </c>
      <c r="G330" s="1">
        <f>'Unformatted Trip Summary'!G328</f>
        <v>2.5182691677000002</v>
      </c>
      <c r="H330" s="1">
        <f>'Unformatted Trip Summary'!H328</f>
        <v>0.1942846631</v>
      </c>
    </row>
    <row r="331" spans="1:8" x14ac:dyDescent="0.25">
      <c r="A331" t="str">
        <f>'Unformatted Trip Summary'!A329</f>
        <v>05 GISBORNE</v>
      </c>
      <c r="B331" t="str">
        <f>'Unformatted Trip Summary'!J329</f>
        <v>2037/38</v>
      </c>
      <c r="C331" t="str">
        <f>'Unformatted Trip Summary'!I329</f>
        <v>Cyclist</v>
      </c>
      <c r="D331">
        <f>'Unformatted Trip Summary'!D329</f>
        <v>27</v>
      </c>
      <c r="E331">
        <f>'Unformatted Trip Summary'!E329</f>
        <v>100</v>
      </c>
      <c r="F331" s="1">
        <f>'Unformatted Trip Summary'!F329</f>
        <v>0.81702453730000002</v>
      </c>
      <c r="G331" s="1">
        <f>'Unformatted Trip Summary'!G329</f>
        <v>2.1961050489999998</v>
      </c>
      <c r="H331" s="1">
        <f>'Unformatted Trip Summary'!H329</f>
        <v>0.1745637937</v>
      </c>
    </row>
    <row r="332" spans="1:8" x14ac:dyDescent="0.25">
      <c r="A332" t="str">
        <f>'Unformatted Trip Summary'!A330</f>
        <v>05 GISBORNE</v>
      </c>
      <c r="B332" t="str">
        <f>'Unformatted Trip Summary'!J330</f>
        <v>2042/43</v>
      </c>
      <c r="C332" t="str">
        <f>'Unformatted Trip Summary'!I330</f>
        <v>Cyclist</v>
      </c>
      <c r="D332">
        <f>'Unformatted Trip Summary'!D330</f>
        <v>27</v>
      </c>
      <c r="E332">
        <f>'Unformatted Trip Summary'!E330</f>
        <v>100</v>
      </c>
      <c r="F332" s="1">
        <f>'Unformatted Trip Summary'!F330</f>
        <v>0.75471389649999998</v>
      </c>
      <c r="G332" s="1">
        <f>'Unformatted Trip Summary'!G330</f>
        <v>1.9231667240999999</v>
      </c>
      <c r="H332" s="1">
        <f>'Unformatted Trip Summary'!H330</f>
        <v>0.15752245919999999</v>
      </c>
    </row>
    <row r="333" spans="1:8" x14ac:dyDescent="0.25">
      <c r="A333" t="str">
        <f>'Unformatted Trip Summary'!A331</f>
        <v>05 GISBORNE</v>
      </c>
      <c r="B333" t="str">
        <f>'Unformatted Trip Summary'!J331</f>
        <v>2012/13</v>
      </c>
      <c r="C333" t="str">
        <f>'Unformatted Trip Summary'!I331</f>
        <v>Light Vehicle Driver</v>
      </c>
      <c r="D333">
        <f>'Unformatted Trip Summary'!D331</f>
        <v>319</v>
      </c>
      <c r="E333">
        <f>'Unformatted Trip Summary'!E331</f>
        <v>2307</v>
      </c>
      <c r="F333" s="1">
        <f>'Unformatted Trip Summary'!F331</f>
        <v>28.776347379000001</v>
      </c>
      <c r="G333" s="1">
        <f>'Unformatted Trip Summary'!G331</f>
        <v>241.40144318</v>
      </c>
      <c r="H333" s="1">
        <f>'Unformatted Trip Summary'!H331</f>
        <v>6.0182660548999998</v>
      </c>
    </row>
    <row r="334" spans="1:8" x14ac:dyDescent="0.25">
      <c r="A334" t="str">
        <f>'Unformatted Trip Summary'!A332</f>
        <v>05 GISBORNE</v>
      </c>
      <c r="B334" t="str">
        <f>'Unformatted Trip Summary'!J332</f>
        <v>2017/18</v>
      </c>
      <c r="C334" t="str">
        <f>'Unformatted Trip Summary'!I332</f>
        <v>Light Vehicle Driver</v>
      </c>
      <c r="D334">
        <f>'Unformatted Trip Summary'!D332</f>
        <v>319</v>
      </c>
      <c r="E334">
        <f>'Unformatted Trip Summary'!E332</f>
        <v>2307</v>
      </c>
      <c r="F334" s="1">
        <f>'Unformatted Trip Summary'!F332</f>
        <v>29.136343494999998</v>
      </c>
      <c r="G334" s="1">
        <f>'Unformatted Trip Summary'!G332</f>
        <v>248.97396578999999</v>
      </c>
      <c r="H334" s="1">
        <f>'Unformatted Trip Summary'!H332</f>
        <v>6.1848439588000002</v>
      </c>
    </row>
    <row r="335" spans="1:8" x14ac:dyDescent="0.25">
      <c r="A335" t="str">
        <f>'Unformatted Trip Summary'!A333</f>
        <v>05 GISBORNE</v>
      </c>
      <c r="B335" t="str">
        <f>'Unformatted Trip Summary'!J333</f>
        <v>2022/23</v>
      </c>
      <c r="C335" t="str">
        <f>'Unformatted Trip Summary'!I333</f>
        <v>Light Vehicle Driver</v>
      </c>
      <c r="D335">
        <f>'Unformatted Trip Summary'!D333</f>
        <v>319</v>
      </c>
      <c r="E335">
        <f>'Unformatted Trip Summary'!E333</f>
        <v>2307</v>
      </c>
      <c r="F335" s="1">
        <f>'Unformatted Trip Summary'!F333</f>
        <v>28.894610711999999</v>
      </c>
      <c r="G335" s="1">
        <f>'Unformatted Trip Summary'!G333</f>
        <v>248.88907699000001</v>
      </c>
      <c r="H335" s="1">
        <f>'Unformatted Trip Summary'!H333</f>
        <v>6.1917898603000001</v>
      </c>
    </row>
    <row r="336" spans="1:8" x14ac:dyDescent="0.25">
      <c r="A336" t="str">
        <f>'Unformatted Trip Summary'!A334</f>
        <v>05 GISBORNE</v>
      </c>
      <c r="B336" t="str">
        <f>'Unformatted Trip Summary'!J334</f>
        <v>2027/28</v>
      </c>
      <c r="C336" t="str">
        <f>'Unformatted Trip Summary'!I334</f>
        <v>Light Vehicle Driver</v>
      </c>
      <c r="D336">
        <f>'Unformatted Trip Summary'!D334</f>
        <v>319</v>
      </c>
      <c r="E336">
        <f>'Unformatted Trip Summary'!E334</f>
        <v>2307</v>
      </c>
      <c r="F336" s="1">
        <f>'Unformatted Trip Summary'!F334</f>
        <v>28.589899851999999</v>
      </c>
      <c r="G336" s="1">
        <f>'Unformatted Trip Summary'!G334</f>
        <v>247.77314451000001</v>
      </c>
      <c r="H336" s="1">
        <f>'Unformatted Trip Summary'!H334</f>
        <v>6.1761674920000003</v>
      </c>
    </row>
    <row r="337" spans="1:8" x14ac:dyDescent="0.25">
      <c r="A337" t="str">
        <f>'Unformatted Trip Summary'!A335</f>
        <v>05 GISBORNE</v>
      </c>
      <c r="B337" t="str">
        <f>'Unformatted Trip Summary'!J335</f>
        <v>2032/33</v>
      </c>
      <c r="C337" t="str">
        <f>'Unformatted Trip Summary'!I335</f>
        <v>Light Vehicle Driver</v>
      </c>
      <c r="D337">
        <f>'Unformatted Trip Summary'!D335</f>
        <v>319</v>
      </c>
      <c r="E337">
        <f>'Unformatted Trip Summary'!E335</f>
        <v>2307</v>
      </c>
      <c r="F337" s="1">
        <f>'Unformatted Trip Summary'!F335</f>
        <v>28.122597312</v>
      </c>
      <c r="G337" s="1">
        <f>'Unformatted Trip Summary'!G335</f>
        <v>245.72992592</v>
      </c>
      <c r="H337" s="1">
        <f>'Unformatted Trip Summary'!H335</f>
        <v>6.1245430435000001</v>
      </c>
    </row>
    <row r="338" spans="1:8" x14ac:dyDescent="0.25">
      <c r="A338" t="str">
        <f>'Unformatted Trip Summary'!A336</f>
        <v>05 GISBORNE</v>
      </c>
      <c r="B338" t="str">
        <f>'Unformatted Trip Summary'!J336</f>
        <v>2037/38</v>
      </c>
      <c r="C338" t="str">
        <f>'Unformatted Trip Summary'!I336</f>
        <v>Light Vehicle Driver</v>
      </c>
      <c r="D338">
        <f>'Unformatted Trip Summary'!D336</f>
        <v>319</v>
      </c>
      <c r="E338">
        <f>'Unformatted Trip Summary'!E336</f>
        <v>2307</v>
      </c>
      <c r="F338" s="1">
        <f>'Unformatted Trip Summary'!F336</f>
        <v>27.647387493</v>
      </c>
      <c r="G338" s="1">
        <f>'Unformatted Trip Summary'!G336</f>
        <v>243.42898123000001</v>
      </c>
      <c r="H338" s="1">
        <f>'Unformatted Trip Summary'!H336</f>
        <v>6.0668537531000002</v>
      </c>
    </row>
    <row r="339" spans="1:8" x14ac:dyDescent="0.25">
      <c r="A339" t="str">
        <f>'Unformatted Trip Summary'!A337</f>
        <v>05 GISBORNE</v>
      </c>
      <c r="B339" t="str">
        <f>'Unformatted Trip Summary'!J337</f>
        <v>2042/43</v>
      </c>
      <c r="C339" t="str">
        <f>'Unformatted Trip Summary'!I337</f>
        <v>Light Vehicle Driver</v>
      </c>
      <c r="D339">
        <f>'Unformatted Trip Summary'!D337</f>
        <v>319</v>
      </c>
      <c r="E339">
        <f>'Unformatted Trip Summary'!E337</f>
        <v>2307</v>
      </c>
      <c r="F339" s="1">
        <f>'Unformatted Trip Summary'!F337</f>
        <v>27.110034266</v>
      </c>
      <c r="G339" s="1">
        <f>'Unformatted Trip Summary'!G337</f>
        <v>240.35040748</v>
      </c>
      <c r="H339" s="1">
        <f>'Unformatted Trip Summary'!H337</f>
        <v>5.9957586016000004</v>
      </c>
    </row>
    <row r="340" spans="1:8" x14ac:dyDescent="0.25">
      <c r="A340" t="str">
        <f>'Unformatted Trip Summary'!A338</f>
        <v>05 GISBORNE</v>
      </c>
      <c r="B340" t="str">
        <f>'Unformatted Trip Summary'!J338</f>
        <v>2012/13</v>
      </c>
      <c r="C340" t="str">
        <f>'Unformatted Trip Summary'!I338</f>
        <v>Light Vehicle Passenger</v>
      </c>
      <c r="D340">
        <f>'Unformatted Trip Summary'!D338</f>
        <v>278</v>
      </c>
      <c r="E340">
        <f>'Unformatted Trip Summary'!E338</f>
        <v>1431</v>
      </c>
      <c r="F340" s="1">
        <f>'Unformatted Trip Summary'!F338</f>
        <v>18.791024854</v>
      </c>
      <c r="G340" s="1">
        <f>'Unformatted Trip Summary'!G338</f>
        <v>174.74236519999999</v>
      </c>
      <c r="H340" s="1">
        <f>'Unformatted Trip Summary'!H338</f>
        <v>4.5909579553000004</v>
      </c>
    </row>
    <row r="341" spans="1:8" x14ac:dyDescent="0.25">
      <c r="A341" t="str">
        <f>'Unformatted Trip Summary'!A339</f>
        <v>05 GISBORNE</v>
      </c>
      <c r="B341" t="str">
        <f>'Unformatted Trip Summary'!J339</f>
        <v>2017/18</v>
      </c>
      <c r="C341" t="str">
        <f>'Unformatted Trip Summary'!I339</f>
        <v>Light Vehicle Passenger</v>
      </c>
      <c r="D341">
        <f>'Unformatted Trip Summary'!D339</f>
        <v>278</v>
      </c>
      <c r="E341">
        <f>'Unformatted Trip Summary'!E339</f>
        <v>1431</v>
      </c>
      <c r="F341" s="1">
        <f>'Unformatted Trip Summary'!F339</f>
        <v>17.520618199000001</v>
      </c>
      <c r="G341" s="1">
        <f>'Unformatted Trip Summary'!G339</f>
        <v>164.46782039000001</v>
      </c>
      <c r="H341" s="1">
        <f>'Unformatted Trip Summary'!H339</f>
        <v>4.3586438357999997</v>
      </c>
    </row>
    <row r="342" spans="1:8" x14ac:dyDescent="0.25">
      <c r="A342" t="str">
        <f>'Unformatted Trip Summary'!A340</f>
        <v>05 GISBORNE</v>
      </c>
      <c r="B342" t="str">
        <f>'Unformatted Trip Summary'!J340</f>
        <v>2022/23</v>
      </c>
      <c r="C342" t="str">
        <f>'Unformatted Trip Summary'!I340</f>
        <v>Light Vehicle Passenger</v>
      </c>
      <c r="D342">
        <f>'Unformatted Trip Summary'!D340</f>
        <v>278</v>
      </c>
      <c r="E342">
        <f>'Unformatted Trip Summary'!E340</f>
        <v>1431</v>
      </c>
      <c r="F342" s="1">
        <f>'Unformatted Trip Summary'!F340</f>
        <v>16.409874857999998</v>
      </c>
      <c r="G342" s="1">
        <f>'Unformatted Trip Summary'!G340</f>
        <v>155.70298459</v>
      </c>
      <c r="H342" s="1">
        <f>'Unformatted Trip Summary'!H340</f>
        <v>4.1435630797999998</v>
      </c>
    </row>
    <row r="343" spans="1:8" x14ac:dyDescent="0.25">
      <c r="A343" t="str">
        <f>'Unformatted Trip Summary'!A341</f>
        <v>05 GISBORNE</v>
      </c>
      <c r="B343" t="str">
        <f>'Unformatted Trip Summary'!J341</f>
        <v>2027/28</v>
      </c>
      <c r="C343" t="str">
        <f>'Unformatted Trip Summary'!I341</f>
        <v>Light Vehicle Passenger</v>
      </c>
      <c r="D343">
        <f>'Unformatted Trip Summary'!D341</f>
        <v>278</v>
      </c>
      <c r="E343">
        <f>'Unformatted Trip Summary'!E341</f>
        <v>1431</v>
      </c>
      <c r="F343" s="1">
        <f>'Unformatted Trip Summary'!F341</f>
        <v>15.425398207000001</v>
      </c>
      <c r="G343" s="1">
        <f>'Unformatted Trip Summary'!G341</f>
        <v>148.30914981000001</v>
      </c>
      <c r="H343" s="1">
        <f>'Unformatted Trip Summary'!H341</f>
        <v>3.9432734617</v>
      </c>
    </row>
    <row r="344" spans="1:8" x14ac:dyDescent="0.25">
      <c r="A344" t="str">
        <f>'Unformatted Trip Summary'!A342</f>
        <v>05 GISBORNE</v>
      </c>
      <c r="B344" t="str">
        <f>'Unformatted Trip Summary'!J342</f>
        <v>2032/33</v>
      </c>
      <c r="C344" t="str">
        <f>'Unformatted Trip Summary'!I342</f>
        <v>Light Vehicle Passenger</v>
      </c>
      <c r="D344">
        <f>'Unformatted Trip Summary'!D342</f>
        <v>278</v>
      </c>
      <c r="E344">
        <f>'Unformatted Trip Summary'!E342</f>
        <v>1431</v>
      </c>
      <c r="F344" s="1">
        <f>'Unformatted Trip Summary'!F342</f>
        <v>14.528901376</v>
      </c>
      <c r="G344" s="1">
        <f>'Unformatted Trip Summary'!G342</f>
        <v>139.64882908999999</v>
      </c>
      <c r="H344" s="1">
        <f>'Unformatted Trip Summary'!H342</f>
        <v>3.7175013019000001</v>
      </c>
    </row>
    <row r="345" spans="1:8" x14ac:dyDescent="0.25">
      <c r="A345" t="str">
        <f>'Unformatted Trip Summary'!A343</f>
        <v>05 GISBORNE</v>
      </c>
      <c r="B345" t="str">
        <f>'Unformatted Trip Summary'!J343</f>
        <v>2037/38</v>
      </c>
      <c r="C345" t="str">
        <f>'Unformatted Trip Summary'!I343</f>
        <v>Light Vehicle Passenger</v>
      </c>
      <c r="D345">
        <f>'Unformatted Trip Summary'!D343</f>
        <v>278</v>
      </c>
      <c r="E345">
        <f>'Unformatted Trip Summary'!E343</f>
        <v>1431</v>
      </c>
      <c r="F345" s="1">
        <f>'Unformatted Trip Summary'!F343</f>
        <v>13.823290866000001</v>
      </c>
      <c r="G345" s="1">
        <f>'Unformatted Trip Summary'!G343</f>
        <v>132.51400441000001</v>
      </c>
      <c r="H345" s="1">
        <f>'Unformatted Trip Summary'!H343</f>
        <v>3.5553156835999999</v>
      </c>
    </row>
    <row r="346" spans="1:8" x14ac:dyDescent="0.25">
      <c r="A346" t="str">
        <f>'Unformatted Trip Summary'!A344</f>
        <v>05 GISBORNE</v>
      </c>
      <c r="B346" t="str">
        <f>'Unformatted Trip Summary'!J344</f>
        <v>2042/43</v>
      </c>
      <c r="C346" t="str">
        <f>'Unformatted Trip Summary'!I344</f>
        <v>Light Vehicle Passenger</v>
      </c>
      <c r="D346">
        <f>'Unformatted Trip Summary'!D344</f>
        <v>278</v>
      </c>
      <c r="E346">
        <f>'Unformatted Trip Summary'!E344</f>
        <v>1431</v>
      </c>
      <c r="F346" s="1">
        <f>'Unformatted Trip Summary'!F344</f>
        <v>13.123630538</v>
      </c>
      <c r="G346" s="1">
        <f>'Unformatted Trip Summary'!G344</f>
        <v>125.56188837000001</v>
      </c>
      <c r="H346" s="1">
        <f>'Unformatted Trip Summary'!H344</f>
        <v>3.4009293736999999</v>
      </c>
    </row>
    <row r="347" spans="1:8" x14ac:dyDescent="0.25">
      <c r="A347" t="str">
        <f>'Unformatted Trip Summary'!A345</f>
        <v>05 GISBORNE</v>
      </c>
      <c r="B347" t="str">
        <f>'Unformatted Trip Summary'!J345</f>
        <v>2012/13</v>
      </c>
      <c r="C347" t="str">
        <f>'Unformatted Trip Summary'!I345</f>
        <v>Taxi/Vehicle Share</v>
      </c>
      <c r="D347">
        <f>'Unformatted Trip Summary'!D345</f>
        <v>2</v>
      </c>
      <c r="E347">
        <f>'Unformatted Trip Summary'!E345</f>
        <v>2</v>
      </c>
      <c r="F347" s="1">
        <f>'Unformatted Trip Summary'!F345</f>
        <v>2.27015811E-2</v>
      </c>
      <c r="G347" s="1">
        <f>'Unformatted Trip Summary'!G345</f>
        <v>0.1174510768</v>
      </c>
      <c r="H347" s="1">
        <f>'Unformatted Trip Summary'!H345</f>
        <v>5.0534828E-3</v>
      </c>
    </row>
    <row r="348" spans="1:8" x14ac:dyDescent="0.25">
      <c r="A348" t="str">
        <f>'Unformatted Trip Summary'!A346</f>
        <v>05 GISBORNE</v>
      </c>
      <c r="B348" t="str">
        <f>'Unformatted Trip Summary'!J346</f>
        <v>2017/18</v>
      </c>
      <c r="C348" t="str">
        <f>'Unformatted Trip Summary'!I346</f>
        <v>Taxi/Vehicle Share</v>
      </c>
      <c r="D348">
        <f>'Unformatted Trip Summary'!D346</f>
        <v>2</v>
      </c>
      <c r="E348">
        <f>'Unformatted Trip Summary'!E346</f>
        <v>2</v>
      </c>
      <c r="F348" s="1">
        <f>'Unformatted Trip Summary'!F346</f>
        <v>2.4493477699999999E-2</v>
      </c>
      <c r="G348" s="1">
        <f>'Unformatted Trip Summary'!G346</f>
        <v>0.1623226676</v>
      </c>
      <c r="H348" s="1">
        <f>'Unformatted Trip Summary'!H346</f>
        <v>6.7854517999999999E-3</v>
      </c>
    </row>
    <row r="349" spans="1:8" x14ac:dyDescent="0.25">
      <c r="A349" t="str">
        <f>'Unformatted Trip Summary'!A347</f>
        <v>05 GISBORNE</v>
      </c>
      <c r="B349" t="str">
        <f>'Unformatted Trip Summary'!J347</f>
        <v>2022/23</v>
      </c>
      <c r="C349" t="str">
        <f>'Unformatted Trip Summary'!I347</f>
        <v>Taxi/Vehicle Share</v>
      </c>
      <c r="D349">
        <f>'Unformatted Trip Summary'!D347</f>
        <v>2</v>
      </c>
      <c r="E349">
        <f>'Unformatted Trip Summary'!E347</f>
        <v>2</v>
      </c>
      <c r="F349" s="1">
        <f>'Unformatted Trip Summary'!F347</f>
        <v>2.89300215E-2</v>
      </c>
      <c r="G349" s="1">
        <f>'Unformatted Trip Summary'!G347</f>
        <v>0.23263389800000001</v>
      </c>
      <c r="H349" s="1">
        <f>'Unformatted Trip Summary'!H347</f>
        <v>9.5463777000000007E-3</v>
      </c>
    </row>
    <row r="350" spans="1:8" x14ac:dyDescent="0.25">
      <c r="A350" t="str">
        <f>'Unformatted Trip Summary'!A348</f>
        <v>05 GISBORNE</v>
      </c>
      <c r="B350" t="str">
        <f>'Unformatted Trip Summary'!J348</f>
        <v>2027/28</v>
      </c>
      <c r="C350" t="str">
        <f>'Unformatted Trip Summary'!I348</f>
        <v>Taxi/Vehicle Share</v>
      </c>
      <c r="D350">
        <f>'Unformatted Trip Summary'!D348</f>
        <v>2</v>
      </c>
      <c r="E350">
        <f>'Unformatted Trip Summary'!E348</f>
        <v>2</v>
      </c>
      <c r="F350" s="1">
        <f>'Unformatted Trip Summary'!F348</f>
        <v>3.63353114E-2</v>
      </c>
      <c r="G350" s="1">
        <f>'Unformatted Trip Summary'!G348</f>
        <v>0.33599282660000002</v>
      </c>
      <c r="H350" s="1">
        <f>'Unformatted Trip Summary'!H348</f>
        <v>1.3630504599999999E-2</v>
      </c>
    </row>
    <row r="351" spans="1:8" x14ac:dyDescent="0.25">
      <c r="A351" t="str">
        <f>'Unformatted Trip Summary'!A349</f>
        <v>05 GISBORNE</v>
      </c>
      <c r="B351" t="str">
        <f>'Unformatted Trip Summary'!J349</f>
        <v>2032/33</v>
      </c>
      <c r="C351" t="str">
        <f>'Unformatted Trip Summary'!I349</f>
        <v>Taxi/Vehicle Share</v>
      </c>
      <c r="D351">
        <f>'Unformatted Trip Summary'!D349</f>
        <v>2</v>
      </c>
      <c r="E351">
        <f>'Unformatted Trip Summary'!E349</f>
        <v>2</v>
      </c>
      <c r="F351" s="1">
        <f>'Unformatted Trip Summary'!F349</f>
        <v>4.3766067999999998E-2</v>
      </c>
      <c r="G351" s="1">
        <f>'Unformatted Trip Summary'!G349</f>
        <v>0.44888665840000003</v>
      </c>
      <c r="H351" s="1">
        <f>'Unformatted Trip Summary'!H349</f>
        <v>1.8072403800000001E-2</v>
      </c>
    </row>
    <row r="352" spans="1:8" x14ac:dyDescent="0.25">
      <c r="A352" t="str">
        <f>'Unformatted Trip Summary'!A350</f>
        <v>05 GISBORNE</v>
      </c>
      <c r="B352" t="str">
        <f>'Unformatted Trip Summary'!J350</f>
        <v>2037/38</v>
      </c>
      <c r="C352" t="str">
        <f>'Unformatted Trip Summary'!I350</f>
        <v>Taxi/Vehicle Share</v>
      </c>
      <c r="D352">
        <f>'Unformatted Trip Summary'!D350</f>
        <v>2</v>
      </c>
      <c r="E352">
        <f>'Unformatted Trip Summary'!E350</f>
        <v>2</v>
      </c>
      <c r="F352" s="1">
        <f>'Unformatted Trip Summary'!F350</f>
        <v>4.9484892799999999E-2</v>
      </c>
      <c r="G352" s="1">
        <f>'Unformatted Trip Summary'!G350</f>
        <v>0.52828800300000001</v>
      </c>
      <c r="H352" s="1">
        <f>'Unformatted Trip Summary'!H350</f>
        <v>2.12107367E-2</v>
      </c>
    </row>
    <row r="353" spans="1:8" x14ac:dyDescent="0.25">
      <c r="A353" t="str">
        <f>'Unformatted Trip Summary'!A351</f>
        <v>05 GISBORNE</v>
      </c>
      <c r="B353" t="str">
        <f>'Unformatted Trip Summary'!J351</f>
        <v>2042/43</v>
      </c>
      <c r="C353" t="str">
        <f>'Unformatted Trip Summary'!I351</f>
        <v>Taxi/Vehicle Share</v>
      </c>
      <c r="D353">
        <f>'Unformatted Trip Summary'!D351</f>
        <v>2</v>
      </c>
      <c r="E353">
        <f>'Unformatted Trip Summary'!E351</f>
        <v>2</v>
      </c>
      <c r="F353" s="1">
        <f>'Unformatted Trip Summary'!F351</f>
        <v>5.60723375E-2</v>
      </c>
      <c r="G353" s="1">
        <f>'Unformatted Trip Summary'!G351</f>
        <v>0.62011667479999999</v>
      </c>
      <c r="H353" s="1">
        <f>'Unformatted Trip Summary'!H351</f>
        <v>2.4839495100000001E-2</v>
      </c>
    </row>
    <row r="354" spans="1:8" x14ac:dyDescent="0.25">
      <c r="A354" t="str">
        <f>'Unformatted Trip Summary'!A352</f>
        <v>05 GISBORNE</v>
      </c>
      <c r="B354" t="str">
        <f>'Unformatted Trip Summary'!J352</f>
        <v>2012/13</v>
      </c>
      <c r="C354" t="str">
        <f>'Unformatted Trip Summary'!I352</f>
        <v>Motorcyclist</v>
      </c>
      <c r="D354">
        <f>'Unformatted Trip Summary'!D352</f>
        <v>3</v>
      </c>
      <c r="E354">
        <f>'Unformatted Trip Summary'!E352</f>
        <v>16</v>
      </c>
      <c r="F354" s="1">
        <f>'Unformatted Trip Summary'!F352</f>
        <v>0.20072163900000001</v>
      </c>
      <c r="G354" s="1">
        <f>'Unformatted Trip Summary'!G352</f>
        <v>0.95186353219999997</v>
      </c>
      <c r="H354" s="1">
        <f>'Unformatted Trip Summary'!H352</f>
        <v>4.6418087199999999E-2</v>
      </c>
    </row>
    <row r="355" spans="1:8" x14ac:dyDescent="0.25">
      <c r="A355" t="str">
        <f>'Unformatted Trip Summary'!A353</f>
        <v>05 GISBORNE</v>
      </c>
      <c r="B355" t="str">
        <f>'Unformatted Trip Summary'!J353</f>
        <v>2017/18</v>
      </c>
      <c r="C355" t="str">
        <f>'Unformatted Trip Summary'!I353</f>
        <v>Motorcyclist</v>
      </c>
      <c r="D355">
        <f>'Unformatted Trip Summary'!D353</f>
        <v>3</v>
      </c>
      <c r="E355">
        <f>'Unformatted Trip Summary'!E353</f>
        <v>16</v>
      </c>
      <c r="F355" s="1">
        <f>'Unformatted Trip Summary'!F353</f>
        <v>0.19992462229999999</v>
      </c>
      <c r="G355" s="1">
        <f>'Unformatted Trip Summary'!G353</f>
        <v>0.97433629160000002</v>
      </c>
      <c r="H355" s="1">
        <f>'Unformatted Trip Summary'!H353</f>
        <v>4.6273164399999997E-2</v>
      </c>
    </row>
    <row r="356" spans="1:8" x14ac:dyDescent="0.25">
      <c r="A356" t="str">
        <f>'Unformatted Trip Summary'!A354</f>
        <v>05 GISBORNE</v>
      </c>
      <c r="B356" t="str">
        <f>'Unformatted Trip Summary'!J354</f>
        <v>2022/23</v>
      </c>
      <c r="C356" t="str">
        <f>'Unformatted Trip Summary'!I354</f>
        <v>Motorcyclist</v>
      </c>
      <c r="D356">
        <f>'Unformatted Trip Summary'!D354</f>
        <v>3</v>
      </c>
      <c r="E356">
        <f>'Unformatted Trip Summary'!E354</f>
        <v>16</v>
      </c>
      <c r="F356" s="1">
        <f>'Unformatted Trip Summary'!F354</f>
        <v>0.1891430871</v>
      </c>
      <c r="G356" s="1">
        <f>'Unformatted Trip Summary'!G354</f>
        <v>0.94457033199999996</v>
      </c>
      <c r="H356" s="1">
        <f>'Unformatted Trip Summary'!H354</f>
        <v>4.3836975799999997E-2</v>
      </c>
    </row>
    <row r="357" spans="1:8" x14ac:dyDescent="0.25">
      <c r="A357" t="str">
        <f>'Unformatted Trip Summary'!A355</f>
        <v>05 GISBORNE</v>
      </c>
      <c r="B357" t="str">
        <f>'Unformatted Trip Summary'!J355</f>
        <v>2027/28</v>
      </c>
      <c r="C357" t="str">
        <f>'Unformatted Trip Summary'!I355</f>
        <v>Motorcyclist</v>
      </c>
      <c r="D357">
        <f>'Unformatted Trip Summary'!D355</f>
        <v>3</v>
      </c>
      <c r="E357">
        <f>'Unformatted Trip Summary'!E355</f>
        <v>16</v>
      </c>
      <c r="F357" s="1">
        <f>'Unformatted Trip Summary'!F355</f>
        <v>0.1751213093</v>
      </c>
      <c r="G357" s="1">
        <f>'Unformatted Trip Summary'!G355</f>
        <v>0.89185890739999996</v>
      </c>
      <c r="H357" s="1">
        <f>'Unformatted Trip Summary'!H355</f>
        <v>4.0836764800000001E-2</v>
      </c>
    </row>
    <row r="358" spans="1:8" x14ac:dyDescent="0.25">
      <c r="A358" t="str">
        <f>'Unformatted Trip Summary'!A356</f>
        <v>05 GISBORNE</v>
      </c>
      <c r="B358" t="str">
        <f>'Unformatted Trip Summary'!J356</f>
        <v>2032/33</v>
      </c>
      <c r="C358" t="str">
        <f>'Unformatted Trip Summary'!I356</f>
        <v>Motorcyclist</v>
      </c>
      <c r="D358">
        <f>'Unformatted Trip Summary'!D356</f>
        <v>3</v>
      </c>
      <c r="E358">
        <f>'Unformatted Trip Summary'!E356</f>
        <v>16</v>
      </c>
      <c r="F358" s="1">
        <f>'Unformatted Trip Summary'!F356</f>
        <v>0.1623271694</v>
      </c>
      <c r="G358" s="1">
        <f>'Unformatted Trip Summary'!G356</f>
        <v>0.82265852510000004</v>
      </c>
      <c r="H358" s="1">
        <f>'Unformatted Trip Summary'!H356</f>
        <v>3.8021242500000003E-2</v>
      </c>
    </row>
    <row r="359" spans="1:8" x14ac:dyDescent="0.25">
      <c r="A359" t="str">
        <f>'Unformatted Trip Summary'!A357</f>
        <v>05 GISBORNE</v>
      </c>
      <c r="B359" t="str">
        <f>'Unformatted Trip Summary'!J357</f>
        <v>2037/38</v>
      </c>
      <c r="C359" t="str">
        <f>'Unformatted Trip Summary'!I357</f>
        <v>Motorcyclist</v>
      </c>
      <c r="D359">
        <f>'Unformatted Trip Summary'!D357</f>
        <v>3</v>
      </c>
      <c r="E359">
        <f>'Unformatted Trip Summary'!E357</f>
        <v>16</v>
      </c>
      <c r="F359" s="1">
        <f>'Unformatted Trip Summary'!F357</f>
        <v>0.15268022270000001</v>
      </c>
      <c r="G359" s="1">
        <f>'Unformatted Trip Summary'!G357</f>
        <v>0.7571903794</v>
      </c>
      <c r="H359" s="1">
        <f>'Unformatted Trip Summary'!H357</f>
        <v>3.5852383100000003E-2</v>
      </c>
    </row>
    <row r="360" spans="1:8" x14ac:dyDescent="0.25">
      <c r="A360" t="str">
        <f>'Unformatted Trip Summary'!A358</f>
        <v>05 GISBORNE</v>
      </c>
      <c r="B360" t="str">
        <f>'Unformatted Trip Summary'!J358</f>
        <v>2042/43</v>
      </c>
      <c r="C360" t="str">
        <f>'Unformatted Trip Summary'!I358</f>
        <v>Motorcyclist</v>
      </c>
      <c r="D360">
        <f>'Unformatted Trip Summary'!D358</f>
        <v>3</v>
      </c>
      <c r="E360">
        <f>'Unformatted Trip Summary'!E358</f>
        <v>16</v>
      </c>
      <c r="F360" s="1">
        <f>'Unformatted Trip Summary'!F358</f>
        <v>0.14237726610000001</v>
      </c>
      <c r="G360" s="1">
        <f>'Unformatted Trip Summary'!G358</f>
        <v>0.69245113039999995</v>
      </c>
      <c r="H360" s="1">
        <f>'Unformatted Trip Summary'!H358</f>
        <v>3.3523906399999998E-2</v>
      </c>
    </row>
    <row r="361" spans="1:8" x14ac:dyDescent="0.25">
      <c r="A361" t="str">
        <f>'Unformatted Trip Summary'!A359</f>
        <v>05 GISBORNE</v>
      </c>
      <c r="B361" t="str">
        <f>'Unformatted Trip Summary'!J359</f>
        <v>2012/13</v>
      </c>
      <c r="C361" t="str">
        <f>'Unformatted Trip Summary'!I359</f>
        <v>Local Train</v>
      </c>
      <c r="D361">
        <f>'Unformatted Trip Summary'!D359</f>
        <v>1</v>
      </c>
      <c r="E361">
        <f>'Unformatted Trip Summary'!E359</f>
        <v>3</v>
      </c>
      <c r="F361" s="1">
        <f>'Unformatted Trip Summary'!F359</f>
        <v>2.2764127700000001E-2</v>
      </c>
      <c r="G361" s="1">
        <f>'Unformatted Trip Summary'!G359</f>
        <v>0</v>
      </c>
      <c r="H361" s="1">
        <f>'Unformatted Trip Summary'!H359</f>
        <v>2.5293475000000001E-3</v>
      </c>
    </row>
    <row r="362" spans="1:8" x14ac:dyDescent="0.25">
      <c r="A362" t="str">
        <f>'Unformatted Trip Summary'!A360</f>
        <v>05 GISBORNE</v>
      </c>
      <c r="B362" t="str">
        <f>'Unformatted Trip Summary'!J360</f>
        <v>2017/18</v>
      </c>
      <c r="C362" t="str">
        <f>'Unformatted Trip Summary'!I360</f>
        <v>Local Train</v>
      </c>
      <c r="D362">
        <f>'Unformatted Trip Summary'!D360</f>
        <v>1</v>
      </c>
      <c r="E362">
        <f>'Unformatted Trip Summary'!E360</f>
        <v>3</v>
      </c>
      <c r="F362" s="1">
        <f>'Unformatted Trip Summary'!F360</f>
        <v>3.39525585E-2</v>
      </c>
      <c r="G362" s="1">
        <f>'Unformatted Trip Summary'!G360</f>
        <v>0</v>
      </c>
      <c r="H362" s="1">
        <f>'Unformatted Trip Summary'!H360</f>
        <v>3.7696370000000002E-3</v>
      </c>
    </row>
    <row r="363" spans="1:8" x14ac:dyDescent="0.25">
      <c r="A363" t="str">
        <f>'Unformatted Trip Summary'!A361</f>
        <v>05 GISBORNE</v>
      </c>
      <c r="B363" t="str">
        <f>'Unformatted Trip Summary'!J361</f>
        <v>2022/23</v>
      </c>
      <c r="C363" t="str">
        <f>'Unformatted Trip Summary'!I361</f>
        <v>Local Train</v>
      </c>
      <c r="D363">
        <f>'Unformatted Trip Summary'!D361</f>
        <v>1</v>
      </c>
      <c r="E363">
        <f>'Unformatted Trip Summary'!E361</f>
        <v>3</v>
      </c>
      <c r="F363" s="1">
        <f>'Unformatted Trip Summary'!F361</f>
        <v>5.08184198E-2</v>
      </c>
      <c r="G363" s="1">
        <f>'Unformatted Trip Summary'!G361</f>
        <v>0</v>
      </c>
      <c r="H363" s="1">
        <f>'Unformatted Trip Summary'!H361</f>
        <v>5.6387481999999999E-3</v>
      </c>
    </row>
    <row r="364" spans="1:8" x14ac:dyDescent="0.25">
      <c r="A364" t="str">
        <f>'Unformatted Trip Summary'!A362</f>
        <v>05 GISBORNE</v>
      </c>
      <c r="B364" t="str">
        <f>'Unformatted Trip Summary'!J362</f>
        <v>2027/28</v>
      </c>
      <c r="C364" t="str">
        <f>'Unformatted Trip Summary'!I362</f>
        <v>Local Train</v>
      </c>
      <c r="D364">
        <f>'Unformatted Trip Summary'!D362</f>
        <v>1</v>
      </c>
      <c r="E364">
        <f>'Unformatted Trip Summary'!E362</f>
        <v>3</v>
      </c>
      <c r="F364" s="1">
        <f>'Unformatted Trip Summary'!F362</f>
        <v>7.5033515499999995E-2</v>
      </c>
      <c r="G364" s="1">
        <f>'Unformatted Trip Summary'!G362</f>
        <v>0</v>
      </c>
      <c r="H364" s="1">
        <f>'Unformatted Trip Summary'!H362</f>
        <v>8.3189331999999998E-3</v>
      </c>
    </row>
    <row r="365" spans="1:8" x14ac:dyDescent="0.25">
      <c r="A365" t="str">
        <f>'Unformatted Trip Summary'!A363</f>
        <v>05 GISBORNE</v>
      </c>
      <c r="B365" t="str">
        <f>'Unformatted Trip Summary'!J363</f>
        <v>2032/33</v>
      </c>
      <c r="C365" t="str">
        <f>'Unformatted Trip Summary'!I363</f>
        <v>Local Train</v>
      </c>
      <c r="D365">
        <f>'Unformatted Trip Summary'!D363</f>
        <v>1</v>
      </c>
      <c r="E365">
        <f>'Unformatted Trip Summary'!E363</f>
        <v>3</v>
      </c>
      <c r="F365" s="1">
        <f>'Unformatted Trip Summary'!F363</f>
        <v>0.1014271294</v>
      </c>
      <c r="G365" s="1">
        <f>'Unformatted Trip Summary'!G363</f>
        <v>0</v>
      </c>
      <c r="H365" s="1">
        <f>'Unformatted Trip Summary'!H363</f>
        <v>1.1235868E-2</v>
      </c>
    </row>
    <row r="366" spans="1:8" x14ac:dyDescent="0.25">
      <c r="A366" t="str">
        <f>'Unformatted Trip Summary'!A364</f>
        <v>05 GISBORNE</v>
      </c>
      <c r="B366" t="str">
        <f>'Unformatted Trip Summary'!J364</f>
        <v>2037/38</v>
      </c>
      <c r="C366" t="str">
        <f>'Unformatted Trip Summary'!I364</f>
        <v>Local Train</v>
      </c>
      <c r="D366">
        <f>'Unformatted Trip Summary'!D364</f>
        <v>1</v>
      </c>
      <c r="E366">
        <f>'Unformatted Trip Summary'!E364</f>
        <v>3</v>
      </c>
      <c r="F366" s="1">
        <f>'Unformatted Trip Summary'!F364</f>
        <v>0.11951622169999999</v>
      </c>
      <c r="G366" s="1">
        <f>'Unformatted Trip Summary'!G364</f>
        <v>0</v>
      </c>
      <c r="H366" s="1">
        <f>'Unformatted Trip Summary'!H364</f>
        <v>1.3230828199999999E-2</v>
      </c>
    </row>
    <row r="367" spans="1:8" x14ac:dyDescent="0.25">
      <c r="A367" t="str">
        <f>'Unformatted Trip Summary'!A365</f>
        <v>05 GISBORNE</v>
      </c>
      <c r="B367" t="str">
        <f>'Unformatted Trip Summary'!J365</f>
        <v>2042/43</v>
      </c>
      <c r="C367" t="str">
        <f>'Unformatted Trip Summary'!I365</f>
        <v>Local Train</v>
      </c>
      <c r="D367">
        <f>'Unformatted Trip Summary'!D365</f>
        <v>1</v>
      </c>
      <c r="E367">
        <f>'Unformatted Trip Summary'!E365</f>
        <v>3</v>
      </c>
      <c r="F367" s="1">
        <f>'Unformatted Trip Summary'!F365</f>
        <v>0.14010619190000001</v>
      </c>
      <c r="G367" s="1">
        <f>'Unformatted Trip Summary'!G365</f>
        <v>0</v>
      </c>
      <c r="H367" s="1">
        <f>'Unformatted Trip Summary'!H365</f>
        <v>1.5496593899999999E-2</v>
      </c>
    </row>
    <row r="368" spans="1:8" x14ac:dyDescent="0.25">
      <c r="A368" t="str">
        <f>'Unformatted Trip Summary'!A366</f>
        <v>05 GISBORNE</v>
      </c>
      <c r="B368" t="str">
        <f>'Unformatted Trip Summary'!J366</f>
        <v>2012/13</v>
      </c>
      <c r="C368" t="str">
        <f>'Unformatted Trip Summary'!I366</f>
        <v>Local Bus</v>
      </c>
      <c r="D368">
        <f>'Unformatted Trip Summary'!D366</f>
        <v>18</v>
      </c>
      <c r="E368">
        <f>'Unformatted Trip Summary'!E366</f>
        <v>34</v>
      </c>
      <c r="F368" s="1">
        <f>'Unformatted Trip Summary'!F366</f>
        <v>0.39415976190000002</v>
      </c>
      <c r="G368" s="1">
        <f>'Unformatted Trip Summary'!G366</f>
        <v>4.8778387282000004</v>
      </c>
      <c r="H368" s="1">
        <f>'Unformatted Trip Summary'!H366</f>
        <v>0.17812381360000001</v>
      </c>
    </row>
    <row r="369" spans="1:8" x14ac:dyDescent="0.25">
      <c r="A369" t="str">
        <f>'Unformatted Trip Summary'!A367</f>
        <v>05 GISBORNE</v>
      </c>
      <c r="B369" t="str">
        <f>'Unformatted Trip Summary'!J367</f>
        <v>2017/18</v>
      </c>
      <c r="C369" t="str">
        <f>'Unformatted Trip Summary'!I367</f>
        <v>Local Bus</v>
      </c>
      <c r="D369">
        <f>'Unformatted Trip Summary'!D367</f>
        <v>18</v>
      </c>
      <c r="E369">
        <f>'Unformatted Trip Summary'!E367</f>
        <v>34</v>
      </c>
      <c r="F369" s="1">
        <f>'Unformatted Trip Summary'!F367</f>
        <v>0.3538737542</v>
      </c>
      <c r="G369" s="1">
        <f>'Unformatted Trip Summary'!G367</f>
        <v>4.3392558229000002</v>
      </c>
      <c r="H369" s="1">
        <f>'Unformatted Trip Summary'!H367</f>
        <v>0.15996836489999999</v>
      </c>
    </row>
    <row r="370" spans="1:8" x14ac:dyDescent="0.25">
      <c r="A370" t="str">
        <f>'Unformatted Trip Summary'!A368</f>
        <v>05 GISBORNE</v>
      </c>
      <c r="B370" t="str">
        <f>'Unformatted Trip Summary'!J368</f>
        <v>2022/23</v>
      </c>
      <c r="C370" t="str">
        <f>'Unformatted Trip Summary'!I368</f>
        <v>Local Bus</v>
      </c>
      <c r="D370">
        <f>'Unformatted Trip Summary'!D368</f>
        <v>18</v>
      </c>
      <c r="E370">
        <f>'Unformatted Trip Summary'!E368</f>
        <v>34</v>
      </c>
      <c r="F370" s="1">
        <f>'Unformatted Trip Summary'!F368</f>
        <v>0.32994547610000002</v>
      </c>
      <c r="G370" s="1">
        <f>'Unformatted Trip Summary'!G368</f>
        <v>3.9678924358000001</v>
      </c>
      <c r="H370" s="1">
        <f>'Unformatted Trip Summary'!H368</f>
        <v>0.1494327459</v>
      </c>
    </row>
    <row r="371" spans="1:8" x14ac:dyDescent="0.25">
      <c r="A371" t="str">
        <f>'Unformatted Trip Summary'!A369</f>
        <v>05 GISBORNE</v>
      </c>
      <c r="B371" t="str">
        <f>'Unformatted Trip Summary'!J369</f>
        <v>2027/28</v>
      </c>
      <c r="C371" t="str">
        <f>'Unformatted Trip Summary'!I369</f>
        <v>Local Bus</v>
      </c>
      <c r="D371">
        <f>'Unformatted Trip Summary'!D369</f>
        <v>18</v>
      </c>
      <c r="E371">
        <f>'Unformatted Trip Summary'!E369</f>
        <v>34</v>
      </c>
      <c r="F371" s="1">
        <f>'Unformatted Trip Summary'!F369</f>
        <v>0.32498102670000001</v>
      </c>
      <c r="G371" s="1">
        <f>'Unformatted Trip Summary'!G369</f>
        <v>3.7072587056000001</v>
      </c>
      <c r="H371" s="1">
        <f>'Unformatted Trip Summary'!H369</f>
        <v>0.1465219804</v>
      </c>
    </row>
    <row r="372" spans="1:8" x14ac:dyDescent="0.25">
      <c r="A372" t="str">
        <f>'Unformatted Trip Summary'!A370</f>
        <v>05 GISBORNE</v>
      </c>
      <c r="B372" t="str">
        <f>'Unformatted Trip Summary'!J370</f>
        <v>2032/33</v>
      </c>
      <c r="C372" t="str">
        <f>'Unformatted Trip Summary'!I370</f>
        <v>Local Bus</v>
      </c>
      <c r="D372">
        <f>'Unformatted Trip Summary'!D370</f>
        <v>18</v>
      </c>
      <c r="E372">
        <f>'Unformatted Trip Summary'!E370</f>
        <v>34</v>
      </c>
      <c r="F372" s="1">
        <f>'Unformatted Trip Summary'!F370</f>
        <v>0.32441346199999999</v>
      </c>
      <c r="G372" s="1">
        <f>'Unformatted Trip Summary'!G370</f>
        <v>3.3077991598000001</v>
      </c>
      <c r="H372" s="1">
        <f>'Unformatted Trip Summary'!H370</f>
        <v>0.14353467950000001</v>
      </c>
    </row>
    <row r="373" spans="1:8" x14ac:dyDescent="0.25">
      <c r="A373" t="str">
        <f>'Unformatted Trip Summary'!A371</f>
        <v>05 GISBORNE</v>
      </c>
      <c r="B373" t="str">
        <f>'Unformatted Trip Summary'!J371</f>
        <v>2037/38</v>
      </c>
      <c r="C373" t="str">
        <f>'Unformatted Trip Summary'!I371</f>
        <v>Local Bus</v>
      </c>
      <c r="D373">
        <f>'Unformatted Trip Summary'!D371</f>
        <v>18</v>
      </c>
      <c r="E373">
        <f>'Unformatted Trip Summary'!E371</f>
        <v>34</v>
      </c>
      <c r="F373" s="1">
        <f>'Unformatted Trip Summary'!F371</f>
        <v>0.32167529490000002</v>
      </c>
      <c r="G373" s="1">
        <f>'Unformatted Trip Summary'!G371</f>
        <v>3.1270511717999998</v>
      </c>
      <c r="H373" s="1">
        <f>'Unformatted Trip Summary'!H371</f>
        <v>0.14365294710000001</v>
      </c>
    </row>
    <row r="374" spans="1:8" x14ac:dyDescent="0.25">
      <c r="A374" t="str">
        <f>'Unformatted Trip Summary'!A372</f>
        <v>05 GISBORNE</v>
      </c>
      <c r="B374" t="str">
        <f>'Unformatted Trip Summary'!J372</f>
        <v>2042/43</v>
      </c>
      <c r="C374" t="str">
        <f>'Unformatted Trip Summary'!I372</f>
        <v>Local Bus</v>
      </c>
      <c r="D374">
        <f>'Unformatted Trip Summary'!D372</f>
        <v>18</v>
      </c>
      <c r="E374">
        <f>'Unformatted Trip Summary'!E372</f>
        <v>34</v>
      </c>
      <c r="F374" s="1">
        <f>'Unformatted Trip Summary'!F372</f>
        <v>0.32276267879999998</v>
      </c>
      <c r="G374" s="1">
        <f>'Unformatted Trip Summary'!G372</f>
        <v>2.9593226316000001</v>
      </c>
      <c r="H374" s="1">
        <f>'Unformatted Trip Summary'!H372</f>
        <v>0.14505059610000001</v>
      </c>
    </row>
    <row r="375" spans="1:8" x14ac:dyDescent="0.25">
      <c r="A375" t="str">
        <f>'Unformatted Trip Summary'!A373</f>
        <v>05 GISBORNE</v>
      </c>
      <c r="B375" t="str">
        <f>'Unformatted Trip Summary'!J373</f>
        <v>2012/13</v>
      </c>
      <c r="C375" t="str">
        <f>'Unformatted Trip Summary'!I373</f>
        <v>Local Ferry</v>
      </c>
      <c r="D375">
        <f>'Unformatted Trip Summary'!D373</f>
        <v>1</v>
      </c>
      <c r="E375">
        <f>'Unformatted Trip Summary'!E373</f>
        <v>2</v>
      </c>
      <c r="F375" s="1">
        <f>'Unformatted Trip Summary'!F373</f>
        <v>1.5651153399999999E-2</v>
      </c>
      <c r="G375" s="1">
        <f>'Unformatted Trip Summary'!G373</f>
        <v>0</v>
      </c>
      <c r="H375" s="1">
        <f>'Unformatted Trip Summary'!H373</f>
        <v>6.5213138999999998E-3</v>
      </c>
    </row>
    <row r="376" spans="1:8" x14ac:dyDescent="0.25">
      <c r="A376" t="str">
        <f>'Unformatted Trip Summary'!A374</f>
        <v>05 GISBORNE</v>
      </c>
      <c r="B376" t="str">
        <f>'Unformatted Trip Summary'!J374</f>
        <v>2017/18</v>
      </c>
      <c r="C376" t="str">
        <f>'Unformatted Trip Summary'!I374</f>
        <v>Local Ferry</v>
      </c>
      <c r="D376">
        <f>'Unformatted Trip Summary'!D374</f>
        <v>1</v>
      </c>
      <c r="E376">
        <f>'Unformatted Trip Summary'!E374</f>
        <v>2</v>
      </c>
      <c r="F376" s="1">
        <f>'Unformatted Trip Summary'!F374</f>
        <v>1.49002232E-2</v>
      </c>
      <c r="G376" s="1">
        <f>'Unformatted Trip Summary'!G374</f>
        <v>0</v>
      </c>
      <c r="H376" s="1">
        <f>'Unformatted Trip Summary'!H374</f>
        <v>6.2084263000000001E-3</v>
      </c>
    </row>
    <row r="377" spans="1:8" x14ac:dyDescent="0.25">
      <c r="A377" t="str">
        <f>'Unformatted Trip Summary'!A375</f>
        <v>05 GISBORNE</v>
      </c>
      <c r="B377" t="str">
        <f>'Unformatted Trip Summary'!J375</f>
        <v>2022/23</v>
      </c>
      <c r="C377" t="str">
        <f>'Unformatted Trip Summary'!I375</f>
        <v>Local Ferry</v>
      </c>
      <c r="D377">
        <f>'Unformatted Trip Summary'!D375</f>
        <v>1</v>
      </c>
      <c r="E377">
        <f>'Unformatted Trip Summary'!E375</f>
        <v>2</v>
      </c>
      <c r="F377" s="1">
        <f>'Unformatted Trip Summary'!F375</f>
        <v>1.3987027900000001E-2</v>
      </c>
      <c r="G377" s="1">
        <f>'Unformatted Trip Summary'!G375</f>
        <v>0</v>
      </c>
      <c r="H377" s="1">
        <f>'Unformatted Trip Summary'!H375</f>
        <v>5.8279283000000001E-3</v>
      </c>
    </row>
    <row r="378" spans="1:8" x14ac:dyDescent="0.25">
      <c r="A378" t="str">
        <f>'Unformatted Trip Summary'!A376</f>
        <v>05 GISBORNE</v>
      </c>
      <c r="B378" t="str">
        <f>'Unformatted Trip Summary'!J376</f>
        <v>2027/28</v>
      </c>
      <c r="C378" t="str">
        <f>'Unformatted Trip Summary'!I376</f>
        <v>Local Ferry</v>
      </c>
      <c r="D378">
        <f>'Unformatted Trip Summary'!D376</f>
        <v>1</v>
      </c>
      <c r="E378">
        <f>'Unformatted Trip Summary'!E376</f>
        <v>2</v>
      </c>
      <c r="F378" s="1">
        <f>'Unformatted Trip Summary'!F376</f>
        <v>1.3669896399999999E-2</v>
      </c>
      <c r="G378" s="1">
        <f>'Unformatted Trip Summary'!G376</f>
        <v>0</v>
      </c>
      <c r="H378" s="1">
        <f>'Unformatted Trip Summary'!H376</f>
        <v>5.6957902000000001E-3</v>
      </c>
    </row>
    <row r="379" spans="1:8" x14ac:dyDescent="0.25">
      <c r="A379" t="str">
        <f>'Unformatted Trip Summary'!A377</f>
        <v>05 GISBORNE</v>
      </c>
      <c r="B379" t="str">
        <f>'Unformatted Trip Summary'!J377</f>
        <v>2032/33</v>
      </c>
      <c r="C379" t="str">
        <f>'Unformatted Trip Summary'!I377</f>
        <v>Local Ferry</v>
      </c>
      <c r="D379">
        <f>'Unformatted Trip Summary'!D377</f>
        <v>1</v>
      </c>
      <c r="E379">
        <f>'Unformatted Trip Summary'!E377</f>
        <v>2</v>
      </c>
      <c r="F379" s="1">
        <f>'Unformatted Trip Summary'!F377</f>
        <v>1.50819252E-2</v>
      </c>
      <c r="G379" s="1">
        <f>'Unformatted Trip Summary'!G377</f>
        <v>0</v>
      </c>
      <c r="H379" s="1">
        <f>'Unformatted Trip Summary'!H377</f>
        <v>6.2841355000000003E-3</v>
      </c>
    </row>
    <row r="380" spans="1:8" x14ac:dyDescent="0.25">
      <c r="A380" t="str">
        <f>'Unformatted Trip Summary'!A378</f>
        <v>05 GISBORNE</v>
      </c>
      <c r="B380" t="str">
        <f>'Unformatted Trip Summary'!J378</f>
        <v>2037/38</v>
      </c>
      <c r="C380" t="str">
        <f>'Unformatted Trip Summary'!I378</f>
        <v>Local Ferry</v>
      </c>
      <c r="D380">
        <f>'Unformatted Trip Summary'!D378</f>
        <v>1</v>
      </c>
      <c r="E380">
        <f>'Unformatted Trip Summary'!E378</f>
        <v>2</v>
      </c>
      <c r="F380" s="1">
        <f>'Unformatted Trip Summary'!F378</f>
        <v>1.78318069E-2</v>
      </c>
      <c r="G380" s="1">
        <f>'Unformatted Trip Summary'!G378</f>
        <v>0</v>
      </c>
      <c r="H380" s="1">
        <f>'Unformatted Trip Summary'!H378</f>
        <v>7.4299196000000003E-3</v>
      </c>
    </row>
    <row r="381" spans="1:8" x14ac:dyDescent="0.25">
      <c r="A381" t="str">
        <f>'Unformatted Trip Summary'!A379</f>
        <v>05 GISBORNE</v>
      </c>
      <c r="B381" t="str">
        <f>'Unformatted Trip Summary'!J379</f>
        <v>2042/43</v>
      </c>
      <c r="C381" t="str">
        <f>'Unformatted Trip Summary'!I379</f>
        <v>Local Ferry</v>
      </c>
      <c r="D381">
        <f>'Unformatted Trip Summary'!D379</f>
        <v>1</v>
      </c>
      <c r="E381">
        <f>'Unformatted Trip Summary'!E379</f>
        <v>2</v>
      </c>
      <c r="F381" s="1">
        <f>'Unformatted Trip Summary'!F379</f>
        <v>2.0723639799999999E-2</v>
      </c>
      <c r="G381" s="1">
        <f>'Unformatted Trip Summary'!G379</f>
        <v>0</v>
      </c>
      <c r="H381" s="1">
        <f>'Unformatted Trip Summary'!H379</f>
        <v>8.6348498999999999E-3</v>
      </c>
    </row>
    <row r="382" spans="1:8" x14ac:dyDescent="0.25">
      <c r="A382" t="str">
        <f>'Unformatted Trip Summary'!A380</f>
        <v>05 GISBORNE</v>
      </c>
      <c r="B382" t="str">
        <f>'Unformatted Trip Summary'!J380</f>
        <v>2012/13</v>
      </c>
      <c r="C382" t="str">
        <f>'Unformatted Trip Summary'!I380</f>
        <v>Other Household Travel</v>
      </c>
      <c r="D382">
        <f>'Unformatted Trip Summary'!D380</f>
        <v>1</v>
      </c>
      <c r="E382">
        <f>'Unformatted Trip Summary'!E380</f>
        <v>2</v>
      </c>
      <c r="F382" s="1">
        <f>'Unformatted Trip Summary'!F380</f>
        <v>3.13358953E-2</v>
      </c>
      <c r="G382" s="1">
        <f>'Unformatted Trip Summary'!G380</f>
        <v>0</v>
      </c>
      <c r="H382" s="1">
        <f>'Unformatted Trip Summary'!H380</f>
        <v>5.2226492000000003E-3</v>
      </c>
    </row>
    <row r="383" spans="1:8" x14ac:dyDescent="0.25">
      <c r="A383" t="str">
        <f>'Unformatted Trip Summary'!A381</f>
        <v>05 GISBORNE</v>
      </c>
      <c r="B383" t="str">
        <f>'Unformatted Trip Summary'!J381</f>
        <v>2017/18</v>
      </c>
      <c r="C383" t="str">
        <f>'Unformatted Trip Summary'!I381</f>
        <v>Other Household Travel</v>
      </c>
      <c r="D383">
        <f>'Unformatted Trip Summary'!D381</f>
        <v>1</v>
      </c>
      <c r="E383">
        <f>'Unformatted Trip Summary'!E381</f>
        <v>2</v>
      </c>
      <c r="F383" s="1">
        <f>'Unformatted Trip Summary'!F381</f>
        <v>2.64331667E-2</v>
      </c>
      <c r="G383" s="1">
        <f>'Unformatted Trip Summary'!G381</f>
        <v>0</v>
      </c>
      <c r="H383" s="1">
        <f>'Unformatted Trip Summary'!H381</f>
        <v>4.4055277999999996E-3</v>
      </c>
    </row>
    <row r="384" spans="1:8" x14ac:dyDescent="0.25">
      <c r="A384" t="str">
        <f>'Unformatted Trip Summary'!A382</f>
        <v>05 GISBORNE</v>
      </c>
      <c r="B384" t="str">
        <f>'Unformatted Trip Summary'!J382</f>
        <v>2022/23</v>
      </c>
      <c r="C384" t="str">
        <f>'Unformatted Trip Summary'!I382</f>
        <v>Other Household Travel</v>
      </c>
      <c r="D384">
        <f>'Unformatted Trip Summary'!D382</f>
        <v>1</v>
      </c>
      <c r="E384">
        <f>'Unformatted Trip Summary'!E382</f>
        <v>2</v>
      </c>
      <c r="F384" s="1">
        <f>'Unformatted Trip Summary'!F382</f>
        <v>1.9894802999999999E-2</v>
      </c>
      <c r="G384" s="1">
        <f>'Unformatted Trip Summary'!G382</f>
        <v>0</v>
      </c>
      <c r="H384" s="1">
        <f>'Unformatted Trip Summary'!H382</f>
        <v>3.3158005E-3</v>
      </c>
    </row>
    <row r="385" spans="1:8" x14ac:dyDescent="0.25">
      <c r="A385" t="str">
        <f>'Unformatted Trip Summary'!A383</f>
        <v>05 GISBORNE</v>
      </c>
      <c r="B385" t="str">
        <f>'Unformatted Trip Summary'!J383</f>
        <v>2027/28</v>
      </c>
      <c r="C385" t="str">
        <f>'Unformatted Trip Summary'!I383</f>
        <v>Other Household Travel</v>
      </c>
      <c r="D385">
        <f>'Unformatted Trip Summary'!D383</f>
        <v>1</v>
      </c>
      <c r="E385">
        <f>'Unformatted Trip Summary'!E383</f>
        <v>2</v>
      </c>
      <c r="F385" s="1">
        <f>'Unformatted Trip Summary'!F383</f>
        <v>1.80602622E-2</v>
      </c>
      <c r="G385" s="1">
        <f>'Unformatted Trip Summary'!G383</f>
        <v>0</v>
      </c>
      <c r="H385" s="1">
        <f>'Unformatted Trip Summary'!H383</f>
        <v>3.0100436999999998E-3</v>
      </c>
    </row>
    <row r="386" spans="1:8" x14ac:dyDescent="0.25">
      <c r="A386" t="str">
        <f>'Unformatted Trip Summary'!A384</f>
        <v>05 GISBORNE</v>
      </c>
      <c r="B386" t="str">
        <f>'Unformatted Trip Summary'!J384</f>
        <v>2032/33</v>
      </c>
      <c r="C386" t="str">
        <f>'Unformatted Trip Summary'!I384</f>
        <v>Other Household Travel</v>
      </c>
      <c r="D386">
        <f>'Unformatted Trip Summary'!D384</f>
        <v>1</v>
      </c>
      <c r="E386">
        <f>'Unformatted Trip Summary'!E384</f>
        <v>2</v>
      </c>
      <c r="F386" s="1">
        <f>'Unformatted Trip Summary'!F384</f>
        <v>1.5345605E-2</v>
      </c>
      <c r="G386" s="1">
        <f>'Unformatted Trip Summary'!G384</f>
        <v>0</v>
      </c>
      <c r="H386" s="1">
        <f>'Unformatted Trip Summary'!H384</f>
        <v>2.5576008E-3</v>
      </c>
    </row>
    <row r="387" spans="1:8" x14ac:dyDescent="0.25">
      <c r="A387" t="str">
        <f>'Unformatted Trip Summary'!A385</f>
        <v>05 GISBORNE</v>
      </c>
      <c r="B387" t="str">
        <f>'Unformatted Trip Summary'!J385</f>
        <v>2037/38</v>
      </c>
      <c r="C387" t="str">
        <f>'Unformatted Trip Summary'!I385</f>
        <v>Other Household Travel</v>
      </c>
      <c r="D387">
        <f>'Unformatted Trip Summary'!D385</f>
        <v>1</v>
      </c>
      <c r="E387">
        <f>'Unformatted Trip Summary'!E385</f>
        <v>2</v>
      </c>
      <c r="F387" s="1">
        <f>'Unformatted Trip Summary'!F385</f>
        <v>1.16278697E-2</v>
      </c>
      <c r="G387" s="1">
        <f>'Unformatted Trip Summary'!G385</f>
        <v>0</v>
      </c>
      <c r="H387" s="1">
        <f>'Unformatted Trip Summary'!H385</f>
        <v>1.9379783E-3</v>
      </c>
    </row>
    <row r="388" spans="1:8" x14ac:dyDescent="0.25">
      <c r="A388" t="str">
        <f>'Unformatted Trip Summary'!A386</f>
        <v>05 GISBORNE</v>
      </c>
      <c r="B388" t="str">
        <f>'Unformatted Trip Summary'!J386</f>
        <v>2042/43</v>
      </c>
      <c r="C388" t="str">
        <f>'Unformatted Trip Summary'!I386</f>
        <v>Other Household Travel</v>
      </c>
      <c r="D388">
        <f>'Unformatted Trip Summary'!D386</f>
        <v>1</v>
      </c>
      <c r="E388">
        <f>'Unformatted Trip Summary'!E386</f>
        <v>2</v>
      </c>
      <c r="F388" s="1">
        <f>'Unformatted Trip Summary'!F386</f>
        <v>8.4809710999999999E-3</v>
      </c>
      <c r="G388" s="1">
        <f>'Unformatted Trip Summary'!G386</f>
        <v>0</v>
      </c>
      <c r="H388" s="1">
        <f>'Unformatted Trip Summary'!H386</f>
        <v>1.4134951999999999E-3</v>
      </c>
    </row>
    <row r="389" spans="1:8" x14ac:dyDescent="0.25">
      <c r="A389" t="str">
        <f>'Unformatted Trip Summary'!A387</f>
        <v>05 GISBORNE</v>
      </c>
      <c r="B389" t="str">
        <f>'Unformatted Trip Summary'!J387</f>
        <v>2012/13</v>
      </c>
      <c r="C389" t="str">
        <f>'Unformatted Trip Summary'!I387</f>
        <v>Air/Non-Local PT</v>
      </c>
      <c r="D389">
        <f>'Unformatted Trip Summary'!D387</f>
        <v>12</v>
      </c>
      <c r="E389">
        <f>'Unformatted Trip Summary'!E387</f>
        <v>20</v>
      </c>
      <c r="F389" s="1">
        <f>'Unformatted Trip Summary'!F387</f>
        <v>0.31271654580000002</v>
      </c>
      <c r="G389" s="1">
        <f>'Unformatted Trip Summary'!G387</f>
        <v>23.012948782999999</v>
      </c>
      <c r="H389" s="1">
        <f>'Unformatted Trip Summary'!H387</f>
        <v>0.66485160600000004</v>
      </c>
    </row>
    <row r="390" spans="1:8" x14ac:dyDescent="0.25">
      <c r="A390" t="str">
        <f>'Unformatted Trip Summary'!A388</f>
        <v>05 GISBORNE</v>
      </c>
      <c r="B390" t="str">
        <f>'Unformatted Trip Summary'!J388</f>
        <v>2017/18</v>
      </c>
      <c r="C390" t="str">
        <f>'Unformatted Trip Summary'!I388</f>
        <v>Air/Non-Local PT</v>
      </c>
      <c r="D390">
        <f>'Unformatted Trip Summary'!D388</f>
        <v>12</v>
      </c>
      <c r="E390">
        <f>'Unformatted Trip Summary'!E388</f>
        <v>20</v>
      </c>
      <c r="F390" s="1">
        <f>'Unformatted Trip Summary'!F388</f>
        <v>0.30624986780000002</v>
      </c>
      <c r="G390" s="1">
        <f>'Unformatted Trip Summary'!G388</f>
        <v>22.180711374000001</v>
      </c>
      <c r="H390" s="1">
        <f>'Unformatted Trip Summary'!H388</f>
        <v>0.63993223870000004</v>
      </c>
    </row>
    <row r="391" spans="1:8" x14ac:dyDescent="0.25">
      <c r="A391" t="str">
        <f>'Unformatted Trip Summary'!A389</f>
        <v>05 GISBORNE</v>
      </c>
      <c r="B391" t="str">
        <f>'Unformatted Trip Summary'!J389</f>
        <v>2022/23</v>
      </c>
      <c r="C391" t="str">
        <f>'Unformatted Trip Summary'!I389</f>
        <v>Air/Non-Local PT</v>
      </c>
      <c r="D391">
        <f>'Unformatted Trip Summary'!D389</f>
        <v>12</v>
      </c>
      <c r="E391">
        <f>'Unformatted Trip Summary'!E389</f>
        <v>20</v>
      </c>
      <c r="F391" s="1">
        <f>'Unformatted Trip Summary'!F389</f>
        <v>0.30098139190000001</v>
      </c>
      <c r="G391" s="1">
        <f>'Unformatted Trip Summary'!G389</f>
        <v>21.587036612999999</v>
      </c>
      <c r="H391" s="1">
        <f>'Unformatted Trip Summary'!H389</f>
        <v>0.62253032519999996</v>
      </c>
    </row>
    <row r="392" spans="1:8" x14ac:dyDescent="0.25">
      <c r="A392" t="str">
        <f>'Unformatted Trip Summary'!A390</f>
        <v>05 GISBORNE</v>
      </c>
      <c r="B392" t="str">
        <f>'Unformatted Trip Summary'!J390</f>
        <v>2027/28</v>
      </c>
      <c r="C392" t="str">
        <f>'Unformatted Trip Summary'!I390</f>
        <v>Air/Non-Local PT</v>
      </c>
      <c r="D392">
        <f>'Unformatted Trip Summary'!D390</f>
        <v>12</v>
      </c>
      <c r="E392">
        <f>'Unformatted Trip Summary'!E390</f>
        <v>20</v>
      </c>
      <c r="F392" s="1">
        <f>'Unformatted Trip Summary'!F390</f>
        <v>0.30633303830000003</v>
      </c>
      <c r="G392" s="1">
        <f>'Unformatted Trip Summary'!G390</f>
        <v>20.972813220999999</v>
      </c>
      <c r="H392" s="1">
        <f>'Unformatted Trip Summary'!H390</f>
        <v>0.62210628280000002</v>
      </c>
    </row>
    <row r="393" spans="1:8" x14ac:dyDescent="0.25">
      <c r="A393" t="str">
        <f>'Unformatted Trip Summary'!A391</f>
        <v>05 GISBORNE</v>
      </c>
      <c r="B393" t="str">
        <f>'Unformatted Trip Summary'!J391</f>
        <v>2032/33</v>
      </c>
      <c r="C393" t="str">
        <f>'Unformatted Trip Summary'!I391</f>
        <v>Air/Non-Local PT</v>
      </c>
      <c r="D393">
        <f>'Unformatted Trip Summary'!D391</f>
        <v>12</v>
      </c>
      <c r="E393">
        <f>'Unformatted Trip Summary'!E391</f>
        <v>20</v>
      </c>
      <c r="F393" s="1">
        <f>'Unformatted Trip Summary'!F391</f>
        <v>0.31013753430000002</v>
      </c>
      <c r="G393" s="1">
        <f>'Unformatted Trip Summary'!G391</f>
        <v>20.323855723000001</v>
      </c>
      <c r="H393" s="1">
        <f>'Unformatted Trip Summary'!H391</f>
        <v>0.61965745679999995</v>
      </c>
    </row>
    <row r="394" spans="1:8" x14ac:dyDescent="0.25">
      <c r="A394" t="str">
        <f>'Unformatted Trip Summary'!A392</f>
        <v>05 GISBORNE</v>
      </c>
      <c r="B394" t="str">
        <f>'Unformatted Trip Summary'!J392</f>
        <v>2037/38</v>
      </c>
      <c r="C394" t="str">
        <f>'Unformatted Trip Summary'!I392</f>
        <v>Air/Non-Local PT</v>
      </c>
      <c r="D394">
        <f>'Unformatted Trip Summary'!D392</f>
        <v>12</v>
      </c>
      <c r="E394">
        <f>'Unformatted Trip Summary'!E392</f>
        <v>20</v>
      </c>
      <c r="F394" s="1">
        <f>'Unformatted Trip Summary'!F392</f>
        <v>0.30708143640000002</v>
      </c>
      <c r="G394" s="1">
        <f>'Unformatted Trip Summary'!G392</f>
        <v>19.870431984</v>
      </c>
      <c r="H394" s="1">
        <f>'Unformatted Trip Summary'!H392</f>
        <v>0.60485077539999998</v>
      </c>
    </row>
    <row r="395" spans="1:8" x14ac:dyDescent="0.25">
      <c r="A395" t="str">
        <f>'Unformatted Trip Summary'!A393</f>
        <v>05 GISBORNE</v>
      </c>
      <c r="B395" t="str">
        <f>'Unformatted Trip Summary'!J393</f>
        <v>2042/43</v>
      </c>
      <c r="C395" t="str">
        <f>'Unformatted Trip Summary'!I393</f>
        <v>Air/Non-Local PT</v>
      </c>
      <c r="D395">
        <f>'Unformatted Trip Summary'!D393</f>
        <v>12</v>
      </c>
      <c r="E395">
        <f>'Unformatted Trip Summary'!E393</f>
        <v>20</v>
      </c>
      <c r="F395" s="1">
        <f>'Unformatted Trip Summary'!F393</f>
        <v>0.3045105354</v>
      </c>
      <c r="G395" s="1">
        <f>'Unformatted Trip Summary'!G393</f>
        <v>19.472652426</v>
      </c>
      <c r="H395" s="1">
        <f>'Unformatted Trip Summary'!H393</f>
        <v>0.59095791539999998</v>
      </c>
    </row>
    <row r="396" spans="1:8" x14ac:dyDescent="0.25">
      <c r="A396" t="str">
        <f>'Unformatted Trip Summary'!A394</f>
        <v>05 GISBORNE</v>
      </c>
      <c r="B396" t="str">
        <f>'Unformatted Trip Summary'!J394</f>
        <v>2012/13</v>
      </c>
      <c r="C396" t="str">
        <f>'Unformatted Trip Summary'!I394</f>
        <v>Non-Household Travel</v>
      </c>
      <c r="D396">
        <f>'Unformatted Trip Summary'!D394</f>
        <v>8</v>
      </c>
      <c r="E396">
        <f>'Unformatted Trip Summary'!E394</f>
        <v>22</v>
      </c>
      <c r="F396" s="1">
        <f>'Unformatted Trip Summary'!F394</f>
        <v>0.24434687620000001</v>
      </c>
      <c r="G396" s="1">
        <f>'Unformatted Trip Summary'!G394</f>
        <v>9.0032605469</v>
      </c>
      <c r="H396" s="1">
        <f>'Unformatted Trip Summary'!H394</f>
        <v>0.1991820503</v>
      </c>
    </row>
    <row r="397" spans="1:8" x14ac:dyDescent="0.25">
      <c r="A397" t="str">
        <f>'Unformatted Trip Summary'!A395</f>
        <v>05 GISBORNE</v>
      </c>
      <c r="B397" t="str">
        <f>'Unformatted Trip Summary'!J395</f>
        <v>2017/18</v>
      </c>
      <c r="C397" t="str">
        <f>'Unformatted Trip Summary'!I395</f>
        <v>Non-Household Travel</v>
      </c>
      <c r="D397">
        <f>'Unformatted Trip Summary'!D395</f>
        <v>8</v>
      </c>
      <c r="E397">
        <f>'Unformatted Trip Summary'!E395</f>
        <v>22</v>
      </c>
      <c r="F397" s="1">
        <f>'Unformatted Trip Summary'!F395</f>
        <v>0.26622711770000002</v>
      </c>
      <c r="G397" s="1">
        <f>'Unformatted Trip Summary'!G395</f>
        <v>9.6704949631999995</v>
      </c>
      <c r="H397" s="1">
        <f>'Unformatted Trip Summary'!H395</f>
        <v>0.21330047860000001</v>
      </c>
    </row>
    <row r="398" spans="1:8" x14ac:dyDescent="0.25">
      <c r="A398" t="str">
        <f>'Unformatted Trip Summary'!A396</f>
        <v>05 GISBORNE</v>
      </c>
      <c r="B398" t="str">
        <f>'Unformatted Trip Summary'!J396</f>
        <v>2022/23</v>
      </c>
      <c r="C398" t="str">
        <f>'Unformatted Trip Summary'!I396</f>
        <v>Non-Household Travel</v>
      </c>
      <c r="D398">
        <f>'Unformatted Trip Summary'!D396</f>
        <v>8</v>
      </c>
      <c r="E398">
        <f>'Unformatted Trip Summary'!E396</f>
        <v>22</v>
      </c>
      <c r="F398" s="1">
        <f>'Unformatted Trip Summary'!F396</f>
        <v>0.2732988549</v>
      </c>
      <c r="G398" s="1">
        <f>'Unformatted Trip Summary'!G396</f>
        <v>9.7599453277000006</v>
      </c>
      <c r="H398" s="1">
        <f>'Unformatted Trip Summary'!H396</f>
        <v>0.21493011510000001</v>
      </c>
    </row>
    <row r="399" spans="1:8" x14ac:dyDescent="0.25">
      <c r="A399" t="str">
        <f>'Unformatted Trip Summary'!A397</f>
        <v>05 GISBORNE</v>
      </c>
      <c r="B399" t="str">
        <f>'Unformatted Trip Summary'!J397</f>
        <v>2027/28</v>
      </c>
      <c r="C399" t="str">
        <f>'Unformatted Trip Summary'!I397</f>
        <v>Non-Household Travel</v>
      </c>
      <c r="D399">
        <f>'Unformatted Trip Summary'!D397</f>
        <v>8</v>
      </c>
      <c r="E399">
        <f>'Unformatted Trip Summary'!E397</f>
        <v>22</v>
      </c>
      <c r="F399" s="1">
        <f>'Unformatted Trip Summary'!F397</f>
        <v>0.2717545804</v>
      </c>
      <c r="G399" s="1">
        <f>'Unformatted Trip Summary'!G397</f>
        <v>9.4710109810999992</v>
      </c>
      <c r="H399" s="1">
        <f>'Unformatted Trip Summary'!H397</f>
        <v>0.20919930240000001</v>
      </c>
    </row>
    <row r="400" spans="1:8" x14ac:dyDescent="0.25">
      <c r="A400" t="str">
        <f>'Unformatted Trip Summary'!A398</f>
        <v>05 GISBORNE</v>
      </c>
      <c r="B400" t="str">
        <f>'Unformatted Trip Summary'!J398</f>
        <v>2032/33</v>
      </c>
      <c r="C400" t="str">
        <f>'Unformatted Trip Summary'!I398</f>
        <v>Non-Household Travel</v>
      </c>
      <c r="D400">
        <f>'Unformatted Trip Summary'!D398</f>
        <v>8</v>
      </c>
      <c r="E400">
        <f>'Unformatted Trip Summary'!E398</f>
        <v>22</v>
      </c>
      <c r="F400" s="1">
        <f>'Unformatted Trip Summary'!F398</f>
        <v>0.26693190989999999</v>
      </c>
      <c r="G400" s="1">
        <f>'Unformatted Trip Summary'!G398</f>
        <v>8.7660218087999997</v>
      </c>
      <c r="H400" s="1">
        <f>'Unformatted Trip Summary'!H398</f>
        <v>0.1971176261</v>
      </c>
    </row>
    <row r="401" spans="1:8" x14ac:dyDescent="0.25">
      <c r="A401" t="str">
        <f>'Unformatted Trip Summary'!A399</f>
        <v>05 GISBORNE</v>
      </c>
      <c r="B401" t="str">
        <f>'Unformatted Trip Summary'!J399</f>
        <v>2037/38</v>
      </c>
      <c r="C401" t="str">
        <f>'Unformatted Trip Summary'!I399</f>
        <v>Non-Household Travel</v>
      </c>
      <c r="D401">
        <f>'Unformatted Trip Summary'!D399</f>
        <v>8</v>
      </c>
      <c r="E401">
        <f>'Unformatted Trip Summary'!E399</f>
        <v>22</v>
      </c>
      <c r="F401" s="1">
        <f>'Unformatted Trip Summary'!F399</f>
        <v>0.26429743430000002</v>
      </c>
      <c r="G401" s="1">
        <f>'Unformatted Trip Summary'!G399</f>
        <v>7.9285702487999998</v>
      </c>
      <c r="H401" s="1">
        <f>'Unformatted Trip Summary'!H399</f>
        <v>0.18419923969999999</v>
      </c>
    </row>
    <row r="402" spans="1:8" x14ac:dyDescent="0.25">
      <c r="A402" t="str">
        <f>'Unformatted Trip Summary'!A400</f>
        <v>05 GISBORNE</v>
      </c>
      <c r="B402" t="str">
        <f>'Unformatted Trip Summary'!J400</f>
        <v>2042/43</v>
      </c>
      <c r="C402" t="str">
        <f>'Unformatted Trip Summary'!I400</f>
        <v>Non-Household Travel</v>
      </c>
      <c r="D402">
        <f>'Unformatted Trip Summary'!D400</f>
        <v>8</v>
      </c>
      <c r="E402">
        <f>'Unformatted Trip Summary'!E400</f>
        <v>22</v>
      </c>
      <c r="F402" s="1">
        <f>'Unformatted Trip Summary'!F400</f>
        <v>0.26271876900000002</v>
      </c>
      <c r="G402" s="1">
        <f>'Unformatted Trip Summary'!G400</f>
        <v>7.1187143582000001</v>
      </c>
      <c r="H402" s="1">
        <f>'Unformatted Trip Summary'!H400</f>
        <v>0.17192002810000001</v>
      </c>
    </row>
    <row r="403" spans="1:8" x14ac:dyDescent="0.25">
      <c r="A403" t="str">
        <f>'Unformatted Trip Summary'!A401</f>
        <v>06 HAWKE`S BAY</v>
      </c>
      <c r="B403" t="str">
        <f>'Unformatted Trip Summary'!J401</f>
        <v>2012/13</v>
      </c>
      <c r="C403" t="str">
        <f>'Unformatted Trip Summary'!I401</f>
        <v>Pedestrian</v>
      </c>
      <c r="D403">
        <f>'Unformatted Trip Summary'!D401</f>
        <v>221</v>
      </c>
      <c r="E403">
        <f>'Unformatted Trip Summary'!E401</f>
        <v>754</v>
      </c>
      <c r="F403" s="1">
        <f>'Unformatted Trip Summary'!F401</f>
        <v>26.538300281000001</v>
      </c>
      <c r="G403" s="1">
        <f>'Unformatted Trip Summary'!G401</f>
        <v>22.691613215</v>
      </c>
      <c r="H403" s="1">
        <f>'Unformatted Trip Summary'!H401</f>
        <v>5.9462513095</v>
      </c>
    </row>
    <row r="404" spans="1:8" x14ac:dyDescent="0.25">
      <c r="A404" t="str">
        <f>'Unformatted Trip Summary'!A402</f>
        <v>06 HAWKE`S BAY</v>
      </c>
      <c r="B404" t="str">
        <f>'Unformatted Trip Summary'!J402</f>
        <v>2017/18</v>
      </c>
      <c r="C404" t="str">
        <f>'Unformatted Trip Summary'!I402</f>
        <v>Pedestrian</v>
      </c>
      <c r="D404">
        <f>'Unformatted Trip Summary'!D402</f>
        <v>221</v>
      </c>
      <c r="E404">
        <f>'Unformatted Trip Summary'!E402</f>
        <v>754</v>
      </c>
      <c r="F404" s="1">
        <f>'Unformatted Trip Summary'!F402</f>
        <v>27.429980512</v>
      </c>
      <c r="G404" s="1">
        <f>'Unformatted Trip Summary'!G402</f>
        <v>23.209966743999999</v>
      </c>
      <c r="H404" s="1">
        <f>'Unformatted Trip Summary'!H402</f>
        <v>6.1119413737999997</v>
      </c>
    </row>
    <row r="405" spans="1:8" x14ac:dyDescent="0.25">
      <c r="A405" t="str">
        <f>'Unformatted Trip Summary'!A403</f>
        <v>06 HAWKE`S BAY</v>
      </c>
      <c r="B405" t="str">
        <f>'Unformatted Trip Summary'!J403</f>
        <v>2022/23</v>
      </c>
      <c r="C405" t="str">
        <f>'Unformatted Trip Summary'!I403</f>
        <v>Pedestrian</v>
      </c>
      <c r="D405">
        <f>'Unformatted Trip Summary'!D403</f>
        <v>221</v>
      </c>
      <c r="E405">
        <f>'Unformatted Trip Summary'!E403</f>
        <v>754</v>
      </c>
      <c r="F405" s="1">
        <f>'Unformatted Trip Summary'!F403</f>
        <v>28.071989247000001</v>
      </c>
      <c r="G405" s="1">
        <f>'Unformatted Trip Summary'!G403</f>
        <v>23.501564868999999</v>
      </c>
      <c r="H405" s="1">
        <f>'Unformatted Trip Summary'!H403</f>
        <v>6.2445894601000003</v>
      </c>
    </row>
    <row r="406" spans="1:8" x14ac:dyDescent="0.25">
      <c r="A406" t="str">
        <f>'Unformatted Trip Summary'!A404</f>
        <v>06 HAWKE`S BAY</v>
      </c>
      <c r="B406" t="str">
        <f>'Unformatted Trip Summary'!J404</f>
        <v>2027/28</v>
      </c>
      <c r="C406" t="str">
        <f>'Unformatted Trip Summary'!I404</f>
        <v>Pedestrian</v>
      </c>
      <c r="D406">
        <f>'Unformatted Trip Summary'!D404</f>
        <v>221</v>
      </c>
      <c r="E406">
        <f>'Unformatted Trip Summary'!E404</f>
        <v>754</v>
      </c>
      <c r="F406" s="1">
        <f>'Unformatted Trip Summary'!F404</f>
        <v>27.980235448999998</v>
      </c>
      <c r="G406" s="1">
        <f>'Unformatted Trip Summary'!G404</f>
        <v>23.398156782000001</v>
      </c>
      <c r="H406" s="1">
        <f>'Unformatted Trip Summary'!H404</f>
        <v>6.2047494628999997</v>
      </c>
    </row>
    <row r="407" spans="1:8" x14ac:dyDescent="0.25">
      <c r="A407" t="str">
        <f>'Unformatted Trip Summary'!A405</f>
        <v>06 HAWKE`S BAY</v>
      </c>
      <c r="B407" t="str">
        <f>'Unformatted Trip Summary'!J405</f>
        <v>2032/33</v>
      </c>
      <c r="C407" t="str">
        <f>'Unformatted Trip Summary'!I405</f>
        <v>Pedestrian</v>
      </c>
      <c r="D407">
        <f>'Unformatted Trip Summary'!D405</f>
        <v>221</v>
      </c>
      <c r="E407">
        <f>'Unformatted Trip Summary'!E405</f>
        <v>754</v>
      </c>
      <c r="F407" s="1">
        <f>'Unformatted Trip Summary'!F405</f>
        <v>27.334537244</v>
      </c>
      <c r="G407" s="1">
        <f>'Unformatted Trip Summary'!G405</f>
        <v>23.030792724000001</v>
      </c>
      <c r="H407" s="1">
        <f>'Unformatted Trip Summary'!H405</f>
        <v>6.0804056130999999</v>
      </c>
    </row>
    <row r="408" spans="1:8" x14ac:dyDescent="0.25">
      <c r="A408" t="str">
        <f>'Unformatted Trip Summary'!A406</f>
        <v>06 HAWKE`S BAY</v>
      </c>
      <c r="B408" t="str">
        <f>'Unformatted Trip Summary'!J406</f>
        <v>2037/38</v>
      </c>
      <c r="C408" t="str">
        <f>'Unformatted Trip Summary'!I406</f>
        <v>Pedestrian</v>
      </c>
      <c r="D408">
        <f>'Unformatted Trip Summary'!D406</f>
        <v>221</v>
      </c>
      <c r="E408">
        <f>'Unformatted Trip Summary'!E406</f>
        <v>754</v>
      </c>
      <c r="F408" s="1">
        <f>'Unformatted Trip Summary'!F406</f>
        <v>26.635841856999999</v>
      </c>
      <c r="G408" s="1">
        <f>'Unformatted Trip Summary'!G406</f>
        <v>22.777687182000001</v>
      </c>
      <c r="H408" s="1">
        <f>'Unformatted Trip Summary'!H406</f>
        <v>5.9708379517000001</v>
      </c>
    </row>
    <row r="409" spans="1:8" x14ac:dyDescent="0.25">
      <c r="A409" t="str">
        <f>'Unformatted Trip Summary'!A407</f>
        <v>06 HAWKE`S BAY</v>
      </c>
      <c r="B409" t="str">
        <f>'Unformatted Trip Summary'!J407</f>
        <v>2042/43</v>
      </c>
      <c r="C409" t="str">
        <f>'Unformatted Trip Summary'!I407</f>
        <v>Pedestrian</v>
      </c>
      <c r="D409">
        <f>'Unformatted Trip Summary'!D407</f>
        <v>221</v>
      </c>
      <c r="E409">
        <f>'Unformatted Trip Summary'!E407</f>
        <v>754</v>
      </c>
      <c r="F409" s="1">
        <f>'Unformatted Trip Summary'!F407</f>
        <v>25.825355327</v>
      </c>
      <c r="G409" s="1">
        <f>'Unformatted Trip Summary'!G407</f>
        <v>22.439128792999998</v>
      </c>
      <c r="H409" s="1">
        <f>'Unformatted Trip Summary'!H407</f>
        <v>5.8416430276</v>
      </c>
    </row>
    <row r="410" spans="1:8" x14ac:dyDescent="0.25">
      <c r="A410" t="str">
        <f>'Unformatted Trip Summary'!A408</f>
        <v>06 HAWKE`S BAY</v>
      </c>
      <c r="B410" t="str">
        <f>'Unformatted Trip Summary'!J408</f>
        <v>2012/13</v>
      </c>
      <c r="C410" t="str">
        <f>'Unformatted Trip Summary'!I408</f>
        <v>Cyclist</v>
      </c>
      <c r="D410">
        <f>'Unformatted Trip Summary'!D408</f>
        <v>30</v>
      </c>
      <c r="E410">
        <f>'Unformatted Trip Summary'!E408</f>
        <v>93</v>
      </c>
      <c r="F410" s="1">
        <f>'Unformatted Trip Summary'!F408</f>
        <v>3.1819840940000002</v>
      </c>
      <c r="G410" s="1">
        <f>'Unformatted Trip Summary'!G408</f>
        <v>9.5482363540000001</v>
      </c>
      <c r="H410" s="1">
        <f>'Unformatted Trip Summary'!H408</f>
        <v>0.88401106659999995</v>
      </c>
    </row>
    <row r="411" spans="1:8" x14ac:dyDescent="0.25">
      <c r="A411" t="str">
        <f>'Unformatted Trip Summary'!A409</f>
        <v>06 HAWKE`S BAY</v>
      </c>
      <c r="B411" t="str">
        <f>'Unformatted Trip Summary'!J409</f>
        <v>2017/18</v>
      </c>
      <c r="C411" t="str">
        <f>'Unformatted Trip Summary'!I409</f>
        <v>Cyclist</v>
      </c>
      <c r="D411">
        <f>'Unformatted Trip Summary'!D409</f>
        <v>30</v>
      </c>
      <c r="E411">
        <f>'Unformatted Trip Summary'!E409</f>
        <v>93</v>
      </c>
      <c r="F411" s="1">
        <f>'Unformatted Trip Summary'!F409</f>
        <v>3.2473192461</v>
      </c>
      <c r="G411" s="1">
        <f>'Unformatted Trip Summary'!G409</f>
        <v>10.032392258</v>
      </c>
      <c r="H411" s="1">
        <f>'Unformatted Trip Summary'!H409</f>
        <v>0.92707566509999995</v>
      </c>
    </row>
    <row r="412" spans="1:8" x14ac:dyDescent="0.25">
      <c r="A412" t="str">
        <f>'Unformatted Trip Summary'!A410</f>
        <v>06 HAWKE`S BAY</v>
      </c>
      <c r="B412" t="str">
        <f>'Unformatted Trip Summary'!J410</f>
        <v>2022/23</v>
      </c>
      <c r="C412" t="str">
        <f>'Unformatted Trip Summary'!I410</f>
        <v>Cyclist</v>
      </c>
      <c r="D412">
        <f>'Unformatted Trip Summary'!D410</f>
        <v>30</v>
      </c>
      <c r="E412">
        <f>'Unformatted Trip Summary'!E410</f>
        <v>93</v>
      </c>
      <c r="F412" s="1">
        <f>'Unformatted Trip Summary'!F410</f>
        <v>3.3254693085999998</v>
      </c>
      <c r="G412" s="1">
        <f>'Unformatted Trip Summary'!G410</f>
        <v>10.255764629</v>
      </c>
      <c r="H412" s="1">
        <f>'Unformatted Trip Summary'!H410</f>
        <v>0.94165506160000001</v>
      </c>
    </row>
    <row r="413" spans="1:8" x14ac:dyDescent="0.25">
      <c r="A413" t="str">
        <f>'Unformatted Trip Summary'!A411</f>
        <v>06 HAWKE`S BAY</v>
      </c>
      <c r="B413" t="str">
        <f>'Unformatted Trip Summary'!J411</f>
        <v>2027/28</v>
      </c>
      <c r="C413" t="str">
        <f>'Unformatted Trip Summary'!I411</f>
        <v>Cyclist</v>
      </c>
      <c r="D413">
        <f>'Unformatted Trip Summary'!D411</f>
        <v>30</v>
      </c>
      <c r="E413">
        <f>'Unformatted Trip Summary'!E411</f>
        <v>93</v>
      </c>
      <c r="F413" s="1">
        <f>'Unformatted Trip Summary'!F411</f>
        <v>3.3831654313000001</v>
      </c>
      <c r="G413" s="1">
        <f>'Unformatted Trip Summary'!G411</f>
        <v>10.548974404999999</v>
      </c>
      <c r="H413" s="1">
        <f>'Unformatted Trip Summary'!H411</f>
        <v>0.96561803390000001</v>
      </c>
    </row>
    <row r="414" spans="1:8" x14ac:dyDescent="0.25">
      <c r="A414" t="str">
        <f>'Unformatted Trip Summary'!A412</f>
        <v>06 HAWKE`S BAY</v>
      </c>
      <c r="B414" t="str">
        <f>'Unformatted Trip Summary'!J412</f>
        <v>2032/33</v>
      </c>
      <c r="C414" t="str">
        <f>'Unformatted Trip Summary'!I412</f>
        <v>Cyclist</v>
      </c>
      <c r="D414">
        <f>'Unformatted Trip Summary'!D412</f>
        <v>30</v>
      </c>
      <c r="E414">
        <f>'Unformatted Trip Summary'!E412</f>
        <v>93</v>
      </c>
      <c r="F414" s="1">
        <f>'Unformatted Trip Summary'!F412</f>
        <v>3.3399816380999998</v>
      </c>
      <c r="G414" s="1">
        <f>'Unformatted Trip Summary'!G412</f>
        <v>10.788477503999999</v>
      </c>
      <c r="H414" s="1">
        <f>'Unformatted Trip Summary'!H412</f>
        <v>0.97766807990000004</v>
      </c>
    </row>
    <row r="415" spans="1:8" x14ac:dyDescent="0.25">
      <c r="A415" t="str">
        <f>'Unformatted Trip Summary'!A413</f>
        <v>06 HAWKE`S BAY</v>
      </c>
      <c r="B415" t="str">
        <f>'Unformatted Trip Summary'!J413</f>
        <v>2037/38</v>
      </c>
      <c r="C415" t="str">
        <f>'Unformatted Trip Summary'!I413</f>
        <v>Cyclist</v>
      </c>
      <c r="D415">
        <f>'Unformatted Trip Summary'!D413</f>
        <v>30</v>
      </c>
      <c r="E415">
        <f>'Unformatted Trip Summary'!E413</f>
        <v>93</v>
      </c>
      <c r="F415" s="1">
        <f>'Unformatted Trip Summary'!F413</f>
        <v>3.2985489507999999</v>
      </c>
      <c r="G415" s="1">
        <f>'Unformatted Trip Summary'!G413</f>
        <v>10.727869518</v>
      </c>
      <c r="H415" s="1">
        <f>'Unformatted Trip Summary'!H413</f>
        <v>0.97173983789999996</v>
      </c>
    </row>
    <row r="416" spans="1:8" x14ac:dyDescent="0.25">
      <c r="A416" t="str">
        <f>'Unformatted Trip Summary'!A414</f>
        <v>06 HAWKE`S BAY</v>
      </c>
      <c r="B416" t="str">
        <f>'Unformatted Trip Summary'!J414</f>
        <v>2042/43</v>
      </c>
      <c r="C416" t="str">
        <f>'Unformatted Trip Summary'!I414</f>
        <v>Cyclist</v>
      </c>
      <c r="D416">
        <f>'Unformatted Trip Summary'!D414</f>
        <v>30</v>
      </c>
      <c r="E416">
        <f>'Unformatted Trip Summary'!E414</f>
        <v>93</v>
      </c>
      <c r="F416" s="1">
        <f>'Unformatted Trip Summary'!F414</f>
        <v>3.2376379794000001</v>
      </c>
      <c r="G416" s="1">
        <f>'Unformatted Trip Summary'!G414</f>
        <v>10.601259002999999</v>
      </c>
      <c r="H416" s="1">
        <f>'Unformatted Trip Summary'!H414</f>
        <v>0.96098666119999998</v>
      </c>
    </row>
    <row r="417" spans="1:8" x14ac:dyDescent="0.25">
      <c r="A417" t="str">
        <f>'Unformatted Trip Summary'!A415</f>
        <v>06 HAWKE`S BAY</v>
      </c>
      <c r="B417" t="str">
        <f>'Unformatted Trip Summary'!J415</f>
        <v>2012/13</v>
      </c>
      <c r="C417" t="str">
        <f>'Unformatted Trip Summary'!I415</f>
        <v>Light Vehicle Driver</v>
      </c>
      <c r="D417">
        <f>'Unformatted Trip Summary'!D415</f>
        <v>446</v>
      </c>
      <c r="E417">
        <f>'Unformatted Trip Summary'!E415</f>
        <v>3171</v>
      </c>
      <c r="F417" s="1">
        <f>'Unformatted Trip Summary'!F415</f>
        <v>111.16933473</v>
      </c>
      <c r="G417" s="1">
        <f>'Unformatted Trip Summary'!G415</f>
        <v>1001.7566771</v>
      </c>
      <c r="H417" s="1">
        <f>'Unformatted Trip Summary'!H415</f>
        <v>25.377986313000001</v>
      </c>
    </row>
    <row r="418" spans="1:8" x14ac:dyDescent="0.25">
      <c r="A418" t="str">
        <f>'Unformatted Trip Summary'!A416</f>
        <v>06 HAWKE`S BAY</v>
      </c>
      <c r="B418" t="str">
        <f>'Unformatted Trip Summary'!J416</f>
        <v>2017/18</v>
      </c>
      <c r="C418" t="str">
        <f>'Unformatted Trip Summary'!I416</f>
        <v>Light Vehicle Driver</v>
      </c>
      <c r="D418">
        <f>'Unformatted Trip Summary'!D416</f>
        <v>446</v>
      </c>
      <c r="E418">
        <f>'Unformatted Trip Summary'!E416</f>
        <v>3171</v>
      </c>
      <c r="F418" s="1">
        <f>'Unformatted Trip Summary'!F416</f>
        <v>117.27201801</v>
      </c>
      <c r="G418" s="1">
        <f>'Unformatted Trip Summary'!G416</f>
        <v>1062.3768493</v>
      </c>
      <c r="H418" s="1">
        <f>'Unformatted Trip Summary'!H416</f>
        <v>26.851582032</v>
      </c>
    </row>
    <row r="419" spans="1:8" x14ac:dyDescent="0.25">
      <c r="A419" t="str">
        <f>'Unformatted Trip Summary'!A417</f>
        <v>06 HAWKE`S BAY</v>
      </c>
      <c r="B419" t="str">
        <f>'Unformatted Trip Summary'!J417</f>
        <v>2022/23</v>
      </c>
      <c r="C419" t="str">
        <f>'Unformatted Trip Summary'!I417</f>
        <v>Light Vehicle Driver</v>
      </c>
      <c r="D419">
        <f>'Unformatted Trip Summary'!D417</f>
        <v>446</v>
      </c>
      <c r="E419">
        <f>'Unformatted Trip Summary'!E417</f>
        <v>3171</v>
      </c>
      <c r="F419" s="1">
        <f>'Unformatted Trip Summary'!F417</f>
        <v>121.13650556</v>
      </c>
      <c r="G419" s="1">
        <f>'Unformatted Trip Summary'!G417</f>
        <v>1094.0680745</v>
      </c>
      <c r="H419" s="1">
        <f>'Unformatted Trip Summary'!H417</f>
        <v>27.730618091</v>
      </c>
    </row>
    <row r="420" spans="1:8" x14ac:dyDescent="0.25">
      <c r="A420" t="str">
        <f>'Unformatted Trip Summary'!A418</f>
        <v>06 HAWKE`S BAY</v>
      </c>
      <c r="B420" t="str">
        <f>'Unformatted Trip Summary'!J418</f>
        <v>2027/28</v>
      </c>
      <c r="C420" t="str">
        <f>'Unformatted Trip Summary'!I418</f>
        <v>Light Vehicle Driver</v>
      </c>
      <c r="D420">
        <f>'Unformatted Trip Summary'!D418</f>
        <v>446</v>
      </c>
      <c r="E420">
        <f>'Unformatted Trip Summary'!E418</f>
        <v>3171</v>
      </c>
      <c r="F420" s="1">
        <f>'Unformatted Trip Summary'!F418</f>
        <v>125.2359852</v>
      </c>
      <c r="G420" s="1">
        <f>'Unformatted Trip Summary'!G418</f>
        <v>1132.1334380999999</v>
      </c>
      <c r="H420" s="1">
        <f>'Unformatted Trip Summary'!H418</f>
        <v>28.761619458999998</v>
      </c>
    </row>
    <row r="421" spans="1:8" x14ac:dyDescent="0.25">
      <c r="A421" t="str">
        <f>'Unformatted Trip Summary'!A419</f>
        <v>06 HAWKE`S BAY</v>
      </c>
      <c r="B421" t="str">
        <f>'Unformatted Trip Summary'!J419</f>
        <v>2032/33</v>
      </c>
      <c r="C421" t="str">
        <f>'Unformatted Trip Summary'!I419</f>
        <v>Light Vehicle Driver</v>
      </c>
      <c r="D421">
        <f>'Unformatted Trip Summary'!D419</f>
        <v>446</v>
      </c>
      <c r="E421">
        <f>'Unformatted Trip Summary'!E419</f>
        <v>3171</v>
      </c>
      <c r="F421" s="1">
        <f>'Unformatted Trip Summary'!F419</f>
        <v>128.04335444</v>
      </c>
      <c r="G421" s="1">
        <f>'Unformatted Trip Summary'!G419</f>
        <v>1158.6771392999999</v>
      </c>
      <c r="H421" s="1">
        <f>'Unformatted Trip Summary'!H419</f>
        <v>29.491402811</v>
      </c>
    </row>
    <row r="422" spans="1:8" x14ac:dyDescent="0.25">
      <c r="A422" t="str">
        <f>'Unformatted Trip Summary'!A420</f>
        <v>06 HAWKE`S BAY</v>
      </c>
      <c r="B422" t="str">
        <f>'Unformatted Trip Summary'!J420</f>
        <v>2037/38</v>
      </c>
      <c r="C422" t="str">
        <f>'Unformatted Trip Summary'!I420</f>
        <v>Light Vehicle Driver</v>
      </c>
      <c r="D422">
        <f>'Unformatted Trip Summary'!D420</f>
        <v>446</v>
      </c>
      <c r="E422">
        <f>'Unformatted Trip Summary'!E420</f>
        <v>3171</v>
      </c>
      <c r="F422" s="1">
        <f>'Unformatted Trip Summary'!F420</f>
        <v>128.84921331999999</v>
      </c>
      <c r="G422" s="1">
        <f>'Unformatted Trip Summary'!G420</f>
        <v>1165.5586172999999</v>
      </c>
      <c r="H422" s="1">
        <f>'Unformatted Trip Summary'!H420</f>
        <v>29.735569444999999</v>
      </c>
    </row>
    <row r="423" spans="1:8" x14ac:dyDescent="0.25">
      <c r="A423" t="str">
        <f>'Unformatted Trip Summary'!A421</f>
        <v>06 HAWKE`S BAY</v>
      </c>
      <c r="B423" t="str">
        <f>'Unformatted Trip Summary'!J421</f>
        <v>2042/43</v>
      </c>
      <c r="C423" t="str">
        <f>'Unformatted Trip Summary'!I421</f>
        <v>Light Vehicle Driver</v>
      </c>
      <c r="D423">
        <f>'Unformatted Trip Summary'!D421</f>
        <v>446</v>
      </c>
      <c r="E423">
        <f>'Unformatted Trip Summary'!E421</f>
        <v>3171</v>
      </c>
      <c r="F423" s="1">
        <f>'Unformatted Trip Summary'!F421</f>
        <v>129.13646527</v>
      </c>
      <c r="G423" s="1">
        <f>'Unformatted Trip Summary'!G421</f>
        <v>1167.2849154999999</v>
      </c>
      <c r="H423" s="1">
        <f>'Unformatted Trip Summary'!H421</f>
        <v>29.848199676</v>
      </c>
    </row>
    <row r="424" spans="1:8" x14ac:dyDescent="0.25">
      <c r="A424" t="str">
        <f>'Unformatted Trip Summary'!A422</f>
        <v>06 HAWKE`S BAY</v>
      </c>
      <c r="B424" t="str">
        <f>'Unformatted Trip Summary'!J422</f>
        <v>2012/13</v>
      </c>
      <c r="C424" t="str">
        <f>'Unformatted Trip Summary'!I422</f>
        <v>Light Vehicle Passenger</v>
      </c>
      <c r="D424">
        <f>'Unformatted Trip Summary'!D422</f>
        <v>300</v>
      </c>
      <c r="E424">
        <f>'Unformatted Trip Summary'!E422</f>
        <v>1579</v>
      </c>
      <c r="F424" s="1">
        <f>'Unformatted Trip Summary'!F422</f>
        <v>58.497679761999997</v>
      </c>
      <c r="G424" s="1">
        <f>'Unformatted Trip Summary'!G422</f>
        <v>607.82570181000006</v>
      </c>
      <c r="H424" s="1">
        <f>'Unformatted Trip Summary'!H422</f>
        <v>15.230731736999999</v>
      </c>
    </row>
    <row r="425" spans="1:8" x14ac:dyDescent="0.25">
      <c r="A425" t="str">
        <f>'Unformatted Trip Summary'!A423</f>
        <v>06 HAWKE`S BAY</v>
      </c>
      <c r="B425" t="str">
        <f>'Unformatted Trip Summary'!J423</f>
        <v>2017/18</v>
      </c>
      <c r="C425" t="str">
        <f>'Unformatted Trip Summary'!I423</f>
        <v>Light Vehicle Passenger</v>
      </c>
      <c r="D425">
        <f>'Unformatted Trip Summary'!D423</f>
        <v>300</v>
      </c>
      <c r="E425">
        <f>'Unformatted Trip Summary'!E423</f>
        <v>1579</v>
      </c>
      <c r="F425" s="1">
        <f>'Unformatted Trip Summary'!F423</f>
        <v>58.935029659000001</v>
      </c>
      <c r="G425" s="1">
        <f>'Unformatted Trip Summary'!G423</f>
        <v>628.16745817000003</v>
      </c>
      <c r="H425" s="1">
        <f>'Unformatted Trip Summary'!H423</f>
        <v>15.608337468</v>
      </c>
    </row>
    <row r="426" spans="1:8" x14ac:dyDescent="0.25">
      <c r="A426" t="str">
        <f>'Unformatted Trip Summary'!A424</f>
        <v>06 HAWKE`S BAY</v>
      </c>
      <c r="B426" t="str">
        <f>'Unformatted Trip Summary'!J424</f>
        <v>2022/23</v>
      </c>
      <c r="C426" t="str">
        <f>'Unformatted Trip Summary'!I424</f>
        <v>Light Vehicle Passenger</v>
      </c>
      <c r="D426">
        <f>'Unformatted Trip Summary'!D424</f>
        <v>300</v>
      </c>
      <c r="E426">
        <f>'Unformatted Trip Summary'!E424</f>
        <v>1579</v>
      </c>
      <c r="F426" s="1">
        <f>'Unformatted Trip Summary'!F424</f>
        <v>58.666913270000002</v>
      </c>
      <c r="G426" s="1">
        <f>'Unformatted Trip Summary'!G424</f>
        <v>638.14087371000005</v>
      </c>
      <c r="H426" s="1">
        <f>'Unformatted Trip Summary'!H424</f>
        <v>15.773724852999999</v>
      </c>
    </row>
    <row r="427" spans="1:8" x14ac:dyDescent="0.25">
      <c r="A427" t="str">
        <f>'Unformatted Trip Summary'!A425</f>
        <v>06 HAWKE`S BAY</v>
      </c>
      <c r="B427" t="str">
        <f>'Unformatted Trip Summary'!J425</f>
        <v>2027/28</v>
      </c>
      <c r="C427" t="str">
        <f>'Unformatted Trip Summary'!I425</f>
        <v>Light Vehicle Passenger</v>
      </c>
      <c r="D427">
        <f>'Unformatted Trip Summary'!D425</f>
        <v>300</v>
      </c>
      <c r="E427">
        <f>'Unformatted Trip Summary'!E425</f>
        <v>1579</v>
      </c>
      <c r="F427" s="1">
        <f>'Unformatted Trip Summary'!F425</f>
        <v>58.768283236000002</v>
      </c>
      <c r="G427" s="1">
        <f>'Unformatted Trip Summary'!G425</f>
        <v>641.93849739999996</v>
      </c>
      <c r="H427" s="1">
        <f>'Unformatted Trip Summary'!H425</f>
        <v>15.905760315</v>
      </c>
    </row>
    <row r="428" spans="1:8" x14ac:dyDescent="0.25">
      <c r="A428" t="str">
        <f>'Unformatted Trip Summary'!A426</f>
        <v>06 HAWKE`S BAY</v>
      </c>
      <c r="B428" t="str">
        <f>'Unformatted Trip Summary'!J426</f>
        <v>2032/33</v>
      </c>
      <c r="C428" t="str">
        <f>'Unformatted Trip Summary'!I426</f>
        <v>Light Vehicle Passenger</v>
      </c>
      <c r="D428">
        <f>'Unformatted Trip Summary'!D426</f>
        <v>300</v>
      </c>
      <c r="E428">
        <f>'Unformatted Trip Summary'!E426</f>
        <v>1579</v>
      </c>
      <c r="F428" s="1">
        <f>'Unformatted Trip Summary'!F426</f>
        <v>58.019072258000001</v>
      </c>
      <c r="G428" s="1">
        <f>'Unformatted Trip Summary'!G426</f>
        <v>632.96035600000005</v>
      </c>
      <c r="H428" s="1">
        <f>'Unformatted Trip Summary'!H426</f>
        <v>15.722057272000001</v>
      </c>
    </row>
    <row r="429" spans="1:8" x14ac:dyDescent="0.25">
      <c r="A429" t="str">
        <f>'Unformatted Trip Summary'!A427</f>
        <v>06 HAWKE`S BAY</v>
      </c>
      <c r="B429" t="str">
        <f>'Unformatted Trip Summary'!J427</f>
        <v>2037/38</v>
      </c>
      <c r="C429" t="str">
        <f>'Unformatted Trip Summary'!I427</f>
        <v>Light Vehicle Passenger</v>
      </c>
      <c r="D429">
        <f>'Unformatted Trip Summary'!D427</f>
        <v>300</v>
      </c>
      <c r="E429">
        <f>'Unformatted Trip Summary'!E427</f>
        <v>1579</v>
      </c>
      <c r="F429" s="1">
        <f>'Unformatted Trip Summary'!F427</f>
        <v>57.399440222999999</v>
      </c>
      <c r="G429" s="1">
        <f>'Unformatted Trip Summary'!G427</f>
        <v>619.34126666999998</v>
      </c>
      <c r="H429" s="1">
        <f>'Unformatted Trip Summary'!H427</f>
        <v>15.422286015999999</v>
      </c>
    </row>
    <row r="430" spans="1:8" x14ac:dyDescent="0.25">
      <c r="A430" t="str">
        <f>'Unformatted Trip Summary'!A428</f>
        <v>06 HAWKE`S BAY</v>
      </c>
      <c r="B430" t="str">
        <f>'Unformatted Trip Summary'!J428</f>
        <v>2042/43</v>
      </c>
      <c r="C430" t="str">
        <f>'Unformatted Trip Summary'!I428</f>
        <v>Light Vehicle Passenger</v>
      </c>
      <c r="D430">
        <f>'Unformatted Trip Summary'!D428</f>
        <v>300</v>
      </c>
      <c r="E430">
        <f>'Unformatted Trip Summary'!E428</f>
        <v>1579</v>
      </c>
      <c r="F430" s="1">
        <f>'Unformatted Trip Summary'!F428</f>
        <v>56.550302309999999</v>
      </c>
      <c r="G430" s="1">
        <f>'Unformatted Trip Summary'!G428</f>
        <v>603.14902110000003</v>
      </c>
      <c r="H430" s="1">
        <f>'Unformatted Trip Summary'!H428</f>
        <v>15.060494965</v>
      </c>
    </row>
    <row r="431" spans="1:8" x14ac:dyDescent="0.25">
      <c r="A431" t="str">
        <f>'Unformatted Trip Summary'!A429</f>
        <v>06 HAWKE`S BAY</v>
      </c>
      <c r="B431" t="str">
        <f>'Unformatted Trip Summary'!J429</f>
        <v>2012/13</v>
      </c>
      <c r="C431" t="str">
        <f>'Unformatted Trip Summary'!I429</f>
        <v>Taxi/Vehicle Share</v>
      </c>
      <c r="D431">
        <f>'Unformatted Trip Summary'!D429</f>
        <v>4</v>
      </c>
      <c r="E431">
        <f>'Unformatted Trip Summary'!E429</f>
        <v>8</v>
      </c>
      <c r="F431" s="1">
        <f>'Unformatted Trip Summary'!F429</f>
        <v>0.32519619989999998</v>
      </c>
      <c r="G431" s="1">
        <f>'Unformatted Trip Summary'!G429</f>
        <v>1.7589425135000001</v>
      </c>
      <c r="H431" s="1">
        <f>'Unformatted Trip Summary'!H429</f>
        <v>4.5837477299999999E-2</v>
      </c>
    </row>
    <row r="432" spans="1:8" x14ac:dyDescent="0.25">
      <c r="A432" t="str">
        <f>'Unformatted Trip Summary'!A430</f>
        <v>06 HAWKE`S BAY</v>
      </c>
      <c r="B432" t="str">
        <f>'Unformatted Trip Summary'!J430</f>
        <v>2017/18</v>
      </c>
      <c r="C432" t="str">
        <f>'Unformatted Trip Summary'!I430</f>
        <v>Taxi/Vehicle Share</v>
      </c>
      <c r="D432">
        <f>'Unformatted Trip Summary'!D430</f>
        <v>4</v>
      </c>
      <c r="E432">
        <f>'Unformatted Trip Summary'!E430</f>
        <v>8</v>
      </c>
      <c r="F432" s="1">
        <f>'Unformatted Trip Summary'!F430</f>
        <v>0.33069106520000002</v>
      </c>
      <c r="G432" s="1">
        <f>'Unformatted Trip Summary'!G430</f>
        <v>1.7036296033</v>
      </c>
      <c r="H432" s="1">
        <f>'Unformatted Trip Summary'!H430</f>
        <v>4.7156156499999997E-2</v>
      </c>
    </row>
    <row r="433" spans="1:8" x14ac:dyDescent="0.25">
      <c r="A433" t="str">
        <f>'Unformatted Trip Summary'!A431</f>
        <v>06 HAWKE`S BAY</v>
      </c>
      <c r="B433" t="str">
        <f>'Unformatted Trip Summary'!J431</f>
        <v>2022/23</v>
      </c>
      <c r="C433" t="str">
        <f>'Unformatted Trip Summary'!I431</f>
        <v>Taxi/Vehicle Share</v>
      </c>
      <c r="D433">
        <f>'Unformatted Trip Summary'!D431</f>
        <v>4</v>
      </c>
      <c r="E433">
        <f>'Unformatted Trip Summary'!E431</f>
        <v>8</v>
      </c>
      <c r="F433" s="1">
        <f>'Unformatted Trip Summary'!F431</f>
        <v>0.34134944420000002</v>
      </c>
      <c r="G433" s="1">
        <f>'Unformatted Trip Summary'!G431</f>
        <v>1.6722897465</v>
      </c>
      <c r="H433" s="1">
        <f>'Unformatted Trip Summary'!H431</f>
        <v>4.8922941800000001E-2</v>
      </c>
    </row>
    <row r="434" spans="1:8" x14ac:dyDescent="0.25">
      <c r="A434" t="str">
        <f>'Unformatted Trip Summary'!A432</f>
        <v>06 HAWKE`S BAY</v>
      </c>
      <c r="B434" t="str">
        <f>'Unformatted Trip Summary'!J432</f>
        <v>2027/28</v>
      </c>
      <c r="C434" t="str">
        <f>'Unformatted Trip Summary'!I432</f>
        <v>Taxi/Vehicle Share</v>
      </c>
      <c r="D434">
        <f>'Unformatted Trip Summary'!D432</f>
        <v>4</v>
      </c>
      <c r="E434">
        <f>'Unformatted Trip Summary'!E432</f>
        <v>8</v>
      </c>
      <c r="F434" s="1">
        <f>'Unformatted Trip Summary'!F432</f>
        <v>0.35353218650000001</v>
      </c>
      <c r="G434" s="1">
        <f>'Unformatted Trip Summary'!G432</f>
        <v>1.6688544890999999</v>
      </c>
      <c r="H434" s="1">
        <f>'Unformatted Trip Summary'!H432</f>
        <v>5.1050616700000002E-2</v>
      </c>
    </row>
    <row r="435" spans="1:8" x14ac:dyDescent="0.25">
      <c r="A435" t="str">
        <f>'Unformatted Trip Summary'!A433</f>
        <v>06 HAWKE`S BAY</v>
      </c>
      <c r="B435" t="str">
        <f>'Unformatted Trip Summary'!J433</f>
        <v>2032/33</v>
      </c>
      <c r="C435" t="str">
        <f>'Unformatted Trip Summary'!I433</f>
        <v>Taxi/Vehicle Share</v>
      </c>
      <c r="D435">
        <f>'Unformatted Trip Summary'!D433</f>
        <v>4</v>
      </c>
      <c r="E435">
        <f>'Unformatted Trip Summary'!E433</f>
        <v>8</v>
      </c>
      <c r="F435" s="1">
        <f>'Unformatted Trip Summary'!F433</f>
        <v>0.36695981970000002</v>
      </c>
      <c r="G435" s="1">
        <f>'Unformatted Trip Summary'!G433</f>
        <v>1.6783231248999999</v>
      </c>
      <c r="H435" s="1">
        <f>'Unformatted Trip Summary'!H433</f>
        <v>5.4036852599999997E-2</v>
      </c>
    </row>
    <row r="436" spans="1:8" x14ac:dyDescent="0.25">
      <c r="A436" t="str">
        <f>'Unformatted Trip Summary'!A434</f>
        <v>06 HAWKE`S BAY</v>
      </c>
      <c r="B436" t="str">
        <f>'Unformatted Trip Summary'!J434</f>
        <v>2037/38</v>
      </c>
      <c r="C436" t="str">
        <f>'Unformatted Trip Summary'!I434</f>
        <v>Taxi/Vehicle Share</v>
      </c>
      <c r="D436">
        <f>'Unformatted Trip Summary'!D434</f>
        <v>4</v>
      </c>
      <c r="E436">
        <f>'Unformatted Trip Summary'!E434</f>
        <v>8</v>
      </c>
      <c r="F436" s="1">
        <f>'Unformatted Trip Summary'!F434</f>
        <v>0.35718872400000001</v>
      </c>
      <c r="G436" s="1">
        <f>'Unformatted Trip Summary'!G434</f>
        <v>1.6131464772999999</v>
      </c>
      <c r="H436" s="1">
        <f>'Unformatted Trip Summary'!H434</f>
        <v>5.37000984E-2</v>
      </c>
    </row>
    <row r="437" spans="1:8" x14ac:dyDescent="0.25">
      <c r="A437" t="str">
        <f>'Unformatted Trip Summary'!A435</f>
        <v>06 HAWKE`S BAY</v>
      </c>
      <c r="B437" t="str">
        <f>'Unformatted Trip Summary'!J435</f>
        <v>2042/43</v>
      </c>
      <c r="C437" t="str">
        <f>'Unformatted Trip Summary'!I435</f>
        <v>Taxi/Vehicle Share</v>
      </c>
      <c r="D437">
        <f>'Unformatted Trip Summary'!D435</f>
        <v>4</v>
      </c>
      <c r="E437">
        <f>'Unformatted Trip Summary'!E435</f>
        <v>8</v>
      </c>
      <c r="F437" s="1">
        <f>'Unformatted Trip Summary'!F435</f>
        <v>0.33915382760000001</v>
      </c>
      <c r="G437" s="1">
        <f>'Unformatted Trip Summary'!G435</f>
        <v>1.5285787811</v>
      </c>
      <c r="H437" s="1">
        <f>'Unformatted Trip Summary'!H435</f>
        <v>5.1700970899999997E-2</v>
      </c>
    </row>
    <row r="438" spans="1:8" x14ac:dyDescent="0.25">
      <c r="A438" t="str">
        <f>'Unformatted Trip Summary'!A436</f>
        <v>06 HAWKE`S BAY</v>
      </c>
      <c r="B438" t="str">
        <f>'Unformatted Trip Summary'!J436</f>
        <v>2012/13</v>
      </c>
      <c r="C438" t="str">
        <f>'Unformatted Trip Summary'!I436</f>
        <v>Motorcyclist</v>
      </c>
      <c r="D438">
        <f>'Unformatted Trip Summary'!D436</f>
        <v>6</v>
      </c>
      <c r="E438">
        <f>'Unformatted Trip Summary'!E436</f>
        <v>19</v>
      </c>
      <c r="F438" s="1">
        <f>'Unformatted Trip Summary'!F436</f>
        <v>0.65061969099999994</v>
      </c>
      <c r="G438" s="1">
        <f>'Unformatted Trip Summary'!G436</f>
        <v>3.0321841239</v>
      </c>
      <c r="H438" s="1">
        <f>'Unformatted Trip Summary'!H436</f>
        <v>0.11763194120000001</v>
      </c>
    </row>
    <row r="439" spans="1:8" x14ac:dyDescent="0.25">
      <c r="A439" t="str">
        <f>'Unformatted Trip Summary'!A437</f>
        <v>06 HAWKE`S BAY</v>
      </c>
      <c r="B439" t="str">
        <f>'Unformatted Trip Summary'!J437</f>
        <v>2017/18</v>
      </c>
      <c r="C439" t="str">
        <f>'Unformatted Trip Summary'!I437</f>
        <v>Motorcyclist</v>
      </c>
      <c r="D439">
        <f>'Unformatted Trip Summary'!D437</f>
        <v>6</v>
      </c>
      <c r="E439">
        <f>'Unformatted Trip Summary'!E437</f>
        <v>19</v>
      </c>
      <c r="F439" s="1">
        <f>'Unformatted Trip Summary'!F437</f>
        <v>0.61577450040000004</v>
      </c>
      <c r="G439" s="1">
        <f>'Unformatted Trip Summary'!G437</f>
        <v>3.1470884633999998</v>
      </c>
      <c r="H439" s="1">
        <f>'Unformatted Trip Summary'!H437</f>
        <v>0.1125540652</v>
      </c>
    </row>
    <row r="440" spans="1:8" x14ac:dyDescent="0.25">
      <c r="A440" t="str">
        <f>'Unformatted Trip Summary'!A438</f>
        <v>06 HAWKE`S BAY</v>
      </c>
      <c r="B440" t="str">
        <f>'Unformatted Trip Summary'!J438</f>
        <v>2022/23</v>
      </c>
      <c r="C440" t="str">
        <f>'Unformatted Trip Summary'!I438</f>
        <v>Motorcyclist</v>
      </c>
      <c r="D440">
        <f>'Unformatted Trip Summary'!D438</f>
        <v>6</v>
      </c>
      <c r="E440">
        <f>'Unformatted Trip Summary'!E438</f>
        <v>19</v>
      </c>
      <c r="F440" s="1">
        <f>'Unformatted Trip Summary'!F438</f>
        <v>0.577221863</v>
      </c>
      <c r="G440" s="1">
        <f>'Unformatted Trip Summary'!G438</f>
        <v>3.1888436533000002</v>
      </c>
      <c r="H440" s="1">
        <f>'Unformatted Trip Summary'!H438</f>
        <v>0.1078638739</v>
      </c>
    </row>
    <row r="441" spans="1:8" x14ac:dyDescent="0.25">
      <c r="A441" t="str">
        <f>'Unformatted Trip Summary'!A439</f>
        <v>06 HAWKE`S BAY</v>
      </c>
      <c r="B441" t="str">
        <f>'Unformatted Trip Summary'!J439</f>
        <v>2027/28</v>
      </c>
      <c r="C441" t="str">
        <f>'Unformatted Trip Summary'!I439</f>
        <v>Motorcyclist</v>
      </c>
      <c r="D441">
        <f>'Unformatted Trip Summary'!D439</f>
        <v>6</v>
      </c>
      <c r="E441">
        <f>'Unformatted Trip Summary'!E439</f>
        <v>19</v>
      </c>
      <c r="F441" s="1">
        <f>'Unformatted Trip Summary'!F439</f>
        <v>0.55282079679999996</v>
      </c>
      <c r="G441" s="1">
        <f>'Unformatted Trip Summary'!G439</f>
        <v>3.0102562057000002</v>
      </c>
      <c r="H441" s="1">
        <f>'Unformatted Trip Summary'!H439</f>
        <v>0.1033850835</v>
      </c>
    </row>
    <row r="442" spans="1:8" x14ac:dyDescent="0.25">
      <c r="A442" t="str">
        <f>'Unformatted Trip Summary'!A440</f>
        <v>06 HAWKE`S BAY</v>
      </c>
      <c r="B442" t="str">
        <f>'Unformatted Trip Summary'!J440</f>
        <v>2032/33</v>
      </c>
      <c r="C442" t="str">
        <f>'Unformatted Trip Summary'!I440</f>
        <v>Motorcyclist</v>
      </c>
      <c r="D442">
        <f>'Unformatted Trip Summary'!D440</f>
        <v>6</v>
      </c>
      <c r="E442">
        <f>'Unformatted Trip Summary'!E440</f>
        <v>19</v>
      </c>
      <c r="F442" s="1">
        <f>'Unformatted Trip Summary'!F440</f>
        <v>0.51548948939999995</v>
      </c>
      <c r="G442" s="1">
        <f>'Unformatted Trip Summary'!G440</f>
        <v>2.7843699933999999</v>
      </c>
      <c r="H442" s="1">
        <f>'Unformatted Trip Summary'!H440</f>
        <v>9.4683085700000003E-2</v>
      </c>
    </row>
    <row r="443" spans="1:8" x14ac:dyDescent="0.25">
      <c r="A443" t="str">
        <f>'Unformatted Trip Summary'!A441</f>
        <v>06 HAWKE`S BAY</v>
      </c>
      <c r="B443" t="str">
        <f>'Unformatted Trip Summary'!J441</f>
        <v>2037/38</v>
      </c>
      <c r="C443" t="str">
        <f>'Unformatted Trip Summary'!I441</f>
        <v>Motorcyclist</v>
      </c>
      <c r="D443">
        <f>'Unformatted Trip Summary'!D441</f>
        <v>6</v>
      </c>
      <c r="E443">
        <f>'Unformatted Trip Summary'!E441</f>
        <v>19</v>
      </c>
      <c r="F443" s="1">
        <f>'Unformatted Trip Summary'!F441</f>
        <v>0.47477909750000002</v>
      </c>
      <c r="G443" s="1">
        <f>'Unformatted Trip Summary'!G441</f>
        <v>2.6252733485999999</v>
      </c>
      <c r="H443" s="1">
        <f>'Unformatted Trip Summary'!H441</f>
        <v>8.8572250800000002E-2</v>
      </c>
    </row>
    <row r="444" spans="1:8" x14ac:dyDescent="0.25">
      <c r="A444" t="str">
        <f>'Unformatted Trip Summary'!A442</f>
        <v>06 HAWKE`S BAY</v>
      </c>
      <c r="B444" t="str">
        <f>'Unformatted Trip Summary'!J442</f>
        <v>2042/43</v>
      </c>
      <c r="C444" t="str">
        <f>'Unformatted Trip Summary'!I442</f>
        <v>Motorcyclist</v>
      </c>
      <c r="D444">
        <f>'Unformatted Trip Summary'!D442</f>
        <v>6</v>
      </c>
      <c r="E444">
        <f>'Unformatted Trip Summary'!E442</f>
        <v>19</v>
      </c>
      <c r="F444" s="1">
        <f>'Unformatted Trip Summary'!F442</f>
        <v>0.43350243700000002</v>
      </c>
      <c r="G444" s="1">
        <f>'Unformatted Trip Summary'!G442</f>
        <v>2.4749209025000001</v>
      </c>
      <c r="H444" s="1">
        <f>'Unformatted Trip Summary'!H442</f>
        <v>8.2458415800000004E-2</v>
      </c>
    </row>
    <row r="445" spans="1:8" x14ac:dyDescent="0.25">
      <c r="A445" t="str">
        <f>'Unformatted Trip Summary'!A443</f>
        <v>06 HAWKE`S BAY</v>
      </c>
      <c r="B445" t="str">
        <f>'Unformatted Trip Summary'!J443</f>
        <v>2012/13</v>
      </c>
      <c r="C445" t="str">
        <f>'Unformatted Trip Summary'!I443</f>
        <v>Local Bus</v>
      </c>
      <c r="D445">
        <f>'Unformatted Trip Summary'!D443</f>
        <v>50</v>
      </c>
      <c r="E445">
        <f>'Unformatted Trip Summary'!E443</f>
        <v>142</v>
      </c>
      <c r="F445" s="1">
        <f>'Unformatted Trip Summary'!F443</f>
        <v>4.5218645043999999</v>
      </c>
      <c r="G445" s="1">
        <f>'Unformatted Trip Summary'!G443</f>
        <v>39.591997026999998</v>
      </c>
      <c r="H445" s="1">
        <f>'Unformatted Trip Summary'!H443</f>
        <v>1.3660147812000001</v>
      </c>
    </row>
    <row r="446" spans="1:8" x14ac:dyDescent="0.25">
      <c r="A446" t="str">
        <f>'Unformatted Trip Summary'!A444</f>
        <v>06 HAWKE`S BAY</v>
      </c>
      <c r="B446" t="str">
        <f>'Unformatted Trip Summary'!J444</f>
        <v>2017/18</v>
      </c>
      <c r="C446" t="str">
        <f>'Unformatted Trip Summary'!I444</f>
        <v>Local Bus</v>
      </c>
      <c r="D446">
        <f>'Unformatted Trip Summary'!D444</f>
        <v>50</v>
      </c>
      <c r="E446">
        <f>'Unformatted Trip Summary'!E444</f>
        <v>142</v>
      </c>
      <c r="F446" s="1">
        <f>'Unformatted Trip Summary'!F444</f>
        <v>4.4607048811999999</v>
      </c>
      <c r="G446" s="1">
        <f>'Unformatted Trip Summary'!G444</f>
        <v>38.035323120999998</v>
      </c>
      <c r="H446" s="1">
        <f>'Unformatted Trip Summary'!H444</f>
        <v>1.3544011966</v>
      </c>
    </row>
    <row r="447" spans="1:8" x14ac:dyDescent="0.25">
      <c r="A447" t="str">
        <f>'Unformatted Trip Summary'!A445</f>
        <v>06 HAWKE`S BAY</v>
      </c>
      <c r="B447" t="str">
        <f>'Unformatted Trip Summary'!J445</f>
        <v>2022/23</v>
      </c>
      <c r="C447" t="str">
        <f>'Unformatted Trip Summary'!I445</f>
        <v>Local Bus</v>
      </c>
      <c r="D447">
        <f>'Unformatted Trip Summary'!D445</f>
        <v>50</v>
      </c>
      <c r="E447">
        <f>'Unformatted Trip Summary'!E445</f>
        <v>142</v>
      </c>
      <c r="F447" s="1">
        <f>'Unformatted Trip Summary'!F445</f>
        <v>4.4100952614000004</v>
      </c>
      <c r="G447" s="1">
        <f>'Unformatted Trip Summary'!G445</f>
        <v>36.712064374999997</v>
      </c>
      <c r="H447" s="1">
        <f>'Unformatted Trip Summary'!H445</f>
        <v>1.3449300063</v>
      </c>
    </row>
    <row r="448" spans="1:8" x14ac:dyDescent="0.25">
      <c r="A448" t="str">
        <f>'Unformatted Trip Summary'!A446</f>
        <v>06 HAWKE`S BAY</v>
      </c>
      <c r="B448" t="str">
        <f>'Unformatted Trip Summary'!J446</f>
        <v>2027/28</v>
      </c>
      <c r="C448" t="str">
        <f>'Unformatted Trip Summary'!I446</f>
        <v>Local Bus</v>
      </c>
      <c r="D448">
        <f>'Unformatted Trip Summary'!D446</f>
        <v>50</v>
      </c>
      <c r="E448">
        <f>'Unformatted Trip Summary'!E446</f>
        <v>142</v>
      </c>
      <c r="F448" s="1">
        <f>'Unformatted Trip Summary'!F446</f>
        <v>4.4172247625000001</v>
      </c>
      <c r="G448" s="1">
        <f>'Unformatted Trip Summary'!G446</f>
        <v>36.770764001000003</v>
      </c>
      <c r="H448" s="1">
        <f>'Unformatted Trip Summary'!H446</f>
        <v>1.3486397030999999</v>
      </c>
    </row>
    <row r="449" spans="1:8" x14ac:dyDescent="0.25">
      <c r="A449" t="str">
        <f>'Unformatted Trip Summary'!A447</f>
        <v>06 HAWKE`S BAY</v>
      </c>
      <c r="B449" t="str">
        <f>'Unformatted Trip Summary'!J447</f>
        <v>2032/33</v>
      </c>
      <c r="C449" t="str">
        <f>'Unformatted Trip Summary'!I447</f>
        <v>Local Bus</v>
      </c>
      <c r="D449">
        <f>'Unformatted Trip Summary'!D447</f>
        <v>50</v>
      </c>
      <c r="E449">
        <f>'Unformatted Trip Summary'!E447</f>
        <v>142</v>
      </c>
      <c r="F449" s="1">
        <f>'Unformatted Trip Summary'!F447</f>
        <v>4.2669626844000001</v>
      </c>
      <c r="G449" s="1">
        <f>'Unformatted Trip Summary'!G447</f>
        <v>35.534913803000002</v>
      </c>
      <c r="H449" s="1">
        <f>'Unformatted Trip Summary'!H447</f>
        <v>1.3004854295999999</v>
      </c>
    </row>
    <row r="450" spans="1:8" x14ac:dyDescent="0.25">
      <c r="A450" t="str">
        <f>'Unformatted Trip Summary'!A448</f>
        <v>06 HAWKE`S BAY</v>
      </c>
      <c r="B450" t="str">
        <f>'Unformatted Trip Summary'!J448</f>
        <v>2037/38</v>
      </c>
      <c r="C450" t="str">
        <f>'Unformatted Trip Summary'!I448</f>
        <v>Local Bus</v>
      </c>
      <c r="D450">
        <f>'Unformatted Trip Summary'!D448</f>
        <v>50</v>
      </c>
      <c r="E450">
        <f>'Unformatted Trip Summary'!E448</f>
        <v>142</v>
      </c>
      <c r="F450" s="1">
        <f>'Unformatted Trip Summary'!F448</f>
        <v>4.2079333999999999</v>
      </c>
      <c r="G450" s="1">
        <f>'Unformatted Trip Summary'!G448</f>
        <v>35.101439718000002</v>
      </c>
      <c r="H450" s="1">
        <f>'Unformatted Trip Summary'!H448</f>
        <v>1.2835044789000001</v>
      </c>
    </row>
    <row r="451" spans="1:8" x14ac:dyDescent="0.25">
      <c r="A451" t="str">
        <f>'Unformatted Trip Summary'!A449</f>
        <v>06 HAWKE`S BAY</v>
      </c>
      <c r="B451" t="str">
        <f>'Unformatted Trip Summary'!J449</f>
        <v>2042/43</v>
      </c>
      <c r="C451" t="str">
        <f>'Unformatted Trip Summary'!I449</f>
        <v>Local Bus</v>
      </c>
      <c r="D451">
        <f>'Unformatted Trip Summary'!D449</f>
        <v>50</v>
      </c>
      <c r="E451">
        <f>'Unformatted Trip Summary'!E449</f>
        <v>142</v>
      </c>
      <c r="F451" s="1">
        <f>'Unformatted Trip Summary'!F449</f>
        <v>4.1231029353000004</v>
      </c>
      <c r="G451" s="1">
        <f>'Unformatted Trip Summary'!G449</f>
        <v>34.470171174999997</v>
      </c>
      <c r="H451" s="1">
        <f>'Unformatted Trip Summary'!H449</f>
        <v>1.2580087369999999</v>
      </c>
    </row>
    <row r="452" spans="1:8" x14ac:dyDescent="0.25">
      <c r="A452" t="str">
        <f>'Unformatted Trip Summary'!A450</f>
        <v>06 HAWKE`S BAY</v>
      </c>
      <c r="B452" t="str">
        <f>'Unformatted Trip Summary'!J450</f>
        <v>2012/13</v>
      </c>
      <c r="C452" t="str">
        <f>'Unformatted Trip Summary'!I450</f>
        <v>Other Household Travel</v>
      </c>
      <c r="D452">
        <f>'Unformatted Trip Summary'!D450</f>
        <v>3</v>
      </c>
      <c r="E452">
        <f>'Unformatted Trip Summary'!E450</f>
        <v>10</v>
      </c>
      <c r="F452" s="1">
        <f>'Unformatted Trip Summary'!F450</f>
        <v>0.49138149730000003</v>
      </c>
      <c r="G452" s="1">
        <f>'Unformatted Trip Summary'!G450</f>
        <v>0</v>
      </c>
      <c r="H452" s="1">
        <f>'Unformatted Trip Summary'!H450</f>
        <v>0.15778150060000001</v>
      </c>
    </row>
    <row r="453" spans="1:8" x14ac:dyDescent="0.25">
      <c r="A453" t="str">
        <f>'Unformatted Trip Summary'!A451</f>
        <v>06 HAWKE`S BAY</v>
      </c>
      <c r="B453" t="str">
        <f>'Unformatted Trip Summary'!J451</f>
        <v>2017/18</v>
      </c>
      <c r="C453" t="str">
        <f>'Unformatted Trip Summary'!I451</f>
        <v>Other Household Travel</v>
      </c>
      <c r="D453">
        <f>'Unformatted Trip Summary'!D451</f>
        <v>3</v>
      </c>
      <c r="E453">
        <f>'Unformatted Trip Summary'!E451</f>
        <v>10</v>
      </c>
      <c r="F453" s="1">
        <f>'Unformatted Trip Summary'!F451</f>
        <v>0.52685948049999998</v>
      </c>
      <c r="G453" s="1">
        <f>'Unformatted Trip Summary'!G451</f>
        <v>0</v>
      </c>
      <c r="H453" s="1">
        <f>'Unformatted Trip Summary'!H451</f>
        <v>0.16557927610000001</v>
      </c>
    </row>
    <row r="454" spans="1:8" x14ac:dyDescent="0.25">
      <c r="A454" t="str">
        <f>'Unformatted Trip Summary'!A452</f>
        <v>06 HAWKE`S BAY</v>
      </c>
      <c r="B454" t="str">
        <f>'Unformatted Trip Summary'!J452</f>
        <v>2022/23</v>
      </c>
      <c r="C454" t="str">
        <f>'Unformatted Trip Summary'!I452</f>
        <v>Other Household Travel</v>
      </c>
      <c r="D454">
        <f>'Unformatted Trip Summary'!D452</f>
        <v>3</v>
      </c>
      <c r="E454">
        <f>'Unformatted Trip Summary'!E452</f>
        <v>10</v>
      </c>
      <c r="F454" s="1">
        <f>'Unformatted Trip Summary'!F452</f>
        <v>0.60921790809999998</v>
      </c>
      <c r="G454" s="1">
        <f>'Unformatted Trip Summary'!G452</f>
        <v>0</v>
      </c>
      <c r="H454" s="1">
        <f>'Unformatted Trip Summary'!H452</f>
        <v>0.18742793930000001</v>
      </c>
    </row>
    <row r="455" spans="1:8" x14ac:dyDescent="0.25">
      <c r="A455" t="str">
        <f>'Unformatted Trip Summary'!A453</f>
        <v>06 HAWKE`S BAY</v>
      </c>
      <c r="B455" t="str">
        <f>'Unformatted Trip Summary'!J453</f>
        <v>2027/28</v>
      </c>
      <c r="C455" t="str">
        <f>'Unformatted Trip Summary'!I453</f>
        <v>Other Household Travel</v>
      </c>
      <c r="D455">
        <f>'Unformatted Trip Summary'!D453</f>
        <v>3</v>
      </c>
      <c r="E455">
        <f>'Unformatted Trip Summary'!E453</f>
        <v>10</v>
      </c>
      <c r="F455" s="1">
        <f>'Unformatted Trip Summary'!F453</f>
        <v>0.7131821572</v>
      </c>
      <c r="G455" s="1">
        <f>'Unformatted Trip Summary'!G453</f>
        <v>0</v>
      </c>
      <c r="H455" s="1">
        <f>'Unformatted Trip Summary'!H453</f>
        <v>0.2139732204</v>
      </c>
    </row>
    <row r="456" spans="1:8" x14ac:dyDescent="0.25">
      <c r="A456" t="str">
        <f>'Unformatted Trip Summary'!A454</f>
        <v>06 HAWKE`S BAY</v>
      </c>
      <c r="B456" t="str">
        <f>'Unformatted Trip Summary'!J454</f>
        <v>2032/33</v>
      </c>
      <c r="C456" t="str">
        <f>'Unformatted Trip Summary'!I454</f>
        <v>Other Household Travel</v>
      </c>
      <c r="D456">
        <f>'Unformatted Trip Summary'!D454</f>
        <v>3</v>
      </c>
      <c r="E456">
        <f>'Unformatted Trip Summary'!E454</f>
        <v>10</v>
      </c>
      <c r="F456" s="1">
        <f>'Unformatted Trip Summary'!F454</f>
        <v>0.79721437640000004</v>
      </c>
      <c r="G456" s="1">
        <f>'Unformatted Trip Summary'!G454</f>
        <v>0</v>
      </c>
      <c r="H456" s="1">
        <f>'Unformatted Trip Summary'!H454</f>
        <v>0.23354020640000001</v>
      </c>
    </row>
    <row r="457" spans="1:8" x14ac:dyDescent="0.25">
      <c r="A457" t="str">
        <f>'Unformatted Trip Summary'!A455</f>
        <v>06 HAWKE`S BAY</v>
      </c>
      <c r="B457" t="str">
        <f>'Unformatted Trip Summary'!J455</f>
        <v>2037/38</v>
      </c>
      <c r="C457" t="str">
        <f>'Unformatted Trip Summary'!I455</f>
        <v>Other Household Travel</v>
      </c>
      <c r="D457">
        <f>'Unformatted Trip Summary'!D455</f>
        <v>3</v>
      </c>
      <c r="E457">
        <f>'Unformatted Trip Summary'!E455</f>
        <v>10</v>
      </c>
      <c r="F457" s="1">
        <f>'Unformatted Trip Summary'!F455</f>
        <v>0.89059539619999994</v>
      </c>
      <c r="G457" s="1">
        <f>'Unformatted Trip Summary'!G455</f>
        <v>0</v>
      </c>
      <c r="H457" s="1">
        <f>'Unformatted Trip Summary'!H455</f>
        <v>0.25765342320000001</v>
      </c>
    </row>
    <row r="458" spans="1:8" x14ac:dyDescent="0.25">
      <c r="A458" t="str">
        <f>'Unformatted Trip Summary'!A456</f>
        <v>06 HAWKE`S BAY</v>
      </c>
      <c r="B458" t="str">
        <f>'Unformatted Trip Summary'!J456</f>
        <v>2042/43</v>
      </c>
      <c r="C458" t="str">
        <f>'Unformatted Trip Summary'!I456</f>
        <v>Other Household Travel</v>
      </c>
      <c r="D458">
        <f>'Unformatted Trip Summary'!D456</f>
        <v>3</v>
      </c>
      <c r="E458">
        <f>'Unformatted Trip Summary'!E456</f>
        <v>10</v>
      </c>
      <c r="F458" s="1">
        <f>'Unformatted Trip Summary'!F456</f>
        <v>0.98573371649999997</v>
      </c>
      <c r="G458" s="1">
        <f>'Unformatted Trip Summary'!G456</f>
        <v>0</v>
      </c>
      <c r="H458" s="1">
        <f>'Unformatted Trip Summary'!H456</f>
        <v>0.28228127980000001</v>
      </c>
    </row>
    <row r="459" spans="1:8" x14ac:dyDescent="0.25">
      <c r="A459" t="str">
        <f>'Unformatted Trip Summary'!A457</f>
        <v>06 HAWKE`S BAY</v>
      </c>
      <c r="B459" t="str">
        <f>'Unformatted Trip Summary'!J457</f>
        <v>2012/13</v>
      </c>
      <c r="C459" t="str">
        <f>'Unformatted Trip Summary'!I457</f>
        <v>Air/Non-Local PT</v>
      </c>
      <c r="D459">
        <f>'Unformatted Trip Summary'!D457</f>
        <v>3</v>
      </c>
      <c r="E459">
        <f>'Unformatted Trip Summary'!E457</f>
        <v>5</v>
      </c>
      <c r="F459" s="1">
        <f>'Unformatted Trip Summary'!F457</f>
        <v>0.36260942909999999</v>
      </c>
      <c r="G459" s="1">
        <f>'Unformatted Trip Summary'!G457</f>
        <v>56.865163273</v>
      </c>
      <c r="H459" s="1">
        <f>'Unformatted Trip Summary'!H457</f>
        <v>0.96259589999999995</v>
      </c>
    </row>
    <row r="460" spans="1:8" x14ac:dyDescent="0.25">
      <c r="A460" t="str">
        <f>'Unformatted Trip Summary'!A458</f>
        <v>06 HAWKE`S BAY</v>
      </c>
      <c r="B460" t="str">
        <f>'Unformatted Trip Summary'!J458</f>
        <v>2017/18</v>
      </c>
      <c r="C460" t="str">
        <f>'Unformatted Trip Summary'!I458</f>
        <v>Air/Non-Local PT</v>
      </c>
      <c r="D460">
        <f>'Unformatted Trip Summary'!D458</f>
        <v>3</v>
      </c>
      <c r="E460">
        <f>'Unformatted Trip Summary'!E458</f>
        <v>5</v>
      </c>
      <c r="F460" s="1">
        <f>'Unformatted Trip Summary'!F458</f>
        <v>0.40724406400000002</v>
      </c>
      <c r="G460" s="1">
        <f>'Unformatted Trip Summary'!G458</f>
        <v>63.508635699999999</v>
      </c>
      <c r="H460" s="1">
        <f>'Unformatted Trip Summary'!H458</f>
        <v>1.0774162499</v>
      </c>
    </row>
    <row r="461" spans="1:8" x14ac:dyDescent="0.25">
      <c r="A461" t="str">
        <f>'Unformatted Trip Summary'!A459</f>
        <v>06 HAWKE`S BAY</v>
      </c>
      <c r="B461" t="str">
        <f>'Unformatted Trip Summary'!J459</f>
        <v>2022/23</v>
      </c>
      <c r="C461" t="str">
        <f>'Unformatted Trip Summary'!I459</f>
        <v>Air/Non-Local PT</v>
      </c>
      <c r="D461">
        <f>'Unformatted Trip Summary'!D459</f>
        <v>3</v>
      </c>
      <c r="E461">
        <f>'Unformatted Trip Summary'!E459</f>
        <v>5</v>
      </c>
      <c r="F461" s="1">
        <f>'Unformatted Trip Summary'!F459</f>
        <v>0.4270829692</v>
      </c>
      <c r="G461" s="1">
        <f>'Unformatted Trip Summary'!G459</f>
        <v>65.819938144000005</v>
      </c>
      <c r="H461" s="1">
        <f>'Unformatted Trip Summary'!H459</f>
        <v>1.1213505067</v>
      </c>
    </row>
    <row r="462" spans="1:8" x14ac:dyDescent="0.25">
      <c r="A462" t="str">
        <f>'Unformatted Trip Summary'!A460</f>
        <v>06 HAWKE`S BAY</v>
      </c>
      <c r="B462" t="str">
        <f>'Unformatted Trip Summary'!J460</f>
        <v>2027/28</v>
      </c>
      <c r="C462" t="str">
        <f>'Unformatted Trip Summary'!I460</f>
        <v>Air/Non-Local PT</v>
      </c>
      <c r="D462">
        <f>'Unformatted Trip Summary'!D460</f>
        <v>3</v>
      </c>
      <c r="E462">
        <f>'Unformatted Trip Summary'!E460</f>
        <v>5</v>
      </c>
      <c r="F462" s="1">
        <f>'Unformatted Trip Summary'!F460</f>
        <v>0.41769314219999998</v>
      </c>
      <c r="G462" s="1">
        <f>'Unformatted Trip Summary'!G460</f>
        <v>64.037845982999997</v>
      </c>
      <c r="H462" s="1">
        <f>'Unformatted Trip Summary'!H460</f>
        <v>1.0924113896000001</v>
      </c>
    </row>
    <row r="463" spans="1:8" x14ac:dyDescent="0.25">
      <c r="A463" t="str">
        <f>'Unformatted Trip Summary'!A461</f>
        <v>06 HAWKE`S BAY</v>
      </c>
      <c r="B463" t="str">
        <f>'Unformatted Trip Summary'!J461</f>
        <v>2032/33</v>
      </c>
      <c r="C463" t="str">
        <f>'Unformatted Trip Summary'!I461</f>
        <v>Air/Non-Local PT</v>
      </c>
      <c r="D463">
        <f>'Unformatted Trip Summary'!D461</f>
        <v>3</v>
      </c>
      <c r="E463">
        <f>'Unformatted Trip Summary'!E461</f>
        <v>5</v>
      </c>
      <c r="F463" s="1">
        <f>'Unformatted Trip Summary'!F461</f>
        <v>0.40544398590000003</v>
      </c>
      <c r="G463" s="1">
        <f>'Unformatted Trip Summary'!G461</f>
        <v>61.649101404</v>
      </c>
      <c r="H463" s="1">
        <f>'Unformatted Trip Summary'!H461</f>
        <v>1.0550207791999999</v>
      </c>
    </row>
    <row r="464" spans="1:8" x14ac:dyDescent="0.25">
      <c r="A464" t="str">
        <f>'Unformatted Trip Summary'!A462</f>
        <v>06 HAWKE`S BAY</v>
      </c>
      <c r="B464" t="str">
        <f>'Unformatted Trip Summary'!J462</f>
        <v>2037/38</v>
      </c>
      <c r="C464" t="str">
        <f>'Unformatted Trip Summary'!I462</f>
        <v>Air/Non-Local PT</v>
      </c>
      <c r="D464">
        <f>'Unformatted Trip Summary'!D462</f>
        <v>3</v>
      </c>
      <c r="E464">
        <f>'Unformatted Trip Summary'!E462</f>
        <v>5</v>
      </c>
      <c r="F464" s="1">
        <f>'Unformatted Trip Summary'!F462</f>
        <v>0.40044310500000002</v>
      </c>
      <c r="G464" s="1">
        <f>'Unformatted Trip Summary'!G462</f>
        <v>62.295452337999997</v>
      </c>
      <c r="H464" s="1">
        <f>'Unformatted Trip Summary'!H462</f>
        <v>1.0564085158000001</v>
      </c>
    </row>
    <row r="465" spans="1:8" x14ac:dyDescent="0.25">
      <c r="A465" t="str">
        <f>'Unformatted Trip Summary'!A463</f>
        <v>06 HAWKE`S BAY</v>
      </c>
      <c r="B465" t="str">
        <f>'Unformatted Trip Summary'!J463</f>
        <v>2042/43</v>
      </c>
      <c r="C465" t="str">
        <f>'Unformatted Trip Summary'!I463</f>
        <v>Air/Non-Local PT</v>
      </c>
      <c r="D465">
        <f>'Unformatted Trip Summary'!D463</f>
        <v>3</v>
      </c>
      <c r="E465">
        <f>'Unformatted Trip Summary'!E463</f>
        <v>5</v>
      </c>
      <c r="F465" s="1">
        <f>'Unformatted Trip Summary'!F463</f>
        <v>0.39161066839999997</v>
      </c>
      <c r="G465" s="1">
        <f>'Unformatted Trip Summary'!G463</f>
        <v>62.339253394000004</v>
      </c>
      <c r="H465" s="1">
        <f>'Unformatted Trip Summary'!H463</f>
        <v>1.0476136737999999</v>
      </c>
    </row>
    <row r="466" spans="1:8" x14ac:dyDescent="0.25">
      <c r="A466" t="str">
        <f>'Unformatted Trip Summary'!A464</f>
        <v>06 HAWKE`S BAY</v>
      </c>
      <c r="B466" t="str">
        <f>'Unformatted Trip Summary'!J464</f>
        <v>2012/13</v>
      </c>
      <c r="C466" t="str">
        <f>'Unformatted Trip Summary'!I464</f>
        <v>Non-Household Travel</v>
      </c>
      <c r="D466">
        <f>'Unformatted Trip Summary'!D464</f>
        <v>8</v>
      </c>
      <c r="E466">
        <f>'Unformatted Trip Summary'!E464</f>
        <v>27</v>
      </c>
      <c r="F466" s="1">
        <f>'Unformatted Trip Summary'!F464</f>
        <v>0.84253347339999995</v>
      </c>
      <c r="G466" s="1">
        <f>'Unformatted Trip Summary'!G464</f>
        <v>31.621733808999998</v>
      </c>
      <c r="H466" s="1">
        <f>'Unformatted Trip Summary'!H464</f>
        <v>0.62196297879999995</v>
      </c>
    </row>
    <row r="467" spans="1:8" x14ac:dyDescent="0.25">
      <c r="A467" t="str">
        <f>'Unformatted Trip Summary'!A465</f>
        <v>06 HAWKE`S BAY</v>
      </c>
      <c r="B467" t="str">
        <f>'Unformatted Trip Summary'!J465</f>
        <v>2017/18</v>
      </c>
      <c r="C467" t="str">
        <f>'Unformatted Trip Summary'!I465</f>
        <v>Non-Household Travel</v>
      </c>
      <c r="D467">
        <f>'Unformatted Trip Summary'!D465</f>
        <v>8</v>
      </c>
      <c r="E467">
        <f>'Unformatted Trip Summary'!E465</f>
        <v>27</v>
      </c>
      <c r="F467" s="1">
        <f>'Unformatted Trip Summary'!F465</f>
        <v>0.9532945746</v>
      </c>
      <c r="G467" s="1">
        <f>'Unformatted Trip Summary'!G465</f>
        <v>36.919926830999998</v>
      </c>
      <c r="H467" s="1">
        <f>'Unformatted Trip Summary'!H465</f>
        <v>0.72287574229999996</v>
      </c>
    </row>
    <row r="468" spans="1:8" x14ac:dyDescent="0.25">
      <c r="A468" t="str">
        <f>'Unformatted Trip Summary'!A466</f>
        <v>06 HAWKE`S BAY</v>
      </c>
      <c r="B468" t="str">
        <f>'Unformatted Trip Summary'!J466</f>
        <v>2022/23</v>
      </c>
      <c r="C468" t="str">
        <f>'Unformatted Trip Summary'!I466</f>
        <v>Non-Household Travel</v>
      </c>
      <c r="D468">
        <f>'Unformatted Trip Summary'!D466</f>
        <v>8</v>
      </c>
      <c r="E468">
        <f>'Unformatted Trip Summary'!E466</f>
        <v>27</v>
      </c>
      <c r="F468" s="1">
        <f>'Unformatted Trip Summary'!F466</f>
        <v>1.0359565143</v>
      </c>
      <c r="G468" s="1">
        <f>'Unformatted Trip Summary'!G466</f>
        <v>39.901408740000001</v>
      </c>
      <c r="H468" s="1">
        <f>'Unformatted Trip Summary'!H466</f>
        <v>0.7868554311</v>
      </c>
    </row>
    <row r="469" spans="1:8" x14ac:dyDescent="0.25">
      <c r="A469" t="str">
        <f>'Unformatted Trip Summary'!A467</f>
        <v>06 HAWKE`S BAY</v>
      </c>
      <c r="B469" t="str">
        <f>'Unformatted Trip Summary'!J467</f>
        <v>2027/28</v>
      </c>
      <c r="C469" t="str">
        <f>'Unformatted Trip Summary'!I467</f>
        <v>Non-Household Travel</v>
      </c>
      <c r="D469">
        <f>'Unformatted Trip Summary'!D467</f>
        <v>8</v>
      </c>
      <c r="E469">
        <f>'Unformatted Trip Summary'!E467</f>
        <v>27</v>
      </c>
      <c r="F469" s="1">
        <f>'Unformatted Trip Summary'!F467</f>
        <v>1.1022083997000001</v>
      </c>
      <c r="G469" s="1">
        <f>'Unformatted Trip Summary'!G467</f>
        <v>39.913187131000001</v>
      </c>
      <c r="H469" s="1">
        <f>'Unformatted Trip Summary'!H467</f>
        <v>0.80798844970000006</v>
      </c>
    </row>
    <row r="470" spans="1:8" x14ac:dyDescent="0.25">
      <c r="A470" t="str">
        <f>'Unformatted Trip Summary'!A468</f>
        <v>06 HAWKE`S BAY</v>
      </c>
      <c r="B470" t="str">
        <f>'Unformatted Trip Summary'!J468</f>
        <v>2032/33</v>
      </c>
      <c r="C470" t="str">
        <f>'Unformatted Trip Summary'!I468</f>
        <v>Non-Household Travel</v>
      </c>
      <c r="D470">
        <f>'Unformatted Trip Summary'!D468</f>
        <v>8</v>
      </c>
      <c r="E470">
        <f>'Unformatted Trip Summary'!E468</f>
        <v>27</v>
      </c>
      <c r="F470" s="1">
        <f>'Unformatted Trip Summary'!F468</f>
        <v>1.1479130124000001</v>
      </c>
      <c r="G470" s="1">
        <f>'Unformatted Trip Summary'!G468</f>
        <v>40.269540558999999</v>
      </c>
      <c r="H470" s="1">
        <f>'Unformatted Trip Summary'!H468</f>
        <v>0.83018581759999999</v>
      </c>
    </row>
    <row r="471" spans="1:8" x14ac:dyDescent="0.25">
      <c r="A471" t="str">
        <f>'Unformatted Trip Summary'!A469</f>
        <v>06 HAWKE`S BAY</v>
      </c>
      <c r="B471" t="str">
        <f>'Unformatted Trip Summary'!J469</f>
        <v>2037/38</v>
      </c>
      <c r="C471" t="str">
        <f>'Unformatted Trip Summary'!I469</f>
        <v>Non-Household Travel</v>
      </c>
      <c r="D471">
        <f>'Unformatted Trip Summary'!D469</f>
        <v>8</v>
      </c>
      <c r="E471">
        <f>'Unformatted Trip Summary'!E469</f>
        <v>27</v>
      </c>
      <c r="F471" s="1">
        <f>'Unformatted Trip Summary'!F469</f>
        <v>1.2054335355000001</v>
      </c>
      <c r="G471" s="1">
        <f>'Unformatted Trip Summary'!G469</f>
        <v>41.449128305999999</v>
      </c>
      <c r="H471" s="1">
        <f>'Unformatted Trip Summary'!H469</f>
        <v>0.86709079479999995</v>
      </c>
    </row>
    <row r="472" spans="1:8" x14ac:dyDescent="0.25">
      <c r="A472" t="str">
        <f>'Unformatted Trip Summary'!A470</f>
        <v>06 HAWKE`S BAY</v>
      </c>
      <c r="B472" t="str">
        <f>'Unformatted Trip Summary'!J470</f>
        <v>2042/43</v>
      </c>
      <c r="C472" t="str">
        <f>'Unformatted Trip Summary'!I470</f>
        <v>Non-Household Travel</v>
      </c>
      <c r="D472">
        <f>'Unformatted Trip Summary'!D470</f>
        <v>8</v>
      </c>
      <c r="E472">
        <f>'Unformatted Trip Summary'!E470</f>
        <v>27</v>
      </c>
      <c r="F472" s="1">
        <f>'Unformatted Trip Summary'!F470</f>
        <v>1.2589719690000001</v>
      </c>
      <c r="G472" s="1">
        <f>'Unformatted Trip Summary'!G470</f>
        <v>42.58301093</v>
      </c>
      <c r="H472" s="1">
        <f>'Unformatted Trip Summary'!H470</f>
        <v>0.90271286529999994</v>
      </c>
    </row>
    <row r="473" spans="1:8" x14ac:dyDescent="0.25">
      <c r="A473" t="str">
        <f>'Unformatted Trip Summary'!A471</f>
        <v>07 TARANAKI</v>
      </c>
      <c r="B473" t="str">
        <f>'Unformatted Trip Summary'!J471</f>
        <v>2012/13</v>
      </c>
      <c r="C473" t="str">
        <f>'Unformatted Trip Summary'!I471</f>
        <v>Pedestrian</v>
      </c>
      <c r="D473">
        <f>'Unformatted Trip Summary'!D471</f>
        <v>314</v>
      </c>
      <c r="E473">
        <f>'Unformatted Trip Summary'!E471</f>
        <v>1091</v>
      </c>
      <c r="F473" s="1">
        <f>'Unformatted Trip Summary'!F471</f>
        <v>23.308571313000002</v>
      </c>
      <c r="G473" s="1">
        <f>'Unformatted Trip Summary'!G471</f>
        <v>16.820589198</v>
      </c>
      <c r="H473" s="1">
        <f>'Unformatted Trip Summary'!H471</f>
        <v>4.7547330373000003</v>
      </c>
    </row>
    <row r="474" spans="1:8" x14ac:dyDescent="0.25">
      <c r="A474" t="str">
        <f>'Unformatted Trip Summary'!A472</f>
        <v>07 TARANAKI</v>
      </c>
      <c r="B474" t="str">
        <f>'Unformatted Trip Summary'!J472</f>
        <v>2017/18</v>
      </c>
      <c r="C474" t="str">
        <f>'Unformatted Trip Summary'!I472</f>
        <v>Pedestrian</v>
      </c>
      <c r="D474">
        <f>'Unformatted Trip Summary'!D472</f>
        <v>314</v>
      </c>
      <c r="E474">
        <f>'Unformatted Trip Summary'!E472</f>
        <v>1091</v>
      </c>
      <c r="F474" s="1">
        <f>'Unformatted Trip Summary'!F472</f>
        <v>24.212180058000001</v>
      </c>
      <c r="G474" s="1">
        <f>'Unformatted Trip Summary'!G472</f>
        <v>17.53496093</v>
      </c>
      <c r="H474" s="1">
        <f>'Unformatted Trip Summary'!H472</f>
        <v>4.8028224763000003</v>
      </c>
    </row>
    <row r="475" spans="1:8" x14ac:dyDescent="0.25">
      <c r="A475" t="str">
        <f>'Unformatted Trip Summary'!A473</f>
        <v>07 TARANAKI</v>
      </c>
      <c r="B475" t="str">
        <f>'Unformatted Trip Summary'!J473</f>
        <v>2022/23</v>
      </c>
      <c r="C475" t="str">
        <f>'Unformatted Trip Summary'!I473</f>
        <v>Pedestrian</v>
      </c>
      <c r="D475">
        <f>'Unformatted Trip Summary'!D473</f>
        <v>314</v>
      </c>
      <c r="E475">
        <f>'Unformatted Trip Summary'!E473</f>
        <v>1091</v>
      </c>
      <c r="F475" s="1">
        <f>'Unformatted Trip Summary'!F473</f>
        <v>24.497834480000002</v>
      </c>
      <c r="G475" s="1">
        <f>'Unformatted Trip Summary'!G473</f>
        <v>17.822499924999999</v>
      </c>
      <c r="H475" s="1">
        <f>'Unformatted Trip Summary'!H473</f>
        <v>4.7590874453999996</v>
      </c>
    </row>
    <row r="476" spans="1:8" x14ac:dyDescent="0.25">
      <c r="A476" t="str">
        <f>'Unformatted Trip Summary'!A474</f>
        <v>07 TARANAKI</v>
      </c>
      <c r="B476" t="str">
        <f>'Unformatted Trip Summary'!J474</f>
        <v>2027/28</v>
      </c>
      <c r="C476" t="str">
        <f>'Unformatted Trip Summary'!I474</f>
        <v>Pedestrian</v>
      </c>
      <c r="D476">
        <f>'Unformatted Trip Summary'!D474</f>
        <v>314</v>
      </c>
      <c r="E476">
        <f>'Unformatted Trip Summary'!E474</f>
        <v>1091</v>
      </c>
      <c r="F476" s="1">
        <f>'Unformatted Trip Summary'!F474</f>
        <v>24.411519596000002</v>
      </c>
      <c r="G476" s="1">
        <f>'Unformatted Trip Summary'!G474</f>
        <v>17.912139479</v>
      </c>
      <c r="H476" s="1">
        <f>'Unformatted Trip Summary'!H474</f>
        <v>4.6829578895999999</v>
      </c>
    </row>
    <row r="477" spans="1:8" x14ac:dyDescent="0.25">
      <c r="A477" t="str">
        <f>'Unformatted Trip Summary'!A475</f>
        <v>07 TARANAKI</v>
      </c>
      <c r="B477" t="str">
        <f>'Unformatted Trip Summary'!J475</f>
        <v>2032/33</v>
      </c>
      <c r="C477" t="str">
        <f>'Unformatted Trip Summary'!I475</f>
        <v>Pedestrian</v>
      </c>
      <c r="D477">
        <f>'Unformatted Trip Summary'!D475</f>
        <v>314</v>
      </c>
      <c r="E477">
        <f>'Unformatted Trip Summary'!E475</f>
        <v>1091</v>
      </c>
      <c r="F477" s="1">
        <f>'Unformatted Trip Summary'!F475</f>
        <v>24.167691655999999</v>
      </c>
      <c r="G477" s="1">
        <f>'Unformatted Trip Summary'!G475</f>
        <v>17.855241856999999</v>
      </c>
      <c r="H477" s="1">
        <f>'Unformatted Trip Summary'!H475</f>
        <v>4.5983995738000001</v>
      </c>
    </row>
    <row r="478" spans="1:8" x14ac:dyDescent="0.25">
      <c r="A478" t="str">
        <f>'Unformatted Trip Summary'!A476</f>
        <v>07 TARANAKI</v>
      </c>
      <c r="B478" t="str">
        <f>'Unformatted Trip Summary'!J476</f>
        <v>2037/38</v>
      </c>
      <c r="C478" t="str">
        <f>'Unformatted Trip Summary'!I476</f>
        <v>Pedestrian</v>
      </c>
      <c r="D478">
        <f>'Unformatted Trip Summary'!D476</f>
        <v>314</v>
      </c>
      <c r="E478">
        <f>'Unformatted Trip Summary'!E476</f>
        <v>1091</v>
      </c>
      <c r="F478" s="1">
        <f>'Unformatted Trip Summary'!F476</f>
        <v>23.825431801000001</v>
      </c>
      <c r="G478" s="1">
        <f>'Unformatted Trip Summary'!G476</f>
        <v>17.790355129000002</v>
      </c>
      <c r="H478" s="1">
        <f>'Unformatted Trip Summary'!H476</f>
        <v>4.5175158639999999</v>
      </c>
    </row>
    <row r="479" spans="1:8" x14ac:dyDescent="0.25">
      <c r="A479" t="str">
        <f>'Unformatted Trip Summary'!A477</f>
        <v>07 TARANAKI</v>
      </c>
      <c r="B479" t="str">
        <f>'Unformatted Trip Summary'!J477</f>
        <v>2042/43</v>
      </c>
      <c r="C479" t="str">
        <f>'Unformatted Trip Summary'!I477</f>
        <v>Pedestrian</v>
      </c>
      <c r="D479">
        <f>'Unformatted Trip Summary'!D477</f>
        <v>314</v>
      </c>
      <c r="E479">
        <f>'Unformatted Trip Summary'!E477</f>
        <v>1091</v>
      </c>
      <c r="F479" s="1">
        <f>'Unformatted Trip Summary'!F477</f>
        <v>23.430274555</v>
      </c>
      <c r="G479" s="1">
        <f>'Unformatted Trip Summary'!G477</f>
        <v>17.701020218</v>
      </c>
      <c r="H479" s="1">
        <f>'Unformatted Trip Summary'!H477</f>
        <v>4.4335261329</v>
      </c>
    </row>
    <row r="480" spans="1:8" x14ac:dyDescent="0.25">
      <c r="A480" t="str">
        <f>'Unformatted Trip Summary'!A478</f>
        <v>07 TARANAKI</v>
      </c>
      <c r="B480" t="str">
        <f>'Unformatted Trip Summary'!J478</f>
        <v>2012/13</v>
      </c>
      <c r="C480" t="str">
        <f>'Unformatted Trip Summary'!I478</f>
        <v>Cyclist</v>
      </c>
      <c r="D480">
        <f>'Unformatted Trip Summary'!D478</f>
        <v>45</v>
      </c>
      <c r="E480">
        <f>'Unformatted Trip Summary'!E478</f>
        <v>133</v>
      </c>
      <c r="F480" s="1">
        <f>'Unformatted Trip Summary'!F478</f>
        <v>2.1611397319000001</v>
      </c>
      <c r="G480" s="1">
        <f>'Unformatted Trip Summary'!G478</f>
        <v>5.5737915155</v>
      </c>
      <c r="H480" s="1">
        <f>'Unformatted Trip Summary'!H478</f>
        <v>0.51341482110000003</v>
      </c>
    </row>
    <row r="481" spans="1:8" x14ac:dyDescent="0.25">
      <c r="A481" t="str">
        <f>'Unformatted Trip Summary'!A479</f>
        <v>07 TARANAKI</v>
      </c>
      <c r="B481" t="str">
        <f>'Unformatted Trip Summary'!J479</f>
        <v>2017/18</v>
      </c>
      <c r="C481" t="str">
        <f>'Unformatted Trip Summary'!I479</f>
        <v>Cyclist</v>
      </c>
      <c r="D481">
        <f>'Unformatted Trip Summary'!D479</f>
        <v>45</v>
      </c>
      <c r="E481">
        <f>'Unformatted Trip Summary'!E479</f>
        <v>133</v>
      </c>
      <c r="F481" s="1">
        <f>'Unformatted Trip Summary'!F479</f>
        <v>2.1698102010000002</v>
      </c>
      <c r="G481" s="1">
        <f>'Unformatted Trip Summary'!G479</f>
        <v>5.6993542844</v>
      </c>
      <c r="H481" s="1">
        <f>'Unformatted Trip Summary'!H479</f>
        <v>0.5307125264</v>
      </c>
    </row>
    <row r="482" spans="1:8" x14ac:dyDescent="0.25">
      <c r="A482" t="str">
        <f>'Unformatted Trip Summary'!A480</f>
        <v>07 TARANAKI</v>
      </c>
      <c r="B482" t="str">
        <f>'Unformatted Trip Summary'!J480</f>
        <v>2022/23</v>
      </c>
      <c r="C482" t="str">
        <f>'Unformatted Trip Summary'!I480</f>
        <v>Cyclist</v>
      </c>
      <c r="D482">
        <f>'Unformatted Trip Summary'!D480</f>
        <v>45</v>
      </c>
      <c r="E482">
        <f>'Unformatted Trip Summary'!E480</f>
        <v>133</v>
      </c>
      <c r="F482" s="1">
        <f>'Unformatted Trip Summary'!F480</f>
        <v>2.1475793008999999</v>
      </c>
      <c r="G482" s="1">
        <f>'Unformatted Trip Summary'!G480</f>
        <v>5.6939714579</v>
      </c>
      <c r="H482" s="1">
        <f>'Unformatted Trip Summary'!H480</f>
        <v>0.53334585239999999</v>
      </c>
    </row>
    <row r="483" spans="1:8" x14ac:dyDescent="0.25">
      <c r="A483" t="str">
        <f>'Unformatted Trip Summary'!A481</f>
        <v>07 TARANAKI</v>
      </c>
      <c r="B483" t="str">
        <f>'Unformatted Trip Summary'!J481</f>
        <v>2027/28</v>
      </c>
      <c r="C483" t="str">
        <f>'Unformatted Trip Summary'!I481</f>
        <v>Cyclist</v>
      </c>
      <c r="D483">
        <f>'Unformatted Trip Summary'!D481</f>
        <v>45</v>
      </c>
      <c r="E483">
        <f>'Unformatted Trip Summary'!E481</f>
        <v>133</v>
      </c>
      <c r="F483" s="1">
        <f>'Unformatted Trip Summary'!F481</f>
        <v>2.0820245854000001</v>
      </c>
      <c r="G483" s="1">
        <f>'Unformatted Trip Summary'!G481</f>
        <v>5.4469470082000004</v>
      </c>
      <c r="H483" s="1">
        <f>'Unformatted Trip Summary'!H481</f>
        <v>0.51432747000000001</v>
      </c>
    </row>
    <row r="484" spans="1:8" x14ac:dyDescent="0.25">
      <c r="A484" t="str">
        <f>'Unformatted Trip Summary'!A482</f>
        <v>07 TARANAKI</v>
      </c>
      <c r="B484" t="str">
        <f>'Unformatted Trip Summary'!J482</f>
        <v>2032/33</v>
      </c>
      <c r="C484" t="str">
        <f>'Unformatted Trip Summary'!I482</f>
        <v>Cyclist</v>
      </c>
      <c r="D484">
        <f>'Unformatted Trip Summary'!D482</f>
        <v>45</v>
      </c>
      <c r="E484">
        <f>'Unformatted Trip Summary'!E482</f>
        <v>133</v>
      </c>
      <c r="F484" s="1">
        <f>'Unformatted Trip Summary'!F482</f>
        <v>2.0295711643000001</v>
      </c>
      <c r="G484" s="1">
        <f>'Unformatted Trip Summary'!G482</f>
        <v>5.3855192833999999</v>
      </c>
      <c r="H484" s="1">
        <f>'Unformatted Trip Summary'!H482</f>
        <v>0.51014516239999996</v>
      </c>
    </row>
    <row r="485" spans="1:8" x14ac:dyDescent="0.25">
      <c r="A485" t="str">
        <f>'Unformatted Trip Summary'!A483</f>
        <v>07 TARANAKI</v>
      </c>
      <c r="B485" t="str">
        <f>'Unformatted Trip Summary'!J483</f>
        <v>2037/38</v>
      </c>
      <c r="C485" t="str">
        <f>'Unformatted Trip Summary'!I483</f>
        <v>Cyclist</v>
      </c>
      <c r="D485">
        <f>'Unformatted Trip Summary'!D483</f>
        <v>45</v>
      </c>
      <c r="E485">
        <f>'Unformatted Trip Summary'!E483</f>
        <v>133</v>
      </c>
      <c r="F485" s="1">
        <f>'Unformatted Trip Summary'!F483</f>
        <v>1.9555655027000001</v>
      </c>
      <c r="G485" s="1">
        <f>'Unformatted Trip Summary'!G483</f>
        <v>5.4459820749999999</v>
      </c>
      <c r="H485" s="1">
        <f>'Unformatted Trip Summary'!H483</f>
        <v>0.5128819912</v>
      </c>
    </row>
    <row r="486" spans="1:8" x14ac:dyDescent="0.25">
      <c r="A486" t="str">
        <f>'Unformatted Trip Summary'!A484</f>
        <v>07 TARANAKI</v>
      </c>
      <c r="B486" t="str">
        <f>'Unformatted Trip Summary'!J484</f>
        <v>2042/43</v>
      </c>
      <c r="C486" t="str">
        <f>'Unformatted Trip Summary'!I484</f>
        <v>Cyclist</v>
      </c>
      <c r="D486">
        <f>'Unformatted Trip Summary'!D484</f>
        <v>45</v>
      </c>
      <c r="E486">
        <f>'Unformatted Trip Summary'!E484</f>
        <v>133</v>
      </c>
      <c r="F486" s="1">
        <f>'Unformatted Trip Summary'!F484</f>
        <v>1.8896302406000001</v>
      </c>
      <c r="G486" s="1">
        <f>'Unformatted Trip Summary'!G484</f>
        <v>5.5476818932</v>
      </c>
      <c r="H486" s="1">
        <f>'Unformatted Trip Summary'!H484</f>
        <v>0.51884323669999999</v>
      </c>
    </row>
    <row r="487" spans="1:8" x14ac:dyDescent="0.25">
      <c r="A487" t="str">
        <f>'Unformatted Trip Summary'!A485</f>
        <v>07 TARANAKI</v>
      </c>
      <c r="B487" t="str">
        <f>'Unformatted Trip Summary'!J485</f>
        <v>2012/13</v>
      </c>
      <c r="C487" t="str">
        <f>'Unformatted Trip Summary'!I485</f>
        <v>Light Vehicle Driver</v>
      </c>
      <c r="D487">
        <f>'Unformatted Trip Summary'!D485</f>
        <v>575</v>
      </c>
      <c r="E487">
        <f>'Unformatted Trip Summary'!E485</f>
        <v>4143</v>
      </c>
      <c r="F487" s="1">
        <f>'Unformatted Trip Summary'!F485</f>
        <v>90.801950900999998</v>
      </c>
      <c r="G487" s="1">
        <f>'Unformatted Trip Summary'!G485</f>
        <v>933.36875414999997</v>
      </c>
      <c r="H487" s="1">
        <f>'Unformatted Trip Summary'!H485</f>
        <v>21.205429401</v>
      </c>
    </row>
    <row r="488" spans="1:8" x14ac:dyDescent="0.25">
      <c r="A488" t="str">
        <f>'Unformatted Trip Summary'!A486</f>
        <v>07 TARANAKI</v>
      </c>
      <c r="B488" t="str">
        <f>'Unformatted Trip Summary'!J486</f>
        <v>2017/18</v>
      </c>
      <c r="C488" t="str">
        <f>'Unformatted Trip Summary'!I486</f>
        <v>Light Vehicle Driver</v>
      </c>
      <c r="D488">
        <f>'Unformatted Trip Summary'!D486</f>
        <v>575</v>
      </c>
      <c r="E488">
        <f>'Unformatted Trip Summary'!E486</f>
        <v>4143</v>
      </c>
      <c r="F488" s="1">
        <f>'Unformatted Trip Summary'!F486</f>
        <v>96.544495486000002</v>
      </c>
      <c r="G488" s="1">
        <f>'Unformatted Trip Summary'!G486</f>
        <v>1005.2077748</v>
      </c>
      <c r="H488" s="1">
        <f>'Unformatted Trip Summary'!H486</f>
        <v>22.731107899000001</v>
      </c>
    </row>
    <row r="489" spans="1:8" x14ac:dyDescent="0.25">
      <c r="A489" t="str">
        <f>'Unformatted Trip Summary'!A487</f>
        <v>07 TARANAKI</v>
      </c>
      <c r="B489" t="str">
        <f>'Unformatted Trip Summary'!J487</f>
        <v>2022/23</v>
      </c>
      <c r="C489" t="str">
        <f>'Unformatted Trip Summary'!I487</f>
        <v>Light Vehicle Driver</v>
      </c>
      <c r="D489">
        <f>'Unformatted Trip Summary'!D487</f>
        <v>575</v>
      </c>
      <c r="E489">
        <f>'Unformatted Trip Summary'!E487</f>
        <v>4143</v>
      </c>
      <c r="F489" s="1">
        <f>'Unformatted Trip Summary'!F487</f>
        <v>100.35730082000001</v>
      </c>
      <c r="G489" s="1">
        <f>'Unformatted Trip Summary'!G487</f>
        <v>1051.4597498999999</v>
      </c>
      <c r="H489" s="1">
        <f>'Unformatted Trip Summary'!H487</f>
        <v>23.735088105999999</v>
      </c>
    </row>
    <row r="490" spans="1:8" x14ac:dyDescent="0.25">
      <c r="A490" t="str">
        <f>'Unformatted Trip Summary'!A488</f>
        <v>07 TARANAKI</v>
      </c>
      <c r="B490" t="str">
        <f>'Unformatted Trip Summary'!J488</f>
        <v>2027/28</v>
      </c>
      <c r="C490" t="str">
        <f>'Unformatted Trip Summary'!I488</f>
        <v>Light Vehicle Driver</v>
      </c>
      <c r="D490">
        <f>'Unformatted Trip Summary'!D488</f>
        <v>575</v>
      </c>
      <c r="E490">
        <f>'Unformatted Trip Summary'!E488</f>
        <v>4143</v>
      </c>
      <c r="F490" s="1">
        <f>'Unformatted Trip Summary'!F488</f>
        <v>103.33985337</v>
      </c>
      <c r="G490" s="1">
        <f>'Unformatted Trip Summary'!G488</f>
        <v>1078.6353959999999</v>
      </c>
      <c r="H490" s="1">
        <f>'Unformatted Trip Summary'!H488</f>
        <v>24.429981941000001</v>
      </c>
    </row>
    <row r="491" spans="1:8" x14ac:dyDescent="0.25">
      <c r="A491" t="str">
        <f>'Unformatted Trip Summary'!A489</f>
        <v>07 TARANAKI</v>
      </c>
      <c r="B491" t="str">
        <f>'Unformatted Trip Summary'!J489</f>
        <v>2032/33</v>
      </c>
      <c r="C491" t="str">
        <f>'Unformatted Trip Summary'!I489</f>
        <v>Light Vehicle Driver</v>
      </c>
      <c r="D491">
        <f>'Unformatted Trip Summary'!D489</f>
        <v>575</v>
      </c>
      <c r="E491">
        <f>'Unformatted Trip Summary'!E489</f>
        <v>4143</v>
      </c>
      <c r="F491" s="1">
        <f>'Unformatted Trip Summary'!F489</f>
        <v>104.34847512</v>
      </c>
      <c r="G491" s="1">
        <f>'Unformatted Trip Summary'!G489</f>
        <v>1085.7181313000001</v>
      </c>
      <c r="H491" s="1">
        <f>'Unformatted Trip Summary'!H489</f>
        <v>24.681607252999999</v>
      </c>
    </row>
    <row r="492" spans="1:8" x14ac:dyDescent="0.25">
      <c r="A492" t="str">
        <f>'Unformatted Trip Summary'!A490</f>
        <v>07 TARANAKI</v>
      </c>
      <c r="B492" t="str">
        <f>'Unformatted Trip Summary'!J490</f>
        <v>2037/38</v>
      </c>
      <c r="C492" t="str">
        <f>'Unformatted Trip Summary'!I490</f>
        <v>Light Vehicle Driver</v>
      </c>
      <c r="D492">
        <f>'Unformatted Trip Summary'!D490</f>
        <v>575</v>
      </c>
      <c r="E492">
        <f>'Unformatted Trip Summary'!E490</f>
        <v>4143</v>
      </c>
      <c r="F492" s="1">
        <f>'Unformatted Trip Summary'!F490</f>
        <v>105.06699736</v>
      </c>
      <c r="G492" s="1">
        <f>'Unformatted Trip Summary'!G490</f>
        <v>1102.4151623</v>
      </c>
      <c r="H492" s="1">
        <f>'Unformatted Trip Summary'!H490</f>
        <v>25.013110663999999</v>
      </c>
    </row>
    <row r="493" spans="1:8" x14ac:dyDescent="0.25">
      <c r="A493" t="str">
        <f>'Unformatted Trip Summary'!A491</f>
        <v>07 TARANAKI</v>
      </c>
      <c r="B493" t="str">
        <f>'Unformatted Trip Summary'!J491</f>
        <v>2042/43</v>
      </c>
      <c r="C493" t="str">
        <f>'Unformatted Trip Summary'!I491</f>
        <v>Light Vehicle Driver</v>
      </c>
      <c r="D493">
        <f>'Unformatted Trip Summary'!D491</f>
        <v>575</v>
      </c>
      <c r="E493">
        <f>'Unformatted Trip Summary'!E491</f>
        <v>4143</v>
      </c>
      <c r="F493" s="1">
        <f>'Unformatted Trip Summary'!F491</f>
        <v>105.19878405999999</v>
      </c>
      <c r="G493" s="1">
        <f>'Unformatted Trip Summary'!G491</f>
        <v>1113.9243205</v>
      </c>
      <c r="H493" s="1">
        <f>'Unformatted Trip Summary'!H491</f>
        <v>25.216884839999999</v>
      </c>
    </row>
    <row r="494" spans="1:8" x14ac:dyDescent="0.25">
      <c r="A494" t="str">
        <f>'Unformatted Trip Summary'!A492</f>
        <v>07 TARANAKI</v>
      </c>
      <c r="B494" t="str">
        <f>'Unformatted Trip Summary'!J492</f>
        <v>2012/13</v>
      </c>
      <c r="C494" t="str">
        <f>'Unformatted Trip Summary'!I492</f>
        <v>Light Vehicle Passenger</v>
      </c>
      <c r="D494">
        <f>'Unformatted Trip Summary'!D492</f>
        <v>446</v>
      </c>
      <c r="E494">
        <f>'Unformatted Trip Summary'!E492</f>
        <v>2212</v>
      </c>
      <c r="F494" s="1">
        <f>'Unformatted Trip Summary'!F492</f>
        <v>45.48406773</v>
      </c>
      <c r="G494" s="1">
        <f>'Unformatted Trip Summary'!G492</f>
        <v>656.25872372000003</v>
      </c>
      <c r="H494" s="1">
        <f>'Unformatted Trip Summary'!H492</f>
        <v>13.125178352000001</v>
      </c>
    </row>
    <row r="495" spans="1:8" x14ac:dyDescent="0.25">
      <c r="A495" t="str">
        <f>'Unformatted Trip Summary'!A493</f>
        <v>07 TARANAKI</v>
      </c>
      <c r="B495" t="str">
        <f>'Unformatted Trip Summary'!J493</f>
        <v>2017/18</v>
      </c>
      <c r="C495" t="str">
        <f>'Unformatted Trip Summary'!I493</f>
        <v>Light Vehicle Passenger</v>
      </c>
      <c r="D495">
        <f>'Unformatted Trip Summary'!D493</f>
        <v>446</v>
      </c>
      <c r="E495">
        <f>'Unformatted Trip Summary'!E493</f>
        <v>2212</v>
      </c>
      <c r="F495" s="1">
        <f>'Unformatted Trip Summary'!F493</f>
        <v>45.646355010999997</v>
      </c>
      <c r="G495" s="1">
        <f>'Unformatted Trip Summary'!G493</f>
        <v>654.53776778999998</v>
      </c>
      <c r="H495" s="1">
        <f>'Unformatted Trip Summary'!H493</f>
        <v>13.115308556</v>
      </c>
    </row>
    <row r="496" spans="1:8" x14ac:dyDescent="0.25">
      <c r="A496" t="str">
        <f>'Unformatted Trip Summary'!A494</f>
        <v>07 TARANAKI</v>
      </c>
      <c r="B496" t="str">
        <f>'Unformatted Trip Summary'!J494</f>
        <v>2022/23</v>
      </c>
      <c r="C496" t="str">
        <f>'Unformatted Trip Summary'!I494</f>
        <v>Light Vehicle Passenger</v>
      </c>
      <c r="D496">
        <f>'Unformatted Trip Summary'!D494</f>
        <v>446</v>
      </c>
      <c r="E496">
        <f>'Unformatted Trip Summary'!E494</f>
        <v>2212</v>
      </c>
      <c r="F496" s="1">
        <f>'Unformatted Trip Summary'!F494</f>
        <v>45.099895337</v>
      </c>
      <c r="G496" s="1">
        <f>'Unformatted Trip Summary'!G494</f>
        <v>641.56447295999999</v>
      </c>
      <c r="H496" s="1">
        <f>'Unformatted Trip Summary'!H494</f>
        <v>12.895918591999999</v>
      </c>
    </row>
    <row r="497" spans="1:8" x14ac:dyDescent="0.25">
      <c r="A497" t="str">
        <f>'Unformatted Trip Summary'!A495</f>
        <v>07 TARANAKI</v>
      </c>
      <c r="B497" t="str">
        <f>'Unformatted Trip Summary'!J495</f>
        <v>2027/28</v>
      </c>
      <c r="C497" t="str">
        <f>'Unformatted Trip Summary'!I495</f>
        <v>Light Vehicle Passenger</v>
      </c>
      <c r="D497">
        <f>'Unformatted Trip Summary'!D495</f>
        <v>446</v>
      </c>
      <c r="E497">
        <f>'Unformatted Trip Summary'!E495</f>
        <v>2212</v>
      </c>
      <c r="F497" s="1">
        <f>'Unformatted Trip Summary'!F495</f>
        <v>44.699069059999999</v>
      </c>
      <c r="G497" s="1">
        <f>'Unformatted Trip Summary'!G495</f>
        <v>635.29010734999997</v>
      </c>
      <c r="H497" s="1">
        <f>'Unformatted Trip Summary'!H495</f>
        <v>12.800680613999999</v>
      </c>
    </row>
    <row r="498" spans="1:8" x14ac:dyDescent="0.25">
      <c r="A498" t="str">
        <f>'Unformatted Trip Summary'!A496</f>
        <v>07 TARANAKI</v>
      </c>
      <c r="B498" t="str">
        <f>'Unformatted Trip Summary'!J496</f>
        <v>2032/33</v>
      </c>
      <c r="C498" t="str">
        <f>'Unformatted Trip Summary'!I496</f>
        <v>Light Vehicle Passenger</v>
      </c>
      <c r="D498">
        <f>'Unformatted Trip Summary'!D496</f>
        <v>446</v>
      </c>
      <c r="E498">
        <f>'Unformatted Trip Summary'!E496</f>
        <v>2212</v>
      </c>
      <c r="F498" s="1">
        <f>'Unformatted Trip Summary'!F496</f>
        <v>44.335198783999999</v>
      </c>
      <c r="G498" s="1">
        <f>'Unformatted Trip Summary'!G496</f>
        <v>631.10600166999996</v>
      </c>
      <c r="H498" s="1">
        <f>'Unformatted Trip Summary'!H496</f>
        <v>12.725479131</v>
      </c>
    </row>
    <row r="499" spans="1:8" x14ac:dyDescent="0.25">
      <c r="A499" t="str">
        <f>'Unformatted Trip Summary'!A497</f>
        <v>07 TARANAKI</v>
      </c>
      <c r="B499" t="str">
        <f>'Unformatted Trip Summary'!J497</f>
        <v>2037/38</v>
      </c>
      <c r="C499" t="str">
        <f>'Unformatted Trip Summary'!I497</f>
        <v>Light Vehicle Passenger</v>
      </c>
      <c r="D499">
        <f>'Unformatted Trip Summary'!D497</f>
        <v>446</v>
      </c>
      <c r="E499">
        <f>'Unformatted Trip Summary'!E497</f>
        <v>2212</v>
      </c>
      <c r="F499" s="1">
        <f>'Unformatted Trip Summary'!F497</f>
        <v>43.716073639000001</v>
      </c>
      <c r="G499" s="1">
        <f>'Unformatted Trip Summary'!G497</f>
        <v>619.95108234999998</v>
      </c>
      <c r="H499" s="1">
        <f>'Unformatted Trip Summary'!H497</f>
        <v>12.527319645</v>
      </c>
    </row>
    <row r="500" spans="1:8" x14ac:dyDescent="0.25">
      <c r="A500" t="str">
        <f>'Unformatted Trip Summary'!A498</f>
        <v>07 TARANAKI</v>
      </c>
      <c r="B500" t="str">
        <f>'Unformatted Trip Summary'!J498</f>
        <v>2042/43</v>
      </c>
      <c r="C500" t="str">
        <f>'Unformatted Trip Summary'!I498</f>
        <v>Light Vehicle Passenger</v>
      </c>
      <c r="D500">
        <f>'Unformatted Trip Summary'!D498</f>
        <v>446</v>
      </c>
      <c r="E500">
        <f>'Unformatted Trip Summary'!E498</f>
        <v>2212</v>
      </c>
      <c r="F500" s="1">
        <f>'Unformatted Trip Summary'!F498</f>
        <v>42.864546863000001</v>
      </c>
      <c r="G500" s="1">
        <f>'Unformatted Trip Summary'!G498</f>
        <v>605.92168363999997</v>
      </c>
      <c r="H500" s="1">
        <f>'Unformatted Trip Summary'!H498</f>
        <v>12.267550246000001</v>
      </c>
    </row>
    <row r="501" spans="1:8" x14ac:dyDescent="0.25">
      <c r="A501" t="str">
        <f>'Unformatted Trip Summary'!A499</f>
        <v>07 TARANAKI</v>
      </c>
      <c r="B501" t="str">
        <f>'Unformatted Trip Summary'!J499</f>
        <v>2012/13</v>
      </c>
      <c r="C501" t="str">
        <f>'Unformatted Trip Summary'!I499</f>
        <v>Taxi/Vehicle Share</v>
      </c>
      <c r="D501">
        <f>'Unformatted Trip Summary'!D499</f>
        <v>10</v>
      </c>
      <c r="E501">
        <f>'Unformatted Trip Summary'!E499</f>
        <v>18</v>
      </c>
      <c r="F501" s="1">
        <f>'Unformatted Trip Summary'!F499</f>
        <v>0.56194422089999996</v>
      </c>
      <c r="G501" s="1">
        <f>'Unformatted Trip Summary'!G499</f>
        <v>1.1335038904000001</v>
      </c>
      <c r="H501" s="1">
        <f>'Unformatted Trip Summary'!H499</f>
        <v>0.10005985589999999</v>
      </c>
    </row>
    <row r="502" spans="1:8" x14ac:dyDescent="0.25">
      <c r="A502" t="str">
        <f>'Unformatted Trip Summary'!A500</f>
        <v>07 TARANAKI</v>
      </c>
      <c r="B502" t="str">
        <f>'Unformatted Trip Summary'!J500</f>
        <v>2017/18</v>
      </c>
      <c r="C502" t="str">
        <f>'Unformatted Trip Summary'!I500</f>
        <v>Taxi/Vehicle Share</v>
      </c>
      <c r="D502">
        <f>'Unformatted Trip Summary'!D500</f>
        <v>10</v>
      </c>
      <c r="E502">
        <f>'Unformatted Trip Summary'!E500</f>
        <v>18</v>
      </c>
      <c r="F502" s="1">
        <f>'Unformatted Trip Summary'!F500</f>
        <v>0.67532584159999998</v>
      </c>
      <c r="G502" s="1">
        <f>'Unformatted Trip Summary'!G500</f>
        <v>1.3664527943</v>
      </c>
      <c r="H502" s="1">
        <f>'Unformatted Trip Summary'!H500</f>
        <v>0.1211103456</v>
      </c>
    </row>
    <row r="503" spans="1:8" x14ac:dyDescent="0.25">
      <c r="A503" t="str">
        <f>'Unformatted Trip Summary'!A501</f>
        <v>07 TARANAKI</v>
      </c>
      <c r="B503" t="str">
        <f>'Unformatted Trip Summary'!J501</f>
        <v>2022/23</v>
      </c>
      <c r="C503" t="str">
        <f>'Unformatted Trip Summary'!I501</f>
        <v>Taxi/Vehicle Share</v>
      </c>
      <c r="D503">
        <f>'Unformatted Trip Summary'!D501</f>
        <v>10</v>
      </c>
      <c r="E503">
        <f>'Unformatted Trip Summary'!E501</f>
        <v>18</v>
      </c>
      <c r="F503" s="1">
        <f>'Unformatted Trip Summary'!F501</f>
        <v>0.73371922720000005</v>
      </c>
      <c r="G503" s="1">
        <f>'Unformatted Trip Summary'!G501</f>
        <v>1.4970564316999999</v>
      </c>
      <c r="H503" s="1">
        <f>'Unformatted Trip Summary'!H501</f>
        <v>0.13195574369999999</v>
      </c>
    </row>
    <row r="504" spans="1:8" x14ac:dyDescent="0.25">
      <c r="A504" t="str">
        <f>'Unformatted Trip Summary'!A502</f>
        <v>07 TARANAKI</v>
      </c>
      <c r="B504" t="str">
        <f>'Unformatted Trip Summary'!J502</f>
        <v>2027/28</v>
      </c>
      <c r="C504" t="str">
        <f>'Unformatted Trip Summary'!I502</f>
        <v>Taxi/Vehicle Share</v>
      </c>
      <c r="D504">
        <f>'Unformatted Trip Summary'!D502</f>
        <v>10</v>
      </c>
      <c r="E504">
        <f>'Unformatted Trip Summary'!E502</f>
        <v>18</v>
      </c>
      <c r="F504" s="1">
        <f>'Unformatted Trip Summary'!F502</f>
        <v>0.79107644219999995</v>
      </c>
      <c r="G504" s="1">
        <f>'Unformatted Trip Summary'!G502</f>
        <v>1.6301704101000001</v>
      </c>
      <c r="H504" s="1">
        <f>'Unformatted Trip Summary'!H502</f>
        <v>0.14285123250000001</v>
      </c>
    </row>
    <row r="505" spans="1:8" x14ac:dyDescent="0.25">
      <c r="A505" t="str">
        <f>'Unformatted Trip Summary'!A503</f>
        <v>07 TARANAKI</v>
      </c>
      <c r="B505" t="str">
        <f>'Unformatted Trip Summary'!J503</f>
        <v>2032/33</v>
      </c>
      <c r="C505" t="str">
        <f>'Unformatted Trip Summary'!I503</f>
        <v>Taxi/Vehicle Share</v>
      </c>
      <c r="D505">
        <f>'Unformatted Trip Summary'!D503</f>
        <v>10</v>
      </c>
      <c r="E505">
        <f>'Unformatted Trip Summary'!E503</f>
        <v>18</v>
      </c>
      <c r="F505" s="1">
        <f>'Unformatted Trip Summary'!F503</f>
        <v>0.80320683739999998</v>
      </c>
      <c r="G505" s="1">
        <f>'Unformatted Trip Summary'!G503</f>
        <v>1.6729183734999999</v>
      </c>
      <c r="H505" s="1">
        <f>'Unformatted Trip Summary'!H503</f>
        <v>0.1462277857</v>
      </c>
    </row>
    <row r="506" spans="1:8" x14ac:dyDescent="0.25">
      <c r="A506" t="str">
        <f>'Unformatted Trip Summary'!A504</f>
        <v>07 TARANAKI</v>
      </c>
      <c r="B506" t="str">
        <f>'Unformatted Trip Summary'!J504</f>
        <v>2037/38</v>
      </c>
      <c r="C506" t="str">
        <f>'Unformatted Trip Summary'!I504</f>
        <v>Taxi/Vehicle Share</v>
      </c>
      <c r="D506">
        <f>'Unformatted Trip Summary'!D504</f>
        <v>10</v>
      </c>
      <c r="E506">
        <f>'Unformatted Trip Summary'!E504</f>
        <v>18</v>
      </c>
      <c r="F506" s="1">
        <f>'Unformatted Trip Summary'!F504</f>
        <v>0.80582034920000001</v>
      </c>
      <c r="G506" s="1">
        <f>'Unformatted Trip Summary'!G504</f>
        <v>1.7017684255000001</v>
      </c>
      <c r="H506" s="1">
        <f>'Unformatted Trip Summary'!H504</f>
        <v>0.14691548679999999</v>
      </c>
    </row>
    <row r="507" spans="1:8" x14ac:dyDescent="0.25">
      <c r="A507" t="str">
        <f>'Unformatted Trip Summary'!A505</f>
        <v>07 TARANAKI</v>
      </c>
      <c r="B507" t="str">
        <f>'Unformatted Trip Summary'!J505</f>
        <v>2042/43</v>
      </c>
      <c r="C507" t="str">
        <f>'Unformatted Trip Summary'!I505</f>
        <v>Taxi/Vehicle Share</v>
      </c>
      <c r="D507">
        <f>'Unformatted Trip Summary'!D505</f>
        <v>10</v>
      </c>
      <c r="E507">
        <f>'Unformatted Trip Summary'!E505</f>
        <v>18</v>
      </c>
      <c r="F507" s="1">
        <f>'Unformatted Trip Summary'!F505</f>
        <v>0.80199921360000004</v>
      </c>
      <c r="G507" s="1">
        <f>'Unformatted Trip Summary'!G505</f>
        <v>1.7184032031000001</v>
      </c>
      <c r="H507" s="1">
        <f>'Unformatted Trip Summary'!H505</f>
        <v>0.14645045810000001</v>
      </c>
    </row>
    <row r="508" spans="1:8" x14ac:dyDescent="0.25">
      <c r="A508" t="str">
        <f>'Unformatted Trip Summary'!A506</f>
        <v>07 TARANAKI</v>
      </c>
      <c r="B508" t="str">
        <f>'Unformatted Trip Summary'!J506</f>
        <v>2012/13</v>
      </c>
      <c r="C508" t="str">
        <f>'Unformatted Trip Summary'!I506</f>
        <v>Motorcyclist</v>
      </c>
      <c r="D508">
        <f>'Unformatted Trip Summary'!D506</f>
        <v>14</v>
      </c>
      <c r="E508">
        <f>'Unformatted Trip Summary'!E506</f>
        <v>51</v>
      </c>
      <c r="F508" s="1">
        <f>'Unformatted Trip Summary'!F506</f>
        <v>1.091812341</v>
      </c>
      <c r="G508" s="1">
        <f>'Unformatted Trip Summary'!G506</f>
        <v>7.0100687938000004</v>
      </c>
      <c r="H508" s="1">
        <f>'Unformatted Trip Summary'!H506</f>
        <v>0.25001806910000002</v>
      </c>
    </row>
    <row r="509" spans="1:8" x14ac:dyDescent="0.25">
      <c r="A509" t="str">
        <f>'Unformatted Trip Summary'!A507</f>
        <v>07 TARANAKI</v>
      </c>
      <c r="B509" t="str">
        <f>'Unformatted Trip Summary'!J507</f>
        <v>2017/18</v>
      </c>
      <c r="C509" t="str">
        <f>'Unformatted Trip Summary'!I507</f>
        <v>Motorcyclist</v>
      </c>
      <c r="D509">
        <f>'Unformatted Trip Summary'!D507</f>
        <v>14</v>
      </c>
      <c r="E509">
        <f>'Unformatted Trip Summary'!E507</f>
        <v>51</v>
      </c>
      <c r="F509" s="1">
        <f>'Unformatted Trip Summary'!F507</f>
        <v>1.1454847770000001</v>
      </c>
      <c r="G509" s="1">
        <f>'Unformatted Trip Summary'!G507</f>
        <v>7.2801277295000002</v>
      </c>
      <c r="H509" s="1">
        <f>'Unformatted Trip Summary'!H507</f>
        <v>0.25975179180000002</v>
      </c>
    </row>
    <row r="510" spans="1:8" x14ac:dyDescent="0.25">
      <c r="A510" t="str">
        <f>'Unformatted Trip Summary'!A508</f>
        <v>07 TARANAKI</v>
      </c>
      <c r="B510" t="str">
        <f>'Unformatted Trip Summary'!J508</f>
        <v>2022/23</v>
      </c>
      <c r="C510" t="str">
        <f>'Unformatted Trip Summary'!I508</f>
        <v>Motorcyclist</v>
      </c>
      <c r="D510">
        <f>'Unformatted Trip Summary'!D508</f>
        <v>14</v>
      </c>
      <c r="E510">
        <f>'Unformatted Trip Summary'!E508</f>
        <v>51</v>
      </c>
      <c r="F510" s="1">
        <f>'Unformatted Trip Summary'!F508</f>
        <v>1.1336116976999999</v>
      </c>
      <c r="G510" s="1">
        <f>'Unformatted Trip Summary'!G508</f>
        <v>7.3798361622000002</v>
      </c>
      <c r="H510" s="1">
        <f>'Unformatted Trip Summary'!H508</f>
        <v>0.26352924189999999</v>
      </c>
    </row>
    <row r="511" spans="1:8" x14ac:dyDescent="0.25">
      <c r="A511" t="str">
        <f>'Unformatted Trip Summary'!A509</f>
        <v>07 TARANAKI</v>
      </c>
      <c r="B511" t="str">
        <f>'Unformatted Trip Summary'!J509</f>
        <v>2027/28</v>
      </c>
      <c r="C511" t="str">
        <f>'Unformatted Trip Summary'!I509</f>
        <v>Motorcyclist</v>
      </c>
      <c r="D511">
        <f>'Unformatted Trip Summary'!D509</f>
        <v>14</v>
      </c>
      <c r="E511">
        <f>'Unformatted Trip Summary'!E509</f>
        <v>51</v>
      </c>
      <c r="F511" s="1">
        <f>'Unformatted Trip Summary'!F509</f>
        <v>1.0611769563</v>
      </c>
      <c r="G511" s="1">
        <f>'Unformatted Trip Summary'!G509</f>
        <v>7.3621526298999997</v>
      </c>
      <c r="H511" s="1">
        <f>'Unformatted Trip Summary'!H509</f>
        <v>0.2600842042</v>
      </c>
    </row>
    <row r="512" spans="1:8" x14ac:dyDescent="0.25">
      <c r="A512" t="str">
        <f>'Unformatted Trip Summary'!A510</f>
        <v>07 TARANAKI</v>
      </c>
      <c r="B512" t="str">
        <f>'Unformatted Trip Summary'!J510</f>
        <v>2032/33</v>
      </c>
      <c r="C512" t="str">
        <f>'Unformatted Trip Summary'!I510</f>
        <v>Motorcyclist</v>
      </c>
      <c r="D512">
        <f>'Unformatted Trip Summary'!D510</f>
        <v>14</v>
      </c>
      <c r="E512">
        <f>'Unformatted Trip Summary'!E510</f>
        <v>51</v>
      </c>
      <c r="F512" s="1">
        <f>'Unformatted Trip Summary'!F510</f>
        <v>0.99988484040000003</v>
      </c>
      <c r="G512" s="1">
        <f>'Unformatted Trip Summary'!G510</f>
        <v>7.0816585221999997</v>
      </c>
      <c r="H512" s="1">
        <f>'Unformatted Trip Summary'!H510</f>
        <v>0.25323412960000002</v>
      </c>
    </row>
    <row r="513" spans="1:8" x14ac:dyDescent="0.25">
      <c r="A513" t="str">
        <f>'Unformatted Trip Summary'!A511</f>
        <v>07 TARANAKI</v>
      </c>
      <c r="B513" t="str">
        <f>'Unformatted Trip Summary'!J511</f>
        <v>2037/38</v>
      </c>
      <c r="C513" t="str">
        <f>'Unformatted Trip Summary'!I511</f>
        <v>Motorcyclist</v>
      </c>
      <c r="D513">
        <f>'Unformatted Trip Summary'!D511</f>
        <v>14</v>
      </c>
      <c r="E513">
        <f>'Unformatted Trip Summary'!E511</f>
        <v>51</v>
      </c>
      <c r="F513" s="1">
        <f>'Unformatted Trip Summary'!F511</f>
        <v>0.97634664900000001</v>
      </c>
      <c r="G513" s="1">
        <f>'Unformatted Trip Summary'!G511</f>
        <v>6.7771499517000002</v>
      </c>
      <c r="H513" s="1">
        <f>'Unformatted Trip Summary'!H511</f>
        <v>0.2476314322</v>
      </c>
    </row>
    <row r="514" spans="1:8" x14ac:dyDescent="0.25">
      <c r="A514" t="str">
        <f>'Unformatted Trip Summary'!A512</f>
        <v>07 TARANAKI</v>
      </c>
      <c r="B514" t="str">
        <f>'Unformatted Trip Summary'!J512</f>
        <v>2042/43</v>
      </c>
      <c r="C514" t="str">
        <f>'Unformatted Trip Summary'!I512</f>
        <v>Motorcyclist</v>
      </c>
      <c r="D514">
        <f>'Unformatted Trip Summary'!D512</f>
        <v>14</v>
      </c>
      <c r="E514">
        <f>'Unformatted Trip Summary'!E512</f>
        <v>51</v>
      </c>
      <c r="F514" s="1">
        <f>'Unformatted Trip Summary'!F512</f>
        <v>0.94675415409999997</v>
      </c>
      <c r="G514" s="1">
        <f>'Unformatted Trip Summary'!G512</f>
        <v>6.4570847358999997</v>
      </c>
      <c r="H514" s="1">
        <f>'Unformatted Trip Summary'!H512</f>
        <v>0.24167250270000001</v>
      </c>
    </row>
    <row r="515" spans="1:8" x14ac:dyDescent="0.25">
      <c r="A515" t="str">
        <f>'Unformatted Trip Summary'!A513</f>
        <v>07 TARANAKI</v>
      </c>
      <c r="B515" t="str">
        <f>'Unformatted Trip Summary'!J513</f>
        <v>2012/13</v>
      </c>
      <c r="C515" t="str">
        <f>'Unformatted Trip Summary'!I513</f>
        <v>Local Train</v>
      </c>
      <c r="D515">
        <f>'Unformatted Trip Summary'!D513</f>
        <v>1</v>
      </c>
      <c r="E515">
        <f>'Unformatted Trip Summary'!E513</f>
        <v>2</v>
      </c>
      <c r="F515" s="1">
        <f>'Unformatted Trip Summary'!F513</f>
        <v>5.3266318100000001E-2</v>
      </c>
      <c r="G515" s="1">
        <f>'Unformatted Trip Summary'!G513</f>
        <v>0.36455468079999997</v>
      </c>
      <c r="H515" s="1">
        <f>'Unformatted Trip Summary'!H513</f>
        <v>8.8777196999999999E-3</v>
      </c>
    </row>
    <row r="516" spans="1:8" x14ac:dyDescent="0.25">
      <c r="A516" t="str">
        <f>'Unformatted Trip Summary'!A514</f>
        <v>07 TARANAKI</v>
      </c>
      <c r="B516" t="str">
        <f>'Unformatted Trip Summary'!J514</f>
        <v>2017/18</v>
      </c>
      <c r="C516" t="str">
        <f>'Unformatted Trip Summary'!I514</f>
        <v>Local Train</v>
      </c>
      <c r="D516">
        <f>'Unformatted Trip Summary'!D514</f>
        <v>1</v>
      </c>
      <c r="E516">
        <f>'Unformatted Trip Summary'!E514</f>
        <v>2</v>
      </c>
      <c r="F516" s="1">
        <f>'Unformatted Trip Summary'!F514</f>
        <v>5.1328161800000001E-2</v>
      </c>
      <c r="G516" s="1">
        <f>'Unformatted Trip Summary'!G514</f>
        <v>0.35128993920000001</v>
      </c>
      <c r="H516" s="1">
        <f>'Unformatted Trip Summary'!H514</f>
        <v>8.5546935999999997E-3</v>
      </c>
    </row>
    <row r="517" spans="1:8" x14ac:dyDescent="0.25">
      <c r="A517" t="str">
        <f>'Unformatted Trip Summary'!A515</f>
        <v>07 TARANAKI</v>
      </c>
      <c r="B517" t="str">
        <f>'Unformatted Trip Summary'!J515</f>
        <v>2022/23</v>
      </c>
      <c r="C517" t="str">
        <f>'Unformatted Trip Summary'!I515</f>
        <v>Local Train</v>
      </c>
      <c r="D517">
        <f>'Unformatted Trip Summary'!D515</f>
        <v>1</v>
      </c>
      <c r="E517">
        <f>'Unformatted Trip Summary'!E515</f>
        <v>2</v>
      </c>
      <c r="F517" s="1">
        <f>'Unformatted Trip Summary'!F515</f>
        <v>4.5856063000000002E-2</v>
      </c>
      <c r="G517" s="1">
        <f>'Unformatted Trip Summary'!G515</f>
        <v>0.31383889539999998</v>
      </c>
      <c r="H517" s="1">
        <f>'Unformatted Trip Summary'!H515</f>
        <v>7.6426771999999997E-3</v>
      </c>
    </row>
    <row r="518" spans="1:8" x14ac:dyDescent="0.25">
      <c r="A518" t="str">
        <f>'Unformatted Trip Summary'!A516</f>
        <v>07 TARANAKI</v>
      </c>
      <c r="B518" t="str">
        <f>'Unformatted Trip Summary'!J516</f>
        <v>2027/28</v>
      </c>
      <c r="C518" t="str">
        <f>'Unformatted Trip Summary'!I516</f>
        <v>Local Train</v>
      </c>
      <c r="D518">
        <f>'Unformatted Trip Summary'!D516</f>
        <v>1</v>
      </c>
      <c r="E518">
        <f>'Unformatted Trip Summary'!E516</f>
        <v>2</v>
      </c>
      <c r="F518" s="1">
        <f>'Unformatted Trip Summary'!F516</f>
        <v>4.4473716599999998E-2</v>
      </c>
      <c r="G518" s="1">
        <f>'Unformatted Trip Summary'!G516</f>
        <v>0.3043781163</v>
      </c>
      <c r="H518" s="1">
        <f>'Unformatted Trip Summary'!H516</f>
        <v>7.4122861000000002E-3</v>
      </c>
    </row>
    <row r="519" spans="1:8" x14ac:dyDescent="0.25">
      <c r="A519" t="str">
        <f>'Unformatted Trip Summary'!A517</f>
        <v>07 TARANAKI</v>
      </c>
      <c r="B519" t="str">
        <f>'Unformatted Trip Summary'!J517</f>
        <v>2032/33</v>
      </c>
      <c r="C519" t="str">
        <f>'Unformatted Trip Summary'!I517</f>
        <v>Local Train</v>
      </c>
      <c r="D519">
        <f>'Unformatted Trip Summary'!D517</f>
        <v>1</v>
      </c>
      <c r="E519">
        <f>'Unformatted Trip Summary'!E517</f>
        <v>2</v>
      </c>
      <c r="F519" s="1">
        <f>'Unformatted Trip Summary'!F517</f>
        <v>4.8385431700000002E-2</v>
      </c>
      <c r="G519" s="1">
        <f>'Unformatted Trip Summary'!G517</f>
        <v>0.33114989449999999</v>
      </c>
      <c r="H519" s="1">
        <f>'Unformatted Trip Summary'!H517</f>
        <v>8.0642386000000007E-3</v>
      </c>
    </row>
    <row r="520" spans="1:8" x14ac:dyDescent="0.25">
      <c r="A520" t="str">
        <f>'Unformatted Trip Summary'!A518</f>
        <v>07 TARANAKI</v>
      </c>
      <c r="B520" t="str">
        <f>'Unformatted Trip Summary'!J518</f>
        <v>2037/38</v>
      </c>
      <c r="C520" t="str">
        <f>'Unformatted Trip Summary'!I518</f>
        <v>Local Train</v>
      </c>
      <c r="D520">
        <f>'Unformatted Trip Summary'!D518</f>
        <v>1</v>
      </c>
      <c r="E520">
        <f>'Unformatted Trip Summary'!E518</f>
        <v>2</v>
      </c>
      <c r="F520" s="1">
        <f>'Unformatted Trip Summary'!F518</f>
        <v>5.6064219999999998E-2</v>
      </c>
      <c r="G520" s="1">
        <f>'Unformatted Trip Summary'!G518</f>
        <v>0.38370352159999999</v>
      </c>
      <c r="H520" s="1">
        <f>'Unformatted Trip Summary'!H518</f>
        <v>9.3440367000000007E-3</v>
      </c>
    </row>
    <row r="521" spans="1:8" x14ac:dyDescent="0.25">
      <c r="A521" t="str">
        <f>'Unformatted Trip Summary'!A519</f>
        <v>07 TARANAKI</v>
      </c>
      <c r="B521" t="str">
        <f>'Unformatted Trip Summary'!J519</f>
        <v>2042/43</v>
      </c>
      <c r="C521" t="str">
        <f>'Unformatted Trip Summary'!I519</f>
        <v>Local Train</v>
      </c>
      <c r="D521">
        <f>'Unformatted Trip Summary'!D519</f>
        <v>1</v>
      </c>
      <c r="E521">
        <f>'Unformatted Trip Summary'!E519</f>
        <v>2</v>
      </c>
      <c r="F521" s="1">
        <f>'Unformatted Trip Summary'!F519</f>
        <v>6.3376737899999994E-2</v>
      </c>
      <c r="G521" s="1">
        <f>'Unformatted Trip Summary'!G519</f>
        <v>0.43375039389999998</v>
      </c>
      <c r="H521" s="1">
        <f>'Unformatted Trip Summary'!H519</f>
        <v>1.0562789600000001E-2</v>
      </c>
    </row>
    <row r="522" spans="1:8" x14ac:dyDescent="0.25">
      <c r="A522" t="str">
        <f>'Unformatted Trip Summary'!A520</f>
        <v>07 TARANAKI</v>
      </c>
      <c r="B522" t="str">
        <f>'Unformatted Trip Summary'!J520</f>
        <v>2012/13</v>
      </c>
      <c r="C522" t="str">
        <f>'Unformatted Trip Summary'!I520</f>
        <v>Local Bus</v>
      </c>
      <c r="D522">
        <f>'Unformatted Trip Summary'!D520</f>
        <v>22</v>
      </c>
      <c r="E522">
        <f>'Unformatted Trip Summary'!E520</f>
        <v>54</v>
      </c>
      <c r="F522" s="1">
        <f>'Unformatted Trip Summary'!F520</f>
        <v>1.2787514622</v>
      </c>
      <c r="G522" s="1">
        <f>'Unformatted Trip Summary'!G520</f>
        <v>14.084735078</v>
      </c>
      <c r="H522" s="1">
        <f>'Unformatted Trip Summary'!H520</f>
        <v>0.4632962336</v>
      </c>
    </row>
    <row r="523" spans="1:8" x14ac:dyDescent="0.25">
      <c r="A523" t="str">
        <f>'Unformatted Trip Summary'!A521</f>
        <v>07 TARANAKI</v>
      </c>
      <c r="B523" t="str">
        <f>'Unformatted Trip Summary'!J521</f>
        <v>2017/18</v>
      </c>
      <c r="C523" t="str">
        <f>'Unformatted Trip Summary'!I521</f>
        <v>Local Bus</v>
      </c>
      <c r="D523">
        <f>'Unformatted Trip Summary'!D521</f>
        <v>22</v>
      </c>
      <c r="E523">
        <f>'Unformatted Trip Summary'!E521</f>
        <v>54</v>
      </c>
      <c r="F523" s="1">
        <f>'Unformatted Trip Summary'!F521</f>
        <v>1.3054492605000001</v>
      </c>
      <c r="G523" s="1">
        <f>'Unformatted Trip Summary'!G521</f>
        <v>15.051061588</v>
      </c>
      <c r="H523" s="1">
        <f>'Unformatted Trip Summary'!H521</f>
        <v>0.46992084690000002</v>
      </c>
    </row>
    <row r="524" spans="1:8" x14ac:dyDescent="0.25">
      <c r="A524" t="str">
        <f>'Unformatted Trip Summary'!A522</f>
        <v>07 TARANAKI</v>
      </c>
      <c r="B524" t="str">
        <f>'Unformatted Trip Summary'!J522</f>
        <v>2022/23</v>
      </c>
      <c r="C524" t="str">
        <f>'Unformatted Trip Summary'!I522</f>
        <v>Local Bus</v>
      </c>
      <c r="D524">
        <f>'Unformatted Trip Summary'!D522</f>
        <v>22</v>
      </c>
      <c r="E524">
        <f>'Unformatted Trip Summary'!E522</f>
        <v>54</v>
      </c>
      <c r="F524" s="1">
        <f>'Unformatted Trip Summary'!F522</f>
        <v>1.3057410854</v>
      </c>
      <c r="G524" s="1">
        <f>'Unformatted Trip Summary'!G522</f>
        <v>15.64016335</v>
      </c>
      <c r="H524" s="1">
        <f>'Unformatted Trip Summary'!H522</f>
        <v>0.46911211520000001</v>
      </c>
    </row>
    <row r="525" spans="1:8" x14ac:dyDescent="0.25">
      <c r="A525" t="str">
        <f>'Unformatted Trip Summary'!A523</f>
        <v>07 TARANAKI</v>
      </c>
      <c r="B525" t="str">
        <f>'Unformatted Trip Summary'!J523</f>
        <v>2027/28</v>
      </c>
      <c r="C525" t="str">
        <f>'Unformatted Trip Summary'!I523</f>
        <v>Local Bus</v>
      </c>
      <c r="D525">
        <f>'Unformatted Trip Summary'!D523</f>
        <v>22</v>
      </c>
      <c r="E525">
        <f>'Unformatted Trip Summary'!E523</f>
        <v>54</v>
      </c>
      <c r="F525" s="1">
        <f>'Unformatted Trip Summary'!F523</f>
        <v>1.2753849182000001</v>
      </c>
      <c r="G525" s="1">
        <f>'Unformatted Trip Summary'!G523</f>
        <v>15.545292867000001</v>
      </c>
      <c r="H525" s="1">
        <f>'Unformatted Trip Summary'!H523</f>
        <v>0.45844926000000003</v>
      </c>
    </row>
    <row r="526" spans="1:8" x14ac:dyDescent="0.25">
      <c r="A526" t="str">
        <f>'Unformatted Trip Summary'!A524</f>
        <v>07 TARANAKI</v>
      </c>
      <c r="B526" t="str">
        <f>'Unformatted Trip Summary'!J524</f>
        <v>2032/33</v>
      </c>
      <c r="C526" t="str">
        <f>'Unformatted Trip Summary'!I524</f>
        <v>Local Bus</v>
      </c>
      <c r="D526">
        <f>'Unformatted Trip Summary'!D524</f>
        <v>22</v>
      </c>
      <c r="E526">
        <f>'Unformatted Trip Summary'!E524</f>
        <v>54</v>
      </c>
      <c r="F526" s="1">
        <f>'Unformatted Trip Summary'!F524</f>
        <v>1.2267417540000001</v>
      </c>
      <c r="G526" s="1">
        <f>'Unformatted Trip Summary'!G524</f>
        <v>15.222023061</v>
      </c>
      <c r="H526" s="1">
        <f>'Unformatted Trip Summary'!H524</f>
        <v>0.44235985880000001</v>
      </c>
    </row>
    <row r="527" spans="1:8" x14ac:dyDescent="0.25">
      <c r="A527" t="str">
        <f>'Unformatted Trip Summary'!A525</f>
        <v>07 TARANAKI</v>
      </c>
      <c r="B527" t="str">
        <f>'Unformatted Trip Summary'!J525</f>
        <v>2037/38</v>
      </c>
      <c r="C527" t="str">
        <f>'Unformatted Trip Summary'!I525</f>
        <v>Local Bus</v>
      </c>
      <c r="D527">
        <f>'Unformatted Trip Summary'!D525</f>
        <v>22</v>
      </c>
      <c r="E527">
        <f>'Unformatted Trip Summary'!E525</f>
        <v>54</v>
      </c>
      <c r="F527" s="1">
        <f>'Unformatted Trip Summary'!F525</f>
        <v>1.2294697066</v>
      </c>
      <c r="G527" s="1">
        <f>'Unformatted Trip Summary'!G525</f>
        <v>16.080845462999999</v>
      </c>
      <c r="H527" s="1">
        <f>'Unformatted Trip Summary'!H525</f>
        <v>0.44989020099999999</v>
      </c>
    </row>
    <row r="528" spans="1:8" x14ac:dyDescent="0.25">
      <c r="A528" t="str">
        <f>'Unformatted Trip Summary'!A526</f>
        <v>07 TARANAKI</v>
      </c>
      <c r="B528" t="str">
        <f>'Unformatted Trip Summary'!J526</f>
        <v>2042/43</v>
      </c>
      <c r="C528" t="str">
        <f>'Unformatted Trip Summary'!I526</f>
        <v>Local Bus</v>
      </c>
      <c r="D528">
        <f>'Unformatted Trip Summary'!D526</f>
        <v>22</v>
      </c>
      <c r="E528">
        <f>'Unformatted Trip Summary'!E526</f>
        <v>54</v>
      </c>
      <c r="F528" s="1">
        <f>'Unformatted Trip Summary'!F526</f>
        <v>1.2296789217999999</v>
      </c>
      <c r="G528" s="1">
        <f>'Unformatted Trip Summary'!G526</f>
        <v>16.94682177</v>
      </c>
      <c r="H528" s="1">
        <f>'Unformatted Trip Summary'!H526</f>
        <v>0.45703947709999998</v>
      </c>
    </row>
    <row r="529" spans="1:8" x14ac:dyDescent="0.25">
      <c r="A529" t="str">
        <f>'Unformatted Trip Summary'!A527</f>
        <v>07 TARANAKI</v>
      </c>
      <c r="B529" t="str">
        <f>'Unformatted Trip Summary'!J527</f>
        <v>2012/13</v>
      </c>
      <c r="C529" t="str">
        <f>'Unformatted Trip Summary'!I527</f>
        <v>Other Household Travel</v>
      </c>
      <c r="D529">
        <f>'Unformatted Trip Summary'!D527</f>
        <v>4</v>
      </c>
      <c r="E529">
        <f>'Unformatted Trip Summary'!E527</f>
        <v>11</v>
      </c>
      <c r="F529" s="1">
        <f>'Unformatted Trip Summary'!F527</f>
        <v>0.17475937220000001</v>
      </c>
      <c r="G529" s="1">
        <f>'Unformatted Trip Summary'!G527</f>
        <v>0</v>
      </c>
      <c r="H529" s="1">
        <f>'Unformatted Trip Summary'!H527</f>
        <v>5.6354069499999999E-2</v>
      </c>
    </row>
    <row r="530" spans="1:8" x14ac:dyDescent="0.25">
      <c r="A530" t="str">
        <f>'Unformatted Trip Summary'!A528</f>
        <v>07 TARANAKI</v>
      </c>
      <c r="B530" t="str">
        <f>'Unformatted Trip Summary'!J528</f>
        <v>2017/18</v>
      </c>
      <c r="C530" t="str">
        <f>'Unformatted Trip Summary'!I528</f>
        <v>Other Household Travel</v>
      </c>
      <c r="D530">
        <f>'Unformatted Trip Summary'!D528</f>
        <v>4</v>
      </c>
      <c r="E530">
        <f>'Unformatted Trip Summary'!E528</f>
        <v>11</v>
      </c>
      <c r="F530" s="1">
        <f>'Unformatted Trip Summary'!F528</f>
        <v>0.18407041860000001</v>
      </c>
      <c r="G530" s="1">
        <f>'Unformatted Trip Summary'!G528</f>
        <v>0</v>
      </c>
      <c r="H530" s="1">
        <f>'Unformatted Trip Summary'!H528</f>
        <v>5.90471682E-2</v>
      </c>
    </row>
    <row r="531" spans="1:8" x14ac:dyDescent="0.25">
      <c r="A531" t="str">
        <f>'Unformatted Trip Summary'!A529</f>
        <v>07 TARANAKI</v>
      </c>
      <c r="B531" t="str">
        <f>'Unformatted Trip Summary'!J529</f>
        <v>2022/23</v>
      </c>
      <c r="C531" t="str">
        <f>'Unformatted Trip Summary'!I529</f>
        <v>Other Household Travel</v>
      </c>
      <c r="D531">
        <f>'Unformatted Trip Summary'!D529</f>
        <v>4</v>
      </c>
      <c r="E531">
        <f>'Unformatted Trip Summary'!E529</f>
        <v>11</v>
      </c>
      <c r="F531" s="1">
        <f>'Unformatted Trip Summary'!F529</f>
        <v>0.19124480669999999</v>
      </c>
      <c r="G531" s="1">
        <f>'Unformatted Trip Summary'!G529</f>
        <v>0</v>
      </c>
      <c r="H531" s="1">
        <f>'Unformatted Trip Summary'!H529</f>
        <v>6.2038836100000001E-2</v>
      </c>
    </row>
    <row r="532" spans="1:8" x14ac:dyDescent="0.25">
      <c r="A532" t="str">
        <f>'Unformatted Trip Summary'!A530</f>
        <v>07 TARANAKI</v>
      </c>
      <c r="B532" t="str">
        <f>'Unformatted Trip Summary'!J530</f>
        <v>2027/28</v>
      </c>
      <c r="C532" t="str">
        <f>'Unformatted Trip Summary'!I530</f>
        <v>Other Household Travel</v>
      </c>
      <c r="D532">
        <f>'Unformatted Trip Summary'!D530</f>
        <v>4</v>
      </c>
      <c r="E532">
        <f>'Unformatted Trip Summary'!E530</f>
        <v>11</v>
      </c>
      <c r="F532" s="1">
        <f>'Unformatted Trip Summary'!F530</f>
        <v>0.19594329660000001</v>
      </c>
      <c r="G532" s="1">
        <f>'Unformatted Trip Summary'!G530</f>
        <v>0</v>
      </c>
      <c r="H532" s="1">
        <f>'Unformatted Trip Summary'!H530</f>
        <v>6.7968314399999993E-2</v>
      </c>
    </row>
    <row r="533" spans="1:8" x14ac:dyDescent="0.25">
      <c r="A533" t="str">
        <f>'Unformatted Trip Summary'!A531</f>
        <v>07 TARANAKI</v>
      </c>
      <c r="B533" t="str">
        <f>'Unformatted Trip Summary'!J531</f>
        <v>2032/33</v>
      </c>
      <c r="C533" t="str">
        <f>'Unformatted Trip Summary'!I531</f>
        <v>Other Household Travel</v>
      </c>
      <c r="D533">
        <f>'Unformatted Trip Summary'!D531</f>
        <v>4</v>
      </c>
      <c r="E533">
        <f>'Unformatted Trip Summary'!E531</f>
        <v>11</v>
      </c>
      <c r="F533" s="1">
        <f>'Unformatted Trip Summary'!F531</f>
        <v>0.2128381821</v>
      </c>
      <c r="G533" s="1">
        <f>'Unformatted Trip Summary'!G531</f>
        <v>0</v>
      </c>
      <c r="H533" s="1">
        <f>'Unformatted Trip Summary'!H531</f>
        <v>7.9599653800000003E-2</v>
      </c>
    </row>
    <row r="534" spans="1:8" x14ac:dyDescent="0.25">
      <c r="A534" t="str">
        <f>'Unformatted Trip Summary'!A532</f>
        <v>07 TARANAKI</v>
      </c>
      <c r="B534" t="str">
        <f>'Unformatted Trip Summary'!J532</f>
        <v>2037/38</v>
      </c>
      <c r="C534" t="str">
        <f>'Unformatted Trip Summary'!I532</f>
        <v>Other Household Travel</v>
      </c>
      <c r="D534">
        <f>'Unformatted Trip Summary'!D532</f>
        <v>4</v>
      </c>
      <c r="E534">
        <f>'Unformatted Trip Summary'!E532</f>
        <v>11</v>
      </c>
      <c r="F534" s="1">
        <f>'Unformatted Trip Summary'!F532</f>
        <v>0.22320737660000001</v>
      </c>
      <c r="G534" s="1">
        <f>'Unformatted Trip Summary'!G532</f>
        <v>0</v>
      </c>
      <c r="H534" s="1">
        <f>'Unformatted Trip Summary'!H532</f>
        <v>8.7074746199999997E-2</v>
      </c>
    </row>
    <row r="535" spans="1:8" x14ac:dyDescent="0.25">
      <c r="A535" t="str">
        <f>'Unformatted Trip Summary'!A533</f>
        <v>07 TARANAKI</v>
      </c>
      <c r="B535" t="str">
        <f>'Unformatted Trip Summary'!J533</f>
        <v>2042/43</v>
      </c>
      <c r="C535" t="str">
        <f>'Unformatted Trip Summary'!I533</f>
        <v>Other Household Travel</v>
      </c>
      <c r="D535">
        <f>'Unformatted Trip Summary'!D533</f>
        <v>4</v>
      </c>
      <c r="E535">
        <f>'Unformatted Trip Summary'!E533</f>
        <v>11</v>
      </c>
      <c r="F535" s="1">
        <f>'Unformatted Trip Summary'!F533</f>
        <v>0.22671599570000001</v>
      </c>
      <c r="G535" s="1">
        <f>'Unformatted Trip Summary'!G533</f>
        <v>0</v>
      </c>
      <c r="H535" s="1">
        <f>'Unformatted Trip Summary'!H533</f>
        <v>9.0784232699999995E-2</v>
      </c>
    </row>
    <row r="536" spans="1:8" x14ac:dyDescent="0.25">
      <c r="A536" t="str">
        <f>'Unformatted Trip Summary'!A534</f>
        <v>07 TARANAKI</v>
      </c>
      <c r="B536" t="str">
        <f>'Unformatted Trip Summary'!J534</f>
        <v>2012/13</v>
      </c>
      <c r="C536" t="str">
        <f>'Unformatted Trip Summary'!I534</f>
        <v>Air/Non-Local PT</v>
      </c>
      <c r="D536">
        <f>'Unformatted Trip Summary'!D534</f>
        <v>7</v>
      </c>
      <c r="E536">
        <f>'Unformatted Trip Summary'!E534</f>
        <v>9</v>
      </c>
      <c r="F536" s="1">
        <f>'Unformatted Trip Summary'!F534</f>
        <v>0.31946750800000001</v>
      </c>
      <c r="G536" s="1">
        <f>'Unformatted Trip Summary'!G534</f>
        <v>11.123016451</v>
      </c>
      <c r="H536" s="1">
        <f>'Unformatted Trip Summary'!H534</f>
        <v>0.97687121219999995</v>
      </c>
    </row>
    <row r="537" spans="1:8" x14ac:dyDescent="0.25">
      <c r="A537" t="str">
        <f>'Unformatted Trip Summary'!A535</f>
        <v>07 TARANAKI</v>
      </c>
      <c r="B537" t="str">
        <f>'Unformatted Trip Summary'!J535</f>
        <v>2017/18</v>
      </c>
      <c r="C537" t="str">
        <f>'Unformatted Trip Summary'!I535</f>
        <v>Air/Non-Local PT</v>
      </c>
      <c r="D537">
        <f>'Unformatted Trip Summary'!D535</f>
        <v>7</v>
      </c>
      <c r="E537">
        <f>'Unformatted Trip Summary'!E535</f>
        <v>9</v>
      </c>
      <c r="F537" s="1">
        <f>'Unformatted Trip Summary'!F535</f>
        <v>0.27794156050000002</v>
      </c>
      <c r="G537" s="1">
        <f>'Unformatted Trip Summary'!G535</f>
        <v>12.142658781</v>
      </c>
      <c r="H537" s="1">
        <f>'Unformatted Trip Summary'!H535</f>
        <v>0.85199087060000001</v>
      </c>
    </row>
    <row r="538" spans="1:8" x14ac:dyDescent="0.25">
      <c r="A538" t="str">
        <f>'Unformatted Trip Summary'!A536</f>
        <v>07 TARANAKI</v>
      </c>
      <c r="B538" t="str">
        <f>'Unformatted Trip Summary'!J536</f>
        <v>2022/23</v>
      </c>
      <c r="C538" t="str">
        <f>'Unformatted Trip Summary'!I536</f>
        <v>Air/Non-Local PT</v>
      </c>
      <c r="D538">
        <f>'Unformatted Trip Summary'!D536</f>
        <v>7</v>
      </c>
      <c r="E538">
        <f>'Unformatted Trip Summary'!E536</f>
        <v>9</v>
      </c>
      <c r="F538" s="1">
        <f>'Unformatted Trip Summary'!F536</f>
        <v>0.2508483299</v>
      </c>
      <c r="G538" s="1">
        <f>'Unformatted Trip Summary'!G536</f>
        <v>14.212996303000001</v>
      </c>
      <c r="H538" s="1">
        <f>'Unformatted Trip Summary'!H536</f>
        <v>0.77473971419999998</v>
      </c>
    </row>
    <row r="539" spans="1:8" x14ac:dyDescent="0.25">
      <c r="A539" t="str">
        <f>'Unformatted Trip Summary'!A537</f>
        <v>07 TARANAKI</v>
      </c>
      <c r="B539" t="str">
        <f>'Unformatted Trip Summary'!J537</f>
        <v>2027/28</v>
      </c>
      <c r="C539" t="str">
        <f>'Unformatted Trip Summary'!I537</f>
        <v>Air/Non-Local PT</v>
      </c>
      <c r="D539">
        <f>'Unformatted Trip Summary'!D537</f>
        <v>7</v>
      </c>
      <c r="E539">
        <f>'Unformatted Trip Summary'!E537</f>
        <v>9</v>
      </c>
      <c r="F539" s="1">
        <f>'Unformatted Trip Summary'!F537</f>
        <v>0.24534464410000001</v>
      </c>
      <c r="G539" s="1">
        <f>'Unformatted Trip Summary'!G537</f>
        <v>17.157485032</v>
      </c>
      <c r="H539" s="1">
        <f>'Unformatted Trip Summary'!H537</f>
        <v>0.76463990530000003</v>
      </c>
    </row>
    <row r="540" spans="1:8" x14ac:dyDescent="0.25">
      <c r="A540" t="str">
        <f>'Unformatted Trip Summary'!A538</f>
        <v>07 TARANAKI</v>
      </c>
      <c r="B540" t="str">
        <f>'Unformatted Trip Summary'!J538</f>
        <v>2032/33</v>
      </c>
      <c r="C540" t="str">
        <f>'Unformatted Trip Summary'!I538</f>
        <v>Air/Non-Local PT</v>
      </c>
      <c r="D540">
        <f>'Unformatted Trip Summary'!D538</f>
        <v>7</v>
      </c>
      <c r="E540">
        <f>'Unformatted Trip Summary'!E538</f>
        <v>9</v>
      </c>
      <c r="F540" s="1">
        <f>'Unformatted Trip Summary'!F538</f>
        <v>0.24396277969999999</v>
      </c>
      <c r="G540" s="1">
        <f>'Unformatted Trip Summary'!G538</f>
        <v>19.466513424999999</v>
      </c>
      <c r="H540" s="1">
        <f>'Unformatted Trip Summary'!H538</f>
        <v>0.75794253659999999</v>
      </c>
    </row>
    <row r="541" spans="1:8" x14ac:dyDescent="0.25">
      <c r="A541" t="str">
        <f>'Unformatted Trip Summary'!A539</f>
        <v>07 TARANAKI</v>
      </c>
      <c r="B541" t="str">
        <f>'Unformatted Trip Summary'!J539</f>
        <v>2037/38</v>
      </c>
      <c r="C541" t="str">
        <f>'Unformatted Trip Summary'!I539</f>
        <v>Air/Non-Local PT</v>
      </c>
      <c r="D541">
        <f>'Unformatted Trip Summary'!D539</f>
        <v>7</v>
      </c>
      <c r="E541">
        <f>'Unformatted Trip Summary'!E539</f>
        <v>9</v>
      </c>
      <c r="F541" s="1">
        <f>'Unformatted Trip Summary'!F539</f>
        <v>0.24470186860000001</v>
      </c>
      <c r="G541" s="1">
        <f>'Unformatted Trip Summary'!G539</f>
        <v>22.086109086</v>
      </c>
      <c r="H541" s="1">
        <f>'Unformatted Trip Summary'!H539</f>
        <v>0.75256131920000002</v>
      </c>
    </row>
    <row r="542" spans="1:8" x14ac:dyDescent="0.25">
      <c r="A542" t="str">
        <f>'Unformatted Trip Summary'!A540</f>
        <v>07 TARANAKI</v>
      </c>
      <c r="B542" t="str">
        <f>'Unformatted Trip Summary'!J540</f>
        <v>2042/43</v>
      </c>
      <c r="C542" t="str">
        <f>'Unformatted Trip Summary'!I540</f>
        <v>Air/Non-Local PT</v>
      </c>
      <c r="D542">
        <f>'Unformatted Trip Summary'!D540</f>
        <v>7</v>
      </c>
      <c r="E542">
        <f>'Unformatted Trip Summary'!E540</f>
        <v>9</v>
      </c>
      <c r="F542" s="1">
        <f>'Unformatted Trip Summary'!F540</f>
        <v>0.24366113880000001</v>
      </c>
      <c r="G542" s="1">
        <f>'Unformatted Trip Summary'!G540</f>
        <v>24.614412418000001</v>
      </c>
      <c r="H542" s="1">
        <f>'Unformatted Trip Summary'!H540</f>
        <v>0.74342978630000001</v>
      </c>
    </row>
    <row r="543" spans="1:8" x14ac:dyDescent="0.25">
      <c r="A543" t="str">
        <f>'Unformatted Trip Summary'!A541</f>
        <v>07 TARANAKI</v>
      </c>
      <c r="B543" t="str">
        <f>'Unformatted Trip Summary'!J541</f>
        <v>2012/13</v>
      </c>
      <c r="C543" t="str">
        <f>'Unformatted Trip Summary'!I541</f>
        <v>Non-Household Travel</v>
      </c>
      <c r="D543">
        <f>'Unformatted Trip Summary'!D541</f>
        <v>28</v>
      </c>
      <c r="E543">
        <f>'Unformatted Trip Summary'!E541</f>
        <v>118</v>
      </c>
      <c r="F543" s="1">
        <f>'Unformatted Trip Summary'!F541</f>
        <v>3.0516698092999999</v>
      </c>
      <c r="G543" s="1">
        <f>'Unformatted Trip Summary'!G541</f>
        <v>51.301529111999997</v>
      </c>
      <c r="H543" s="1">
        <f>'Unformatted Trip Summary'!H541</f>
        <v>1.1153896443</v>
      </c>
    </row>
    <row r="544" spans="1:8" x14ac:dyDescent="0.25">
      <c r="A544" t="str">
        <f>'Unformatted Trip Summary'!A542</f>
        <v>07 TARANAKI</v>
      </c>
      <c r="B544" t="str">
        <f>'Unformatted Trip Summary'!J542</f>
        <v>2017/18</v>
      </c>
      <c r="C544" t="str">
        <f>'Unformatted Trip Summary'!I542</f>
        <v>Non-Household Travel</v>
      </c>
      <c r="D544">
        <f>'Unformatted Trip Summary'!D542</f>
        <v>28</v>
      </c>
      <c r="E544">
        <f>'Unformatted Trip Summary'!E542</f>
        <v>118</v>
      </c>
      <c r="F544" s="1">
        <f>'Unformatted Trip Summary'!F542</f>
        <v>3.3802598205000001</v>
      </c>
      <c r="G544" s="1">
        <f>'Unformatted Trip Summary'!G542</f>
        <v>56.394094404000001</v>
      </c>
      <c r="H544" s="1">
        <f>'Unformatted Trip Summary'!H542</f>
        <v>1.2484914064999999</v>
      </c>
    </row>
    <row r="545" spans="1:8" x14ac:dyDescent="0.25">
      <c r="A545" t="str">
        <f>'Unformatted Trip Summary'!A543</f>
        <v>07 TARANAKI</v>
      </c>
      <c r="B545" t="str">
        <f>'Unformatted Trip Summary'!J543</f>
        <v>2022/23</v>
      </c>
      <c r="C545" t="str">
        <f>'Unformatted Trip Summary'!I543</f>
        <v>Non-Household Travel</v>
      </c>
      <c r="D545">
        <f>'Unformatted Trip Summary'!D543</f>
        <v>28</v>
      </c>
      <c r="E545">
        <f>'Unformatted Trip Summary'!E543</f>
        <v>118</v>
      </c>
      <c r="F545" s="1">
        <f>'Unformatted Trip Summary'!F543</f>
        <v>3.6530115433999999</v>
      </c>
      <c r="G545" s="1">
        <f>'Unformatted Trip Summary'!G543</f>
        <v>60.343290213000003</v>
      </c>
      <c r="H545" s="1">
        <f>'Unformatted Trip Summary'!H543</f>
        <v>1.3570601631999999</v>
      </c>
    </row>
    <row r="546" spans="1:8" x14ac:dyDescent="0.25">
      <c r="A546" t="str">
        <f>'Unformatted Trip Summary'!A544</f>
        <v>07 TARANAKI</v>
      </c>
      <c r="B546" t="str">
        <f>'Unformatted Trip Summary'!J544</f>
        <v>2027/28</v>
      </c>
      <c r="C546" t="str">
        <f>'Unformatted Trip Summary'!I544</f>
        <v>Non-Household Travel</v>
      </c>
      <c r="D546">
        <f>'Unformatted Trip Summary'!D544</f>
        <v>28</v>
      </c>
      <c r="E546">
        <f>'Unformatted Trip Summary'!E544</f>
        <v>118</v>
      </c>
      <c r="F546" s="1">
        <f>'Unformatted Trip Summary'!F544</f>
        <v>3.8101327957</v>
      </c>
      <c r="G546" s="1">
        <f>'Unformatted Trip Summary'!G544</f>
        <v>61.296292610999998</v>
      </c>
      <c r="H546" s="1">
        <f>'Unformatted Trip Summary'!H544</f>
        <v>1.4049857916999999</v>
      </c>
    </row>
    <row r="547" spans="1:8" x14ac:dyDescent="0.25">
      <c r="A547" t="str">
        <f>'Unformatted Trip Summary'!A545</f>
        <v>07 TARANAKI</v>
      </c>
      <c r="B547" t="str">
        <f>'Unformatted Trip Summary'!J545</f>
        <v>2032/33</v>
      </c>
      <c r="C547" t="str">
        <f>'Unformatted Trip Summary'!I545</f>
        <v>Non-Household Travel</v>
      </c>
      <c r="D547">
        <f>'Unformatted Trip Summary'!D545</f>
        <v>28</v>
      </c>
      <c r="E547">
        <f>'Unformatted Trip Summary'!E545</f>
        <v>118</v>
      </c>
      <c r="F547" s="1">
        <f>'Unformatted Trip Summary'!F545</f>
        <v>3.9040428885999998</v>
      </c>
      <c r="G547" s="1">
        <f>'Unformatted Trip Summary'!G545</f>
        <v>61.609474550999998</v>
      </c>
      <c r="H547" s="1">
        <f>'Unformatted Trip Summary'!H545</f>
        <v>1.4236484731000001</v>
      </c>
    </row>
    <row r="548" spans="1:8" x14ac:dyDescent="0.25">
      <c r="A548" t="str">
        <f>'Unformatted Trip Summary'!A546</f>
        <v>07 TARANAKI</v>
      </c>
      <c r="B548" t="str">
        <f>'Unformatted Trip Summary'!J546</f>
        <v>2037/38</v>
      </c>
      <c r="C548" t="str">
        <f>'Unformatted Trip Summary'!I546</f>
        <v>Non-Household Travel</v>
      </c>
      <c r="D548">
        <f>'Unformatted Trip Summary'!D546</f>
        <v>28</v>
      </c>
      <c r="E548">
        <f>'Unformatted Trip Summary'!E546</f>
        <v>118</v>
      </c>
      <c r="F548" s="1">
        <f>'Unformatted Trip Summary'!F546</f>
        <v>3.9689608139999999</v>
      </c>
      <c r="G548" s="1">
        <f>'Unformatted Trip Summary'!G546</f>
        <v>61.530870606999997</v>
      </c>
      <c r="H548" s="1">
        <f>'Unformatted Trip Summary'!H546</f>
        <v>1.4217737726999999</v>
      </c>
    </row>
    <row r="549" spans="1:8" x14ac:dyDescent="0.25">
      <c r="A549" t="str">
        <f>'Unformatted Trip Summary'!A547</f>
        <v>07 TARANAKI</v>
      </c>
      <c r="B549" t="str">
        <f>'Unformatted Trip Summary'!J547</f>
        <v>2042/43</v>
      </c>
      <c r="C549" t="str">
        <f>'Unformatted Trip Summary'!I547</f>
        <v>Non-Household Travel</v>
      </c>
      <c r="D549">
        <f>'Unformatted Trip Summary'!D547</f>
        <v>28</v>
      </c>
      <c r="E549">
        <f>'Unformatted Trip Summary'!E547</f>
        <v>118</v>
      </c>
      <c r="F549" s="1">
        <f>'Unformatted Trip Summary'!F547</f>
        <v>4.0243925613</v>
      </c>
      <c r="G549" s="1">
        <f>'Unformatted Trip Summary'!G547</f>
        <v>61.239368857999999</v>
      </c>
      <c r="H549" s="1">
        <f>'Unformatted Trip Summary'!H547</f>
        <v>1.4145260581000001</v>
      </c>
    </row>
    <row r="550" spans="1:8" x14ac:dyDescent="0.25">
      <c r="A550" t="str">
        <f>'Unformatted Trip Summary'!A548</f>
        <v>08 MANAWATU-WANGANUI</v>
      </c>
      <c r="B550" t="str">
        <f>'Unformatted Trip Summary'!J548</f>
        <v>2012/13</v>
      </c>
      <c r="C550" t="str">
        <f>'Unformatted Trip Summary'!I548</f>
        <v>Pedestrian</v>
      </c>
      <c r="D550">
        <f>'Unformatted Trip Summary'!D548</f>
        <v>214</v>
      </c>
      <c r="E550">
        <f>'Unformatted Trip Summary'!E548</f>
        <v>797</v>
      </c>
      <c r="F550" s="1">
        <f>'Unformatted Trip Summary'!F548</f>
        <v>39.544031846000003</v>
      </c>
      <c r="G550" s="1">
        <f>'Unformatted Trip Summary'!G548</f>
        <v>32.265609755</v>
      </c>
      <c r="H550" s="1">
        <f>'Unformatted Trip Summary'!H548</f>
        <v>8.3408449691000008</v>
      </c>
    </row>
    <row r="551" spans="1:8" x14ac:dyDescent="0.25">
      <c r="A551" t="str">
        <f>'Unformatted Trip Summary'!A549</f>
        <v>08 MANAWATU-WANGANUI</v>
      </c>
      <c r="B551" t="str">
        <f>'Unformatted Trip Summary'!J549</f>
        <v>2017/18</v>
      </c>
      <c r="C551" t="str">
        <f>'Unformatted Trip Summary'!I549</f>
        <v>Pedestrian</v>
      </c>
      <c r="D551">
        <f>'Unformatted Trip Summary'!D549</f>
        <v>214</v>
      </c>
      <c r="E551">
        <f>'Unformatted Trip Summary'!E549</f>
        <v>797</v>
      </c>
      <c r="F551" s="1">
        <f>'Unformatted Trip Summary'!F549</f>
        <v>38.372721085000002</v>
      </c>
      <c r="G551" s="1">
        <f>'Unformatted Trip Summary'!G549</f>
        <v>31.961970773000001</v>
      </c>
      <c r="H551" s="1">
        <f>'Unformatted Trip Summary'!H549</f>
        <v>8.1247810713999993</v>
      </c>
    </row>
    <row r="552" spans="1:8" x14ac:dyDescent="0.25">
      <c r="A552" t="str">
        <f>'Unformatted Trip Summary'!A550</f>
        <v>08 MANAWATU-WANGANUI</v>
      </c>
      <c r="B552" t="str">
        <f>'Unformatted Trip Summary'!J550</f>
        <v>2022/23</v>
      </c>
      <c r="C552" t="str">
        <f>'Unformatted Trip Summary'!I550</f>
        <v>Pedestrian</v>
      </c>
      <c r="D552">
        <f>'Unformatted Trip Summary'!D550</f>
        <v>214</v>
      </c>
      <c r="E552">
        <f>'Unformatted Trip Summary'!E550</f>
        <v>797</v>
      </c>
      <c r="F552" s="1">
        <f>'Unformatted Trip Summary'!F550</f>
        <v>36.858242103999999</v>
      </c>
      <c r="G552" s="1">
        <f>'Unformatted Trip Summary'!G550</f>
        <v>31.111035954999998</v>
      </c>
      <c r="H552" s="1">
        <f>'Unformatted Trip Summary'!H550</f>
        <v>7.8011748351000003</v>
      </c>
    </row>
    <row r="553" spans="1:8" x14ac:dyDescent="0.25">
      <c r="A553" t="str">
        <f>'Unformatted Trip Summary'!A551</f>
        <v>08 MANAWATU-WANGANUI</v>
      </c>
      <c r="B553" t="str">
        <f>'Unformatted Trip Summary'!J551</f>
        <v>2027/28</v>
      </c>
      <c r="C553" t="str">
        <f>'Unformatted Trip Summary'!I551</f>
        <v>Pedestrian</v>
      </c>
      <c r="D553">
        <f>'Unformatted Trip Summary'!D551</f>
        <v>214</v>
      </c>
      <c r="E553">
        <f>'Unformatted Trip Summary'!E551</f>
        <v>797</v>
      </c>
      <c r="F553" s="1">
        <f>'Unformatted Trip Summary'!F551</f>
        <v>34.365186735999998</v>
      </c>
      <c r="G553" s="1">
        <f>'Unformatted Trip Summary'!G551</f>
        <v>29.291542627999998</v>
      </c>
      <c r="H553" s="1">
        <f>'Unformatted Trip Summary'!H551</f>
        <v>7.2675200347000004</v>
      </c>
    </row>
    <row r="554" spans="1:8" x14ac:dyDescent="0.25">
      <c r="A554" t="str">
        <f>'Unformatted Trip Summary'!A552</f>
        <v>08 MANAWATU-WANGANUI</v>
      </c>
      <c r="B554" t="str">
        <f>'Unformatted Trip Summary'!J552</f>
        <v>2032/33</v>
      </c>
      <c r="C554" t="str">
        <f>'Unformatted Trip Summary'!I552</f>
        <v>Pedestrian</v>
      </c>
      <c r="D554">
        <f>'Unformatted Trip Summary'!D552</f>
        <v>214</v>
      </c>
      <c r="E554">
        <f>'Unformatted Trip Summary'!E552</f>
        <v>797</v>
      </c>
      <c r="F554" s="1">
        <f>'Unformatted Trip Summary'!F552</f>
        <v>32.261632708</v>
      </c>
      <c r="G554" s="1">
        <f>'Unformatted Trip Summary'!G552</f>
        <v>27.515261346999999</v>
      </c>
      <c r="H554" s="1">
        <f>'Unformatted Trip Summary'!H552</f>
        <v>6.7515508337999997</v>
      </c>
    </row>
    <row r="555" spans="1:8" x14ac:dyDescent="0.25">
      <c r="A555" t="str">
        <f>'Unformatted Trip Summary'!A553</f>
        <v>08 MANAWATU-WANGANUI</v>
      </c>
      <c r="B555" t="str">
        <f>'Unformatted Trip Summary'!J553</f>
        <v>2037/38</v>
      </c>
      <c r="C555" t="str">
        <f>'Unformatted Trip Summary'!I553</f>
        <v>Pedestrian</v>
      </c>
      <c r="D555">
        <f>'Unformatted Trip Summary'!D553</f>
        <v>214</v>
      </c>
      <c r="E555">
        <f>'Unformatted Trip Summary'!E553</f>
        <v>797</v>
      </c>
      <c r="F555" s="1">
        <f>'Unformatted Trip Summary'!F553</f>
        <v>30.500973905999999</v>
      </c>
      <c r="G555" s="1">
        <f>'Unformatted Trip Summary'!G553</f>
        <v>25.940383285999999</v>
      </c>
      <c r="H555" s="1">
        <f>'Unformatted Trip Summary'!H553</f>
        <v>6.2596861104999997</v>
      </c>
    </row>
    <row r="556" spans="1:8" x14ac:dyDescent="0.25">
      <c r="A556" t="str">
        <f>'Unformatted Trip Summary'!A554</f>
        <v>08 MANAWATU-WANGANUI</v>
      </c>
      <c r="B556" t="str">
        <f>'Unformatted Trip Summary'!J554</f>
        <v>2042/43</v>
      </c>
      <c r="C556" t="str">
        <f>'Unformatted Trip Summary'!I554</f>
        <v>Pedestrian</v>
      </c>
      <c r="D556">
        <f>'Unformatted Trip Summary'!D554</f>
        <v>214</v>
      </c>
      <c r="E556">
        <f>'Unformatted Trip Summary'!E554</f>
        <v>797</v>
      </c>
      <c r="F556" s="1">
        <f>'Unformatted Trip Summary'!F554</f>
        <v>28.890289515999999</v>
      </c>
      <c r="G556" s="1">
        <f>'Unformatted Trip Summary'!G554</f>
        <v>24.518547519999998</v>
      </c>
      <c r="H556" s="1">
        <f>'Unformatted Trip Summary'!H554</f>
        <v>5.8106014674999997</v>
      </c>
    </row>
    <row r="557" spans="1:8" x14ac:dyDescent="0.25">
      <c r="A557" t="str">
        <f>'Unformatted Trip Summary'!A555</f>
        <v>08 MANAWATU-WANGANUI</v>
      </c>
      <c r="B557" t="str">
        <f>'Unformatted Trip Summary'!J555</f>
        <v>2012/13</v>
      </c>
      <c r="C557" t="str">
        <f>'Unformatted Trip Summary'!I555</f>
        <v>Cyclist</v>
      </c>
      <c r="D557">
        <f>'Unformatted Trip Summary'!D555</f>
        <v>33</v>
      </c>
      <c r="E557">
        <f>'Unformatted Trip Summary'!E555</f>
        <v>96</v>
      </c>
      <c r="F557" s="1">
        <f>'Unformatted Trip Summary'!F555</f>
        <v>4.6745036201000003</v>
      </c>
      <c r="G557" s="1">
        <f>'Unformatted Trip Summary'!G555</f>
        <v>20.722330986999999</v>
      </c>
      <c r="H557" s="1">
        <f>'Unformatted Trip Summary'!H555</f>
        <v>1.7566260256999999</v>
      </c>
    </row>
    <row r="558" spans="1:8" x14ac:dyDescent="0.25">
      <c r="A558" t="str">
        <f>'Unformatted Trip Summary'!A556</f>
        <v>08 MANAWATU-WANGANUI</v>
      </c>
      <c r="B558" t="str">
        <f>'Unformatted Trip Summary'!J556</f>
        <v>2017/18</v>
      </c>
      <c r="C558" t="str">
        <f>'Unformatted Trip Summary'!I556</f>
        <v>Cyclist</v>
      </c>
      <c r="D558">
        <f>'Unformatted Trip Summary'!D556</f>
        <v>33</v>
      </c>
      <c r="E558">
        <f>'Unformatted Trip Summary'!E556</f>
        <v>96</v>
      </c>
      <c r="F558" s="1">
        <f>'Unformatted Trip Summary'!F556</f>
        <v>4.8377012942000004</v>
      </c>
      <c r="G558" s="1">
        <f>'Unformatted Trip Summary'!G556</f>
        <v>22.873044531000001</v>
      </c>
      <c r="H558" s="1">
        <f>'Unformatted Trip Summary'!H556</f>
        <v>1.8991032335</v>
      </c>
    </row>
    <row r="559" spans="1:8" x14ac:dyDescent="0.25">
      <c r="A559" t="str">
        <f>'Unformatted Trip Summary'!A557</f>
        <v>08 MANAWATU-WANGANUI</v>
      </c>
      <c r="B559" t="str">
        <f>'Unformatted Trip Summary'!J557</f>
        <v>2022/23</v>
      </c>
      <c r="C559" t="str">
        <f>'Unformatted Trip Summary'!I557</f>
        <v>Cyclist</v>
      </c>
      <c r="D559">
        <f>'Unformatted Trip Summary'!D557</f>
        <v>33</v>
      </c>
      <c r="E559">
        <f>'Unformatted Trip Summary'!E557</f>
        <v>96</v>
      </c>
      <c r="F559" s="1">
        <f>'Unformatted Trip Summary'!F557</f>
        <v>4.9633109367000001</v>
      </c>
      <c r="G559" s="1">
        <f>'Unformatted Trip Summary'!G557</f>
        <v>24.182825050999998</v>
      </c>
      <c r="H559" s="1">
        <f>'Unformatted Trip Summary'!H557</f>
        <v>1.9954511542</v>
      </c>
    </row>
    <row r="560" spans="1:8" x14ac:dyDescent="0.25">
      <c r="A560" t="str">
        <f>'Unformatted Trip Summary'!A558</f>
        <v>08 MANAWATU-WANGANUI</v>
      </c>
      <c r="B560" t="str">
        <f>'Unformatted Trip Summary'!J558</f>
        <v>2027/28</v>
      </c>
      <c r="C560" t="str">
        <f>'Unformatted Trip Summary'!I558</f>
        <v>Cyclist</v>
      </c>
      <c r="D560">
        <f>'Unformatted Trip Summary'!D558</f>
        <v>33</v>
      </c>
      <c r="E560">
        <f>'Unformatted Trip Summary'!E558</f>
        <v>96</v>
      </c>
      <c r="F560" s="1">
        <f>'Unformatted Trip Summary'!F558</f>
        <v>5.0788523552999996</v>
      </c>
      <c r="G560" s="1">
        <f>'Unformatted Trip Summary'!G558</f>
        <v>24.438713443000001</v>
      </c>
      <c r="H560" s="1">
        <f>'Unformatted Trip Summary'!H558</f>
        <v>2.0410659093999999</v>
      </c>
    </row>
    <row r="561" spans="1:8" x14ac:dyDescent="0.25">
      <c r="A561" t="str">
        <f>'Unformatted Trip Summary'!A559</f>
        <v>08 MANAWATU-WANGANUI</v>
      </c>
      <c r="B561" t="str">
        <f>'Unformatted Trip Summary'!J559</f>
        <v>2032/33</v>
      </c>
      <c r="C561" t="str">
        <f>'Unformatted Trip Summary'!I559</f>
        <v>Cyclist</v>
      </c>
      <c r="D561">
        <f>'Unformatted Trip Summary'!D559</f>
        <v>33</v>
      </c>
      <c r="E561">
        <f>'Unformatted Trip Summary'!E559</f>
        <v>96</v>
      </c>
      <c r="F561" s="1">
        <f>'Unformatted Trip Summary'!F559</f>
        <v>5.2175805204000003</v>
      </c>
      <c r="G561" s="1">
        <f>'Unformatted Trip Summary'!G559</f>
        <v>24.545137880999999</v>
      </c>
      <c r="H561" s="1">
        <f>'Unformatted Trip Summary'!H559</f>
        <v>2.0715566698000001</v>
      </c>
    </row>
    <row r="562" spans="1:8" x14ac:dyDescent="0.25">
      <c r="A562" t="str">
        <f>'Unformatted Trip Summary'!A560</f>
        <v>08 MANAWATU-WANGANUI</v>
      </c>
      <c r="B562" t="str">
        <f>'Unformatted Trip Summary'!J560</f>
        <v>2037/38</v>
      </c>
      <c r="C562" t="str">
        <f>'Unformatted Trip Summary'!I560</f>
        <v>Cyclist</v>
      </c>
      <c r="D562">
        <f>'Unformatted Trip Summary'!D560</f>
        <v>33</v>
      </c>
      <c r="E562">
        <f>'Unformatted Trip Summary'!E560</f>
        <v>96</v>
      </c>
      <c r="F562" s="1">
        <f>'Unformatted Trip Summary'!F560</f>
        <v>5.1587638374999996</v>
      </c>
      <c r="G562" s="1">
        <f>'Unformatted Trip Summary'!G560</f>
        <v>24.635376608000001</v>
      </c>
      <c r="H562" s="1">
        <f>'Unformatted Trip Summary'!H560</f>
        <v>2.0586256419</v>
      </c>
    </row>
    <row r="563" spans="1:8" x14ac:dyDescent="0.25">
      <c r="A563" t="str">
        <f>'Unformatted Trip Summary'!A561</f>
        <v>08 MANAWATU-WANGANUI</v>
      </c>
      <c r="B563" t="str">
        <f>'Unformatted Trip Summary'!J561</f>
        <v>2042/43</v>
      </c>
      <c r="C563" t="str">
        <f>'Unformatted Trip Summary'!I561</f>
        <v>Cyclist</v>
      </c>
      <c r="D563">
        <f>'Unformatted Trip Summary'!D561</f>
        <v>33</v>
      </c>
      <c r="E563">
        <f>'Unformatted Trip Summary'!E561</f>
        <v>96</v>
      </c>
      <c r="F563" s="1">
        <f>'Unformatted Trip Summary'!F561</f>
        <v>5.0671308495999998</v>
      </c>
      <c r="G563" s="1">
        <f>'Unformatted Trip Summary'!G561</f>
        <v>24.644989714000001</v>
      </c>
      <c r="H563" s="1">
        <f>'Unformatted Trip Summary'!H561</f>
        <v>2.0326408398</v>
      </c>
    </row>
    <row r="564" spans="1:8" x14ac:dyDescent="0.25">
      <c r="A564" t="str">
        <f>'Unformatted Trip Summary'!A562</f>
        <v>08 MANAWATU-WANGANUI</v>
      </c>
      <c r="B564" t="str">
        <f>'Unformatted Trip Summary'!J562</f>
        <v>2012/13</v>
      </c>
      <c r="C564" t="str">
        <f>'Unformatted Trip Summary'!I562</f>
        <v>Light Vehicle Driver</v>
      </c>
      <c r="D564">
        <f>'Unformatted Trip Summary'!D562</f>
        <v>588</v>
      </c>
      <c r="E564">
        <f>'Unformatted Trip Summary'!E562</f>
        <v>4259</v>
      </c>
      <c r="F564" s="1">
        <f>'Unformatted Trip Summary'!F562</f>
        <v>178.69640117</v>
      </c>
      <c r="G564" s="1">
        <f>'Unformatted Trip Summary'!G562</f>
        <v>1782.4745101999999</v>
      </c>
      <c r="H564" s="1">
        <f>'Unformatted Trip Summary'!H562</f>
        <v>42.09204356</v>
      </c>
    </row>
    <row r="565" spans="1:8" x14ac:dyDescent="0.25">
      <c r="A565" t="str">
        <f>'Unformatted Trip Summary'!A563</f>
        <v>08 MANAWATU-WANGANUI</v>
      </c>
      <c r="B565" t="str">
        <f>'Unformatted Trip Summary'!J563</f>
        <v>2017/18</v>
      </c>
      <c r="C565" t="str">
        <f>'Unformatted Trip Summary'!I563</f>
        <v>Light Vehicle Driver</v>
      </c>
      <c r="D565">
        <f>'Unformatted Trip Summary'!D563</f>
        <v>588</v>
      </c>
      <c r="E565">
        <f>'Unformatted Trip Summary'!E563</f>
        <v>4259</v>
      </c>
      <c r="F565" s="1">
        <f>'Unformatted Trip Summary'!F563</f>
        <v>188.49827327</v>
      </c>
      <c r="G565" s="1">
        <f>'Unformatted Trip Summary'!G563</f>
        <v>1900.1945091</v>
      </c>
      <c r="H565" s="1">
        <f>'Unformatted Trip Summary'!H563</f>
        <v>44.807852394999998</v>
      </c>
    </row>
    <row r="566" spans="1:8" x14ac:dyDescent="0.25">
      <c r="A566" t="str">
        <f>'Unformatted Trip Summary'!A564</f>
        <v>08 MANAWATU-WANGANUI</v>
      </c>
      <c r="B566" t="str">
        <f>'Unformatted Trip Summary'!J564</f>
        <v>2022/23</v>
      </c>
      <c r="C566" t="str">
        <f>'Unformatted Trip Summary'!I564</f>
        <v>Light Vehicle Driver</v>
      </c>
      <c r="D566">
        <f>'Unformatted Trip Summary'!D564</f>
        <v>588</v>
      </c>
      <c r="E566">
        <f>'Unformatted Trip Summary'!E564</f>
        <v>4259</v>
      </c>
      <c r="F566" s="1">
        <f>'Unformatted Trip Summary'!F564</f>
        <v>192.31292214999999</v>
      </c>
      <c r="G566" s="1">
        <f>'Unformatted Trip Summary'!G564</f>
        <v>1963.2222936000001</v>
      </c>
      <c r="H566" s="1">
        <f>'Unformatted Trip Summary'!H564</f>
        <v>46.076519619000003</v>
      </c>
    </row>
    <row r="567" spans="1:8" x14ac:dyDescent="0.25">
      <c r="A567" t="str">
        <f>'Unformatted Trip Summary'!A565</f>
        <v>08 MANAWATU-WANGANUI</v>
      </c>
      <c r="B567" t="str">
        <f>'Unformatted Trip Summary'!J565</f>
        <v>2027/28</v>
      </c>
      <c r="C567" t="str">
        <f>'Unformatted Trip Summary'!I565</f>
        <v>Light Vehicle Driver</v>
      </c>
      <c r="D567">
        <f>'Unformatted Trip Summary'!D565</f>
        <v>588</v>
      </c>
      <c r="E567">
        <f>'Unformatted Trip Summary'!E565</f>
        <v>4259</v>
      </c>
      <c r="F567" s="1">
        <f>'Unformatted Trip Summary'!F565</f>
        <v>193.65255372999999</v>
      </c>
      <c r="G567" s="1">
        <f>'Unformatted Trip Summary'!G565</f>
        <v>2009.5241550999999</v>
      </c>
      <c r="H567" s="1">
        <f>'Unformatted Trip Summary'!H565</f>
        <v>46.767616027999999</v>
      </c>
    </row>
    <row r="568" spans="1:8" x14ac:dyDescent="0.25">
      <c r="A568" t="str">
        <f>'Unformatted Trip Summary'!A566</f>
        <v>08 MANAWATU-WANGANUI</v>
      </c>
      <c r="B568" t="str">
        <f>'Unformatted Trip Summary'!J566</f>
        <v>2032/33</v>
      </c>
      <c r="C568" t="str">
        <f>'Unformatted Trip Summary'!I566</f>
        <v>Light Vehicle Driver</v>
      </c>
      <c r="D568">
        <f>'Unformatted Trip Summary'!D566</f>
        <v>588</v>
      </c>
      <c r="E568">
        <f>'Unformatted Trip Summary'!E566</f>
        <v>4259</v>
      </c>
      <c r="F568" s="1">
        <f>'Unformatted Trip Summary'!F566</f>
        <v>195.01712502999999</v>
      </c>
      <c r="G568" s="1">
        <f>'Unformatted Trip Summary'!G566</f>
        <v>2039.3011776999999</v>
      </c>
      <c r="H568" s="1">
        <f>'Unformatted Trip Summary'!H566</f>
        <v>47.250167257999998</v>
      </c>
    </row>
    <row r="569" spans="1:8" x14ac:dyDescent="0.25">
      <c r="A569" t="str">
        <f>'Unformatted Trip Summary'!A567</f>
        <v>08 MANAWATU-WANGANUI</v>
      </c>
      <c r="B569" t="str">
        <f>'Unformatted Trip Summary'!J567</f>
        <v>2037/38</v>
      </c>
      <c r="C569" t="str">
        <f>'Unformatted Trip Summary'!I567</f>
        <v>Light Vehicle Driver</v>
      </c>
      <c r="D569">
        <f>'Unformatted Trip Summary'!D567</f>
        <v>588</v>
      </c>
      <c r="E569">
        <f>'Unformatted Trip Summary'!E567</f>
        <v>4259</v>
      </c>
      <c r="F569" s="1">
        <f>'Unformatted Trip Summary'!F567</f>
        <v>193.78539778000001</v>
      </c>
      <c r="G569" s="1">
        <f>'Unformatted Trip Summary'!G567</f>
        <v>2041.7717204999999</v>
      </c>
      <c r="H569" s="1">
        <f>'Unformatted Trip Summary'!H567</f>
        <v>47.081388214</v>
      </c>
    </row>
    <row r="570" spans="1:8" x14ac:dyDescent="0.25">
      <c r="A570" t="str">
        <f>'Unformatted Trip Summary'!A568</f>
        <v>08 MANAWATU-WANGANUI</v>
      </c>
      <c r="B570" t="str">
        <f>'Unformatted Trip Summary'!J568</f>
        <v>2042/43</v>
      </c>
      <c r="C570" t="str">
        <f>'Unformatted Trip Summary'!I568</f>
        <v>Light Vehicle Driver</v>
      </c>
      <c r="D570">
        <f>'Unformatted Trip Summary'!D568</f>
        <v>588</v>
      </c>
      <c r="E570">
        <f>'Unformatted Trip Summary'!E568</f>
        <v>4259</v>
      </c>
      <c r="F570" s="1">
        <f>'Unformatted Trip Summary'!F568</f>
        <v>191.41939693</v>
      </c>
      <c r="G570" s="1">
        <f>'Unformatted Trip Summary'!G568</f>
        <v>2032.5572597</v>
      </c>
      <c r="H570" s="1">
        <f>'Unformatted Trip Summary'!H568</f>
        <v>46.625082728000002</v>
      </c>
    </row>
    <row r="571" spans="1:8" x14ac:dyDescent="0.25">
      <c r="A571" t="str">
        <f>'Unformatted Trip Summary'!A569</f>
        <v>08 MANAWATU-WANGANUI</v>
      </c>
      <c r="B571" t="str">
        <f>'Unformatted Trip Summary'!J569</f>
        <v>2012/13</v>
      </c>
      <c r="C571" t="str">
        <f>'Unformatted Trip Summary'!I569</f>
        <v>Light Vehicle Passenger</v>
      </c>
      <c r="D571">
        <f>'Unformatted Trip Summary'!D569</f>
        <v>425</v>
      </c>
      <c r="E571">
        <f>'Unformatted Trip Summary'!E569</f>
        <v>2071</v>
      </c>
      <c r="F571" s="1">
        <f>'Unformatted Trip Summary'!F569</f>
        <v>84.046137802999993</v>
      </c>
      <c r="G571" s="1">
        <f>'Unformatted Trip Summary'!G569</f>
        <v>885.65568203999999</v>
      </c>
      <c r="H571" s="1">
        <f>'Unformatted Trip Summary'!H569</f>
        <v>20.286542670999999</v>
      </c>
    </row>
    <row r="572" spans="1:8" x14ac:dyDescent="0.25">
      <c r="A572" t="str">
        <f>'Unformatted Trip Summary'!A570</f>
        <v>08 MANAWATU-WANGANUI</v>
      </c>
      <c r="B572" t="str">
        <f>'Unformatted Trip Summary'!J570</f>
        <v>2017/18</v>
      </c>
      <c r="C572" t="str">
        <f>'Unformatted Trip Summary'!I570</f>
        <v>Light Vehicle Passenger</v>
      </c>
      <c r="D572">
        <f>'Unformatted Trip Summary'!D570</f>
        <v>425</v>
      </c>
      <c r="E572">
        <f>'Unformatted Trip Summary'!E570</f>
        <v>2071</v>
      </c>
      <c r="F572" s="1">
        <f>'Unformatted Trip Summary'!F570</f>
        <v>82.778767528000003</v>
      </c>
      <c r="G572" s="1">
        <f>'Unformatted Trip Summary'!G570</f>
        <v>897.08027162999997</v>
      </c>
      <c r="H572" s="1">
        <f>'Unformatted Trip Summary'!H570</f>
        <v>20.338517210999999</v>
      </c>
    </row>
    <row r="573" spans="1:8" x14ac:dyDescent="0.25">
      <c r="A573" t="str">
        <f>'Unformatted Trip Summary'!A571</f>
        <v>08 MANAWATU-WANGANUI</v>
      </c>
      <c r="B573" t="str">
        <f>'Unformatted Trip Summary'!J571</f>
        <v>2022/23</v>
      </c>
      <c r="C573" t="str">
        <f>'Unformatted Trip Summary'!I571</f>
        <v>Light Vehicle Passenger</v>
      </c>
      <c r="D573">
        <f>'Unformatted Trip Summary'!D571</f>
        <v>425</v>
      </c>
      <c r="E573">
        <f>'Unformatted Trip Summary'!E571</f>
        <v>2071</v>
      </c>
      <c r="F573" s="1">
        <f>'Unformatted Trip Summary'!F571</f>
        <v>81.014987134999998</v>
      </c>
      <c r="G573" s="1">
        <f>'Unformatted Trip Summary'!G571</f>
        <v>894.07598287999997</v>
      </c>
      <c r="H573" s="1">
        <f>'Unformatted Trip Summary'!H571</f>
        <v>20.141180162000001</v>
      </c>
    </row>
    <row r="574" spans="1:8" x14ac:dyDescent="0.25">
      <c r="A574" t="str">
        <f>'Unformatted Trip Summary'!A572</f>
        <v>08 MANAWATU-WANGANUI</v>
      </c>
      <c r="B574" t="str">
        <f>'Unformatted Trip Summary'!J572</f>
        <v>2027/28</v>
      </c>
      <c r="C574" t="str">
        <f>'Unformatted Trip Summary'!I572</f>
        <v>Light Vehicle Passenger</v>
      </c>
      <c r="D574">
        <f>'Unformatted Trip Summary'!D572</f>
        <v>425</v>
      </c>
      <c r="E574">
        <f>'Unformatted Trip Summary'!E572</f>
        <v>2071</v>
      </c>
      <c r="F574" s="1">
        <f>'Unformatted Trip Summary'!F572</f>
        <v>78.713376206999996</v>
      </c>
      <c r="G574" s="1">
        <f>'Unformatted Trip Summary'!G572</f>
        <v>889.38199902999997</v>
      </c>
      <c r="H574" s="1">
        <f>'Unformatted Trip Summary'!H572</f>
        <v>19.836699343999999</v>
      </c>
    </row>
    <row r="575" spans="1:8" x14ac:dyDescent="0.25">
      <c r="A575" t="str">
        <f>'Unformatted Trip Summary'!A573</f>
        <v>08 MANAWATU-WANGANUI</v>
      </c>
      <c r="B575" t="str">
        <f>'Unformatted Trip Summary'!J573</f>
        <v>2032/33</v>
      </c>
      <c r="C575" t="str">
        <f>'Unformatted Trip Summary'!I573</f>
        <v>Light Vehicle Passenger</v>
      </c>
      <c r="D575">
        <f>'Unformatted Trip Summary'!D573</f>
        <v>425</v>
      </c>
      <c r="E575">
        <f>'Unformatted Trip Summary'!E573</f>
        <v>2071</v>
      </c>
      <c r="F575" s="1">
        <f>'Unformatted Trip Summary'!F573</f>
        <v>77.007120647999997</v>
      </c>
      <c r="G575" s="1">
        <f>'Unformatted Trip Summary'!G573</f>
        <v>892.43011753999997</v>
      </c>
      <c r="H575" s="1">
        <f>'Unformatted Trip Summary'!H573</f>
        <v>19.719286969999999</v>
      </c>
    </row>
    <row r="576" spans="1:8" x14ac:dyDescent="0.25">
      <c r="A576" t="str">
        <f>'Unformatted Trip Summary'!A574</f>
        <v>08 MANAWATU-WANGANUI</v>
      </c>
      <c r="B576" t="str">
        <f>'Unformatted Trip Summary'!J574</f>
        <v>2037/38</v>
      </c>
      <c r="C576" t="str">
        <f>'Unformatted Trip Summary'!I574</f>
        <v>Light Vehicle Passenger</v>
      </c>
      <c r="D576">
        <f>'Unformatted Trip Summary'!D574</f>
        <v>425</v>
      </c>
      <c r="E576">
        <f>'Unformatted Trip Summary'!E574</f>
        <v>2071</v>
      </c>
      <c r="F576" s="1">
        <f>'Unformatted Trip Summary'!F574</f>
        <v>74.564229058999999</v>
      </c>
      <c r="G576" s="1">
        <f>'Unformatted Trip Summary'!G574</f>
        <v>889.73545634000004</v>
      </c>
      <c r="H576" s="1">
        <f>'Unformatted Trip Summary'!H574</f>
        <v>19.491724972</v>
      </c>
    </row>
    <row r="577" spans="1:8" x14ac:dyDescent="0.25">
      <c r="A577" t="str">
        <f>'Unformatted Trip Summary'!A575</f>
        <v>08 MANAWATU-WANGANUI</v>
      </c>
      <c r="B577" t="str">
        <f>'Unformatted Trip Summary'!J575</f>
        <v>2042/43</v>
      </c>
      <c r="C577" t="str">
        <f>'Unformatted Trip Summary'!I575</f>
        <v>Light Vehicle Passenger</v>
      </c>
      <c r="D577">
        <f>'Unformatted Trip Summary'!D575</f>
        <v>425</v>
      </c>
      <c r="E577">
        <f>'Unformatted Trip Summary'!E575</f>
        <v>2071</v>
      </c>
      <c r="F577" s="1">
        <f>'Unformatted Trip Summary'!F575</f>
        <v>71.857825821000006</v>
      </c>
      <c r="G577" s="1">
        <f>'Unformatted Trip Summary'!G575</f>
        <v>884.17732663000004</v>
      </c>
      <c r="H577" s="1">
        <f>'Unformatted Trip Summary'!H575</f>
        <v>19.192984224</v>
      </c>
    </row>
    <row r="578" spans="1:8" x14ac:dyDescent="0.25">
      <c r="A578" t="str">
        <f>'Unformatted Trip Summary'!A576</f>
        <v>08 MANAWATU-WANGANUI</v>
      </c>
      <c r="B578" t="str">
        <f>'Unformatted Trip Summary'!J576</f>
        <v>2012/13</v>
      </c>
      <c r="C578" t="str">
        <f>'Unformatted Trip Summary'!I576</f>
        <v>Taxi/Vehicle Share</v>
      </c>
      <c r="D578">
        <f>'Unformatted Trip Summary'!D576</f>
        <v>16</v>
      </c>
      <c r="E578">
        <f>'Unformatted Trip Summary'!E576</f>
        <v>32</v>
      </c>
      <c r="F578" s="1">
        <f>'Unformatted Trip Summary'!F576</f>
        <v>0.99874441920000001</v>
      </c>
      <c r="G578" s="1">
        <f>'Unformatted Trip Summary'!G576</f>
        <v>5.6344181790999999</v>
      </c>
      <c r="H578" s="1">
        <f>'Unformatted Trip Summary'!H576</f>
        <v>0.26821620219999998</v>
      </c>
    </row>
    <row r="579" spans="1:8" x14ac:dyDescent="0.25">
      <c r="A579" t="str">
        <f>'Unformatted Trip Summary'!A577</f>
        <v>08 MANAWATU-WANGANUI</v>
      </c>
      <c r="B579" t="str">
        <f>'Unformatted Trip Summary'!J577</f>
        <v>2017/18</v>
      </c>
      <c r="C579" t="str">
        <f>'Unformatted Trip Summary'!I577</f>
        <v>Taxi/Vehicle Share</v>
      </c>
      <c r="D579">
        <f>'Unformatted Trip Summary'!D577</f>
        <v>16</v>
      </c>
      <c r="E579">
        <f>'Unformatted Trip Summary'!E577</f>
        <v>32</v>
      </c>
      <c r="F579" s="1">
        <f>'Unformatted Trip Summary'!F577</f>
        <v>1.0883912469000001</v>
      </c>
      <c r="G579" s="1">
        <f>'Unformatted Trip Summary'!G577</f>
        <v>6.7048361874999998</v>
      </c>
      <c r="H579" s="1">
        <f>'Unformatted Trip Summary'!H577</f>
        <v>0.3145015203</v>
      </c>
    </row>
    <row r="580" spans="1:8" x14ac:dyDescent="0.25">
      <c r="A580" t="str">
        <f>'Unformatted Trip Summary'!A578</f>
        <v>08 MANAWATU-WANGANUI</v>
      </c>
      <c r="B580" t="str">
        <f>'Unformatted Trip Summary'!J578</f>
        <v>2022/23</v>
      </c>
      <c r="C580" t="str">
        <f>'Unformatted Trip Summary'!I578</f>
        <v>Taxi/Vehicle Share</v>
      </c>
      <c r="D580">
        <f>'Unformatted Trip Summary'!D578</f>
        <v>16</v>
      </c>
      <c r="E580">
        <f>'Unformatted Trip Summary'!E578</f>
        <v>32</v>
      </c>
      <c r="F580" s="1">
        <f>'Unformatted Trip Summary'!F578</f>
        <v>1.1161906679</v>
      </c>
      <c r="G580" s="1">
        <f>'Unformatted Trip Summary'!G578</f>
        <v>7.3398777645999997</v>
      </c>
      <c r="H580" s="1">
        <f>'Unformatted Trip Summary'!H578</f>
        <v>0.33970839009999998</v>
      </c>
    </row>
    <row r="581" spans="1:8" x14ac:dyDescent="0.25">
      <c r="A581" t="str">
        <f>'Unformatted Trip Summary'!A579</f>
        <v>08 MANAWATU-WANGANUI</v>
      </c>
      <c r="B581" t="str">
        <f>'Unformatted Trip Summary'!J579</f>
        <v>2027/28</v>
      </c>
      <c r="C581" t="str">
        <f>'Unformatted Trip Summary'!I579</f>
        <v>Taxi/Vehicle Share</v>
      </c>
      <c r="D581">
        <f>'Unformatted Trip Summary'!D579</f>
        <v>16</v>
      </c>
      <c r="E581">
        <f>'Unformatted Trip Summary'!E579</f>
        <v>32</v>
      </c>
      <c r="F581" s="1">
        <f>'Unformatted Trip Summary'!F579</f>
        <v>1.0774708216</v>
      </c>
      <c r="G581" s="1">
        <f>'Unformatted Trip Summary'!G579</f>
        <v>7.4580330158999999</v>
      </c>
      <c r="H581" s="1">
        <f>'Unformatted Trip Summary'!H579</f>
        <v>0.34063163829999998</v>
      </c>
    </row>
    <row r="582" spans="1:8" x14ac:dyDescent="0.25">
      <c r="A582" t="str">
        <f>'Unformatted Trip Summary'!A580</f>
        <v>08 MANAWATU-WANGANUI</v>
      </c>
      <c r="B582" t="str">
        <f>'Unformatted Trip Summary'!J580</f>
        <v>2032/33</v>
      </c>
      <c r="C582" t="str">
        <f>'Unformatted Trip Summary'!I580</f>
        <v>Taxi/Vehicle Share</v>
      </c>
      <c r="D582">
        <f>'Unformatted Trip Summary'!D580</f>
        <v>16</v>
      </c>
      <c r="E582">
        <f>'Unformatted Trip Summary'!E580</f>
        <v>32</v>
      </c>
      <c r="F582" s="1">
        <f>'Unformatted Trip Summary'!F580</f>
        <v>1.0329405705000001</v>
      </c>
      <c r="G582" s="1">
        <f>'Unformatted Trip Summary'!G580</f>
        <v>7.5199853953</v>
      </c>
      <c r="H582" s="1">
        <f>'Unformatted Trip Summary'!H580</f>
        <v>0.34002711569999999</v>
      </c>
    </row>
    <row r="583" spans="1:8" x14ac:dyDescent="0.25">
      <c r="A583" t="str">
        <f>'Unformatted Trip Summary'!A581</f>
        <v>08 MANAWATU-WANGANUI</v>
      </c>
      <c r="B583" t="str">
        <f>'Unformatted Trip Summary'!J581</f>
        <v>2037/38</v>
      </c>
      <c r="C583" t="str">
        <f>'Unformatted Trip Summary'!I581</f>
        <v>Taxi/Vehicle Share</v>
      </c>
      <c r="D583">
        <f>'Unformatted Trip Summary'!D581</f>
        <v>16</v>
      </c>
      <c r="E583">
        <f>'Unformatted Trip Summary'!E581</f>
        <v>32</v>
      </c>
      <c r="F583" s="1">
        <f>'Unformatted Trip Summary'!F581</f>
        <v>1.0419050788999999</v>
      </c>
      <c r="G583" s="1">
        <f>'Unformatted Trip Summary'!G581</f>
        <v>8.0369111137000004</v>
      </c>
      <c r="H583" s="1">
        <f>'Unformatted Trip Summary'!H581</f>
        <v>0.35993467200000001</v>
      </c>
    </row>
    <row r="584" spans="1:8" x14ac:dyDescent="0.25">
      <c r="A584" t="str">
        <f>'Unformatted Trip Summary'!A582</f>
        <v>08 MANAWATU-WANGANUI</v>
      </c>
      <c r="B584" t="str">
        <f>'Unformatted Trip Summary'!J582</f>
        <v>2042/43</v>
      </c>
      <c r="C584" t="str">
        <f>'Unformatted Trip Summary'!I582</f>
        <v>Taxi/Vehicle Share</v>
      </c>
      <c r="D584">
        <f>'Unformatted Trip Summary'!D582</f>
        <v>16</v>
      </c>
      <c r="E584">
        <f>'Unformatted Trip Summary'!E582</f>
        <v>32</v>
      </c>
      <c r="F584" s="1">
        <f>'Unformatted Trip Summary'!F582</f>
        <v>1.0537864063</v>
      </c>
      <c r="G584" s="1">
        <f>'Unformatted Trip Summary'!G582</f>
        <v>8.5859613434999993</v>
      </c>
      <c r="H584" s="1">
        <f>'Unformatted Trip Summary'!H582</f>
        <v>0.3812399702</v>
      </c>
    </row>
    <row r="585" spans="1:8" x14ac:dyDescent="0.25">
      <c r="A585" t="str">
        <f>'Unformatted Trip Summary'!A583</f>
        <v>08 MANAWATU-WANGANUI</v>
      </c>
      <c r="B585" t="str">
        <f>'Unformatted Trip Summary'!J583</f>
        <v>2012/13</v>
      </c>
      <c r="C585" t="str">
        <f>'Unformatted Trip Summary'!I583</f>
        <v>Motorcyclist</v>
      </c>
      <c r="D585">
        <f>'Unformatted Trip Summary'!D583</f>
        <v>5</v>
      </c>
      <c r="E585">
        <f>'Unformatted Trip Summary'!E583</f>
        <v>19</v>
      </c>
      <c r="F585" s="1">
        <f>'Unformatted Trip Summary'!F583</f>
        <v>0.79000583589999995</v>
      </c>
      <c r="G585" s="1">
        <f>'Unformatted Trip Summary'!G583</f>
        <v>3.8744282972000001</v>
      </c>
      <c r="H585" s="1">
        <f>'Unformatted Trip Summary'!H583</f>
        <v>0.1643149203</v>
      </c>
    </row>
    <row r="586" spans="1:8" x14ac:dyDescent="0.25">
      <c r="A586" t="str">
        <f>'Unformatted Trip Summary'!A584</f>
        <v>08 MANAWATU-WANGANUI</v>
      </c>
      <c r="B586" t="str">
        <f>'Unformatted Trip Summary'!J584</f>
        <v>2017/18</v>
      </c>
      <c r="C586" t="str">
        <f>'Unformatted Trip Summary'!I584</f>
        <v>Motorcyclist</v>
      </c>
      <c r="D586">
        <f>'Unformatted Trip Summary'!D584</f>
        <v>5</v>
      </c>
      <c r="E586">
        <f>'Unformatted Trip Summary'!E584</f>
        <v>19</v>
      </c>
      <c r="F586" s="1">
        <f>'Unformatted Trip Summary'!F584</f>
        <v>0.72279976000000001</v>
      </c>
      <c r="G586" s="1">
        <f>'Unformatted Trip Summary'!G584</f>
        <v>4.1839188643999998</v>
      </c>
      <c r="H586" s="1">
        <f>'Unformatted Trip Summary'!H584</f>
        <v>0.15677724530000001</v>
      </c>
    </row>
    <row r="587" spans="1:8" x14ac:dyDescent="0.25">
      <c r="A587" t="str">
        <f>'Unformatted Trip Summary'!A585</f>
        <v>08 MANAWATU-WANGANUI</v>
      </c>
      <c r="B587" t="str">
        <f>'Unformatted Trip Summary'!J585</f>
        <v>2022/23</v>
      </c>
      <c r="C587" t="str">
        <f>'Unformatted Trip Summary'!I585</f>
        <v>Motorcyclist</v>
      </c>
      <c r="D587">
        <f>'Unformatted Trip Summary'!D585</f>
        <v>5</v>
      </c>
      <c r="E587">
        <f>'Unformatted Trip Summary'!E585</f>
        <v>19</v>
      </c>
      <c r="F587" s="1">
        <f>'Unformatted Trip Summary'!F585</f>
        <v>0.64634379259999997</v>
      </c>
      <c r="G587" s="1">
        <f>'Unformatted Trip Summary'!G585</f>
        <v>4.2864243523000001</v>
      </c>
      <c r="H587" s="1">
        <f>'Unformatted Trip Summary'!H585</f>
        <v>0.1456914866</v>
      </c>
    </row>
    <row r="588" spans="1:8" x14ac:dyDescent="0.25">
      <c r="A588" t="str">
        <f>'Unformatted Trip Summary'!A586</f>
        <v>08 MANAWATU-WANGANUI</v>
      </c>
      <c r="B588" t="str">
        <f>'Unformatted Trip Summary'!J586</f>
        <v>2027/28</v>
      </c>
      <c r="C588" t="str">
        <f>'Unformatted Trip Summary'!I586</f>
        <v>Motorcyclist</v>
      </c>
      <c r="D588">
        <f>'Unformatted Trip Summary'!D586</f>
        <v>5</v>
      </c>
      <c r="E588">
        <f>'Unformatted Trip Summary'!E586</f>
        <v>19</v>
      </c>
      <c r="F588" s="1">
        <f>'Unformatted Trip Summary'!F586</f>
        <v>0.55375817729999999</v>
      </c>
      <c r="G588" s="1">
        <f>'Unformatted Trip Summary'!G586</f>
        <v>4.1033343316000002</v>
      </c>
      <c r="H588" s="1">
        <f>'Unformatted Trip Summary'!H586</f>
        <v>0.12919011559999999</v>
      </c>
    </row>
    <row r="589" spans="1:8" x14ac:dyDescent="0.25">
      <c r="A589" t="str">
        <f>'Unformatted Trip Summary'!A587</f>
        <v>08 MANAWATU-WANGANUI</v>
      </c>
      <c r="B589" t="str">
        <f>'Unformatted Trip Summary'!J587</f>
        <v>2032/33</v>
      </c>
      <c r="C589" t="str">
        <f>'Unformatted Trip Summary'!I587</f>
        <v>Motorcyclist</v>
      </c>
      <c r="D589">
        <f>'Unformatted Trip Summary'!D587</f>
        <v>5</v>
      </c>
      <c r="E589">
        <f>'Unformatted Trip Summary'!E587</f>
        <v>19</v>
      </c>
      <c r="F589" s="1">
        <f>'Unformatted Trip Summary'!F587</f>
        <v>0.50120643490000005</v>
      </c>
      <c r="G589" s="1">
        <f>'Unformatted Trip Summary'!G587</f>
        <v>3.9086050006000002</v>
      </c>
      <c r="H589" s="1">
        <f>'Unformatted Trip Summary'!H587</f>
        <v>0.11908908109999999</v>
      </c>
    </row>
    <row r="590" spans="1:8" x14ac:dyDescent="0.25">
      <c r="A590" t="str">
        <f>'Unformatted Trip Summary'!A588</f>
        <v>08 MANAWATU-WANGANUI</v>
      </c>
      <c r="B590" t="str">
        <f>'Unformatted Trip Summary'!J588</f>
        <v>2037/38</v>
      </c>
      <c r="C590" t="str">
        <f>'Unformatted Trip Summary'!I588</f>
        <v>Motorcyclist</v>
      </c>
      <c r="D590">
        <f>'Unformatted Trip Summary'!D588</f>
        <v>5</v>
      </c>
      <c r="E590">
        <f>'Unformatted Trip Summary'!E588</f>
        <v>19</v>
      </c>
      <c r="F590" s="1">
        <f>'Unformatted Trip Summary'!F588</f>
        <v>0.47929156140000001</v>
      </c>
      <c r="G590" s="1">
        <f>'Unformatted Trip Summary'!G588</f>
        <v>3.8145017852000001</v>
      </c>
      <c r="H590" s="1">
        <f>'Unformatted Trip Summary'!H588</f>
        <v>0.1149457868</v>
      </c>
    </row>
    <row r="591" spans="1:8" x14ac:dyDescent="0.25">
      <c r="A591" t="str">
        <f>'Unformatted Trip Summary'!A589</f>
        <v>08 MANAWATU-WANGANUI</v>
      </c>
      <c r="B591" t="str">
        <f>'Unformatted Trip Summary'!J589</f>
        <v>2042/43</v>
      </c>
      <c r="C591" t="str">
        <f>'Unformatted Trip Summary'!I589</f>
        <v>Motorcyclist</v>
      </c>
      <c r="D591">
        <f>'Unformatted Trip Summary'!D589</f>
        <v>5</v>
      </c>
      <c r="E591">
        <f>'Unformatted Trip Summary'!E589</f>
        <v>19</v>
      </c>
      <c r="F591" s="1">
        <f>'Unformatted Trip Summary'!F589</f>
        <v>0.45089824550000002</v>
      </c>
      <c r="G591" s="1">
        <f>'Unformatted Trip Summary'!G589</f>
        <v>3.6962655669000002</v>
      </c>
      <c r="H591" s="1">
        <f>'Unformatted Trip Summary'!H589</f>
        <v>0.1094982769</v>
      </c>
    </row>
    <row r="592" spans="1:8" x14ac:dyDescent="0.25">
      <c r="A592" t="str">
        <f>'Unformatted Trip Summary'!A590</f>
        <v>08 MANAWATU-WANGANUI</v>
      </c>
      <c r="B592" t="str">
        <f>'Unformatted Trip Summary'!J590</f>
        <v>2012/13</v>
      </c>
      <c r="C592" t="str">
        <f>'Unformatted Trip Summary'!I590</f>
        <v>Local Bus</v>
      </c>
      <c r="D592">
        <f>'Unformatted Trip Summary'!D590</f>
        <v>41</v>
      </c>
      <c r="E592">
        <f>'Unformatted Trip Summary'!E590</f>
        <v>90</v>
      </c>
      <c r="F592" s="1">
        <f>'Unformatted Trip Summary'!F590</f>
        <v>5.2110099151</v>
      </c>
      <c r="G592" s="1">
        <f>'Unformatted Trip Summary'!G590</f>
        <v>39.768452936000003</v>
      </c>
      <c r="H592" s="1">
        <f>'Unformatted Trip Summary'!H590</f>
        <v>1.7349616699999999</v>
      </c>
    </row>
    <row r="593" spans="1:8" x14ac:dyDescent="0.25">
      <c r="A593" t="str">
        <f>'Unformatted Trip Summary'!A591</f>
        <v>08 MANAWATU-WANGANUI</v>
      </c>
      <c r="B593" t="str">
        <f>'Unformatted Trip Summary'!J591</f>
        <v>2017/18</v>
      </c>
      <c r="C593" t="str">
        <f>'Unformatted Trip Summary'!I591</f>
        <v>Local Bus</v>
      </c>
      <c r="D593">
        <f>'Unformatted Trip Summary'!D591</f>
        <v>41</v>
      </c>
      <c r="E593">
        <f>'Unformatted Trip Summary'!E591</f>
        <v>90</v>
      </c>
      <c r="F593" s="1">
        <f>'Unformatted Trip Summary'!F591</f>
        <v>4.7340379806000001</v>
      </c>
      <c r="G593" s="1">
        <f>'Unformatted Trip Summary'!G591</f>
        <v>34.946754415000001</v>
      </c>
      <c r="H593" s="1">
        <f>'Unformatted Trip Summary'!H591</f>
        <v>1.5706345661000001</v>
      </c>
    </row>
    <row r="594" spans="1:8" x14ac:dyDescent="0.25">
      <c r="A594" t="str">
        <f>'Unformatted Trip Summary'!A592</f>
        <v>08 MANAWATU-WANGANUI</v>
      </c>
      <c r="B594" t="str">
        <f>'Unformatted Trip Summary'!J592</f>
        <v>2022/23</v>
      </c>
      <c r="C594" t="str">
        <f>'Unformatted Trip Summary'!I592</f>
        <v>Local Bus</v>
      </c>
      <c r="D594">
        <f>'Unformatted Trip Summary'!D592</f>
        <v>41</v>
      </c>
      <c r="E594">
        <f>'Unformatted Trip Summary'!E592</f>
        <v>90</v>
      </c>
      <c r="F594" s="1">
        <f>'Unformatted Trip Summary'!F592</f>
        <v>4.3505879350000001</v>
      </c>
      <c r="G594" s="1">
        <f>'Unformatted Trip Summary'!G592</f>
        <v>31.346787525</v>
      </c>
      <c r="H594" s="1">
        <f>'Unformatted Trip Summary'!H592</f>
        <v>1.4308727184000001</v>
      </c>
    </row>
    <row r="595" spans="1:8" x14ac:dyDescent="0.25">
      <c r="A595" t="str">
        <f>'Unformatted Trip Summary'!A593</f>
        <v>08 MANAWATU-WANGANUI</v>
      </c>
      <c r="B595" t="str">
        <f>'Unformatted Trip Summary'!J593</f>
        <v>2027/28</v>
      </c>
      <c r="C595" t="str">
        <f>'Unformatted Trip Summary'!I593</f>
        <v>Local Bus</v>
      </c>
      <c r="D595">
        <f>'Unformatted Trip Summary'!D593</f>
        <v>41</v>
      </c>
      <c r="E595">
        <f>'Unformatted Trip Summary'!E593</f>
        <v>90</v>
      </c>
      <c r="F595" s="1">
        <f>'Unformatted Trip Summary'!F593</f>
        <v>4.0837814391</v>
      </c>
      <c r="G595" s="1">
        <f>'Unformatted Trip Summary'!G593</f>
        <v>28.828755388000001</v>
      </c>
      <c r="H595" s="1">
        <f>'Unformatted Trip Summary'!H593</f>
        <v>1.3233301480999999</v>
      </c>
    </row>
    <row r="596" spans="1:8" x14ac:dyDescent="0.25">
      <c r="A596" t="str">
        <f>'Unformatted Trip Summary'!A594</f>
        <v>08 MANAWATU-WANGANUI</v>
      </c>
      <c r="B596" t="str">
        <f>'Unformatted Trip Summary'!J594</f>
        <v>2032/33</v>
      </c>
      <c r="C596" t="str">
        <f>'Unformatted Trip Summary'!I594</f>
        <v>Local Bus</v>
      </c>
      <c r="D596">
        <f>'Unformatted Trip Summary'!D594</f>
        <v>41</v>
      </c>
      <c r="E596">
        <f>'Unformatted Trip Summary'!E594</f>
        <v>90</v>
      </c>
      <c r="F596" s="1">
        <f>'Unformatted Trip Summary'!F594</f>
        <v>3.8155339067999998</v>
      </c>
      <c r="G596" s="1">
        <f>'Unformatted Trip Summary'!G594</f>
        <v>26.365692819</v>
      </c>
      <c r="H596" s="1">
        <f>'Unformatted Trip Summary'!H594</f>
        <v>1.2273890479</v>
      </c>
    </row>
    <row r="597" spans="1:8" x14ac:dyDescent="0.25">
      <c r="A597" t="str">
        <f>'Unformatted Trip Summary'!A595</f>
        <v>08 MANAWATU-WANGANUI</v>
      </c>
      <c r="B597" t="str">
        <f>'Unformatted Trip Summary'!J595</f>
        <v>2037/38</v>
      </c>
      <c r="C597" t="str">
        <f>'Unformatted Trip Summary'!I595</f>
        <v>Local Bus</v>
      </c>
      <c r="D597">
        <f>'Unformatted Trip Summary'!D595</f>
        <v>41</v>
      </c>
      <c r="E597">
        <f>'Unformatted Trip Summary'!E595</f>
        <v>90</v>
      </c>
      <c r="F597" s="1">
        <f>'Unformatted Trip Summary'!F595</f>
        <v>3.5688865813000001</v>
      </c>
      <c r="G597" s="1">
        <f>'Unformatted Trip Summary'!G595</f>
        <v>24.214203065</v>
      </c>
      <c r="H597" s="1">
        <f>'Unformatted Trip Summary'!H595</f>
        <v>1.1292344717</v>
      </c>
    </row>
    <row r="598" spans="1:8" x14ac:dyDescent="0.25">
      <c r="A598" t="str">
        <f>'Unformatted Trip Summary'!A596</f>
        <v>08 MANAWATU-WANGANUI</v>
      </c>
      <c r="B598" t="str">
        <f>'Unformatted Trip Summary'!J596</f>
        <v>2042/43</v>
      </c>
      <c r="C598" t="str">
        <f>'Unformatted Trip Summary'!I596</f>
        <v>Local Bus</v>
      </c>
      <c r="D598">
        <f>'Unformatted Trip Summary'!D596</f>
        <v>41</v>
      </c>
      <c r="E598">
        <f>'Unformatted Trip Summary'!E596</f>
        <v>90</v>
      </c>
      <c r="F598" s="1">
        <f>'Unformatted Trip Summary'!F596</f>
        <v>3.2899886270000001</v>
      </c>
      <c r="G598" s="1">
        <f>'Unformatted Trip Summary'!G596</f>
        <v>22.020428528</v>
      </c>
      <c r="H598" s="1">
        <f>'Unformatted Trip Summary'!H596</f>
        <v>1.0251418752999999</v>
      </c>
    </row>
    <row r="599" spans="1:8" x14ac:dyDescent="0.25">
      <c r="A599" t="str">
        <f>'Unformatted Trip Summary'!A597</f>
        <v>08 MANAWATU-WANGANUI</v>
      </c>
      <c r="B599" t="str">
        <f>'Unformatted Trip Summary'!J597</f>
        <v>2012/13</v>
      </c>
      <c r="C599" t="str">
        <f>'Unformatted Trip Summary'!I597</f>
        <v>Local Ferry</v>
      </c>
      <c r="D599">
        <f>'Unformatted Trip Summary'!D597</f>
        <v>2</v>
      </c>
      <c r="E599">
        <f>'Unformatted Trip Summary'!E597</f>
        <v>4</v>
      </c>
      <c r="F599" s="1">
        <f>'Unformatted Trip Summary'!F597</f>
        <v>0.1068619116</v>
      </c>
      <c r="G599" s="1">
        <f>'Unformatted Trip Summary'!G597</f>
        <v>0</v>
      </c>
      <c r="H599" s="1">
        <f>'Unformatted Trip Summary'!H597</f>
        <v>1.3357739E-2</v>
      </c>
    </row>
    <row r="600" spans="1:8" x14ac:dyDescent="0.25">
      <c r="A600" t="str">
        <f>'Unformatted Trip Summary'!A598</f>
        <v>08 MANAWATU-WANGANUI</v>
      </c>
      <c r="B600" t="str">
        <f>'Unformatted Trip Summary'!J598</f>
        <v>2017/18</v>
      </c>
      <c r="C600" t="str">
        <f>'Unformatted Trip Summary'!I598</f>
        <v>Local Ferry</v>
      </c>
      <c r="D600">
        <f>'Unformatted Trip Summary'!D598</f>
        <v>2</v>
      </c>
      <c r="E600">
        <f>'Unformatted Trip Summary'!E598</f>
        <v>4</v>
      </c>
      <c r="F600" s="1">
        <f>'Unformatted Trip Summary'!F598</f>
        <v>0.1180056875</v>
      </c>
      <c r="G600" s="1">
        <f>'Unformatted Trip Summary'!G598</f>
        <v>0</v>
      </c>
      <c r="H600" s="1">
        <f>'Unformatted Trip Summary'!H598</f>
        <v>1.47507109E-2</v>
      </c>
    </row>
    <row r="601" spans="1:8" x14ac:dyDescent="0.25">
      <c r="A601" t="str">
        <f>'Unformatted Trip Summary'!A599</f>
        <v>08 MANAWATU-WANGANUI</v>
      </c>
      <c r="B601" t="str">
        <f>'Unformatted Trip Summary'!J599</f>
        <v>2022/23</v>
      </c>
      <c r="C601" t="str">
        <f>'Unformatted Trip Summary'!I599</f>
        <v>Local Ferry</v>
      </c>
      <c r="D601">
        <f>'Unformatted Trip Summary'!D599</f>
        <v>2</v>
      </c>
      <c r="E601">
        <f>'Unformatted Trip Summary'!E599</f>
        <v>4</v>
      </c>
      <c r="F601" s="1">
        <f>'Unformatted Trip Summary'!F599</f>
        <v>0.12521198380000001</v>
      </c>
      <c r="G601" s="1">
        <f>'Unformatted Trip Summary'!G599</f>
        <v>0</v>
      </c>
      <c r="H601" s="1">
        <f>'Unformatted Trip Summary'!H599</f>
        <v>1.5651498E-2</v>
      </c>
    </row>
    <row r="602" spans="1:8" x14ac:dyDescent="0.25">
      <c r="A602" t="str">
        <f>'Unformatted Trip Summary'!A600</f>
        <v>08 MANAWATU-WANGANUI</v>
      </c>
      <c r="B602" t="str">
        <f>'Unformatted Trip Summary'!J600</f>
        <v>2027/28</v>
      </c>
      <c r="C602" t="str">
        <f>'Unformatted Trip Summary'!I600</f>
        <v>Local Ferry</v>
      </c>
      <c r="D602">
        <f>'Unformatted Trip Summary'!D600</f>
        <v>2</v>
      </c>
      <c r="E602">
        <f>'Unformatted Trip Summary'!E600</f>
        <v>4</v>
      </c>
      <c r="F602" s="1">
        <f>'Unformatted Trip Summary'!F600</f>
        <v>0.13711941659999999</v>
      </c>
      <c r="G602" s="1">
        <f>'Unformatted Trip Summary'!G600</f>
        <v>0</v>
      </c>
      <c r="H602" s="1">
        <f>'Unformatted Trip Summary'!H600</f>
        <v>1.7139927100000001E-2</v>
      </c>
    </row>
    <row r="603" spans="1:8" x14ac:dyDescent="0.25">
      <c r="A603" t="str">
        <f>'Unformatted Trip Summary'!A601</f>
        <v>08 MANAWATU-WANGANUI</v>
      </c>
      <c r="B603" t="str">
        <f>'Unformatted Trip Summary'!J601</f>
        <v>2032/33</v>
      </c>
      <c r="C603" t="str">
        <f>'Unformatted Trip Summary'!I601</f>
        <v>Local Ferry</v>
      </c>
      <c r="D603">
        <f>'Unformatted Trip Summary'!D601</f>
        <v>2</v>
      </c>
      <c r="E603">
        <f>'Unformatted Trip Summary'!E601</f>
        <v>4</v>
      </c>
      <c r="F603" s="1">
        <f>'Unformatted Trip Summary'!F601</f>
        <v>0.1391529994</v>
      </c>
      <c r="G603" s="1">
        <f>'Unformatted Trip Summary'!G601</f>
        <v>0</v>
      </c>
      <c r="H603" s="1">
        <f>'Unformatted Trip Summary'!H601</f>
        <v>1.7394124899999999E-2</v>
      </c>
    </row>
    <row r="604" spans="1:8" x14ac:dyDescent="0.25">
      <c r="A604" t="str">
        <f>'Unformatted Trip Summary'!A602</f>
        <v>08 MANAWATU-WANGANUI</v>
      </c>
      <c r="B604" t="str">
        <f>'Unformatted Trip Summary'!J602</f>
        <v>2037/38</v>
      </c>
      <c r="C604" t="str">
        <f>'Unformatted Trip Summary'!I602</f>
        <v>Local Ferry</v>
      </c>
      <c r="D604">
        <f>'Unformatted Trip Summary'!D602</f>
        <v>2</v>
      </c>
      <c r="E604">
        <f>'Unformatted Trip Summary'!E602</f>
        <v>4</v>
      </c>
      <c r="F604" s="1">
        <f>'Unformatted Trip Summary'!F602</f>
        <v>0.13472141269999999</v>
      </c>
      <c r="G604" s="1">
        <f>'Unformatted Trip Summary'!G602</f>
        <v>0</v>
      </c>
      <c r="H604" s="1">
        <f>'Unformatted Trip Summary'!H602</f>
        <v>1.6840176599999999E-2</v>
      </c>
    </row>
    <row r="605" spans="1:8" x14ac:dyDescent="0.25">
      <c r="A605" t="str">
        <f>'Unformatted Trip Summary'!A603</f>
        <v>08 MANAWATU-WANGANUI</v>
      </c>
      <c r="B605" t="str">
        <f>'Unformatted Trip Summary'!J603</f>
        <v>2042/43</v>
      </c>
      <c r="C605" t="str">
        <f>'Unformatted Trip Summary'!I603</f>
        <v>Local Ferry</v>
      </c>
      <c r="D605">
        <f>'Unformatted Trip Summary'!D603</f>
        <v>2</v>
      </c>
      <c r="E605">
        <f>'Unformatted Trip Summary'!E603</f>
        <v>4</v>
      </c>
      <c r="F605" s="1">
        <f>'Unformatted Trip Summary'!F603</f>
        <v>0.1293568397</v>
      </c>
      <c r="G605" s="1">
        <f>'Unformatted Trip Summary'!G603</f>
        <v>0</v>
      </c>
      <c r="H605" s="1">
        <f>'Unformatted Trip Summary'!H603</f>
        <v>1.6169605E-2</v>
      </c>
    </row>
    <row r="606" spans="1:8" x14ac:dyDescent="0.25">
      <c r="A606" t="str">
        <f>'Unformatted Trip Summary'!A604</f>
        <v>08 MANAWATU-WANGANUI</v>
      </c>
      <c r="B606" t="str">
        <f>'Unformatted Trip Summary'!J604</f>
        <v>2012/13</v>
      </c>
      <c r="C606" t="str">
        <f>'Unformatted Trip Summary'!I604</f>
        <v>Other Household Travel</v>
      </c>
      <c r="D606">
        <f>'Unformatted Trip Summary'!D604</f>
        <v>2</v>
      </c>
      <c r="E606">
        <f>'Unformatted Trip Summary'!E604</f>
        <v>5</v>
      </c>
      <c r="F606" s="1">
        <f>'Unformatted Trip Summary'!F604</f>
        <v>0.24513607779999999</v>
      </c>
      <c r="G606" s="1">
        <f>'Unformatted Trip Summary'!G604</f>
        <v>0</v>
      </c>
      <c r="H606" s="1">
        <f>'Unformatted Trip Summary'!H604</f>
        <v>3.9735238899999997E-2</v>
      </c>
    </row>
    <row r="607" spans="1:8" x14ac:dyDescent="0.25">
      <c r="A607" t="str">
        <f>'Unformatted Trip Summary'!A605</f>
        <v>08 MANAWATU-WANGANUI</v>
      </c>
      <c r="B607" t="str">
        <f>'Unformatted Trip Summary'!J605</f>
        <v>2017/18</v>
      </c>
      <c r="C607" t="str">
        <f>'Unformatted Trip Summary'!I605</f>
        <v>Other Household Travel</v>
      </c>
      <c r="D607">
        <f>'Unformatted Trip Summary'!D605</f>
        <v>2</v>
      </c>
      <c r="E607">
        <f>'Unformatted Trip Summary'!E605</f>
        <v>5</v>
      </c>
      <c r="F607" s="1">
        <f>'Unformatted Trip Summary'!F605</f>
        <v>0.2289719882</v>
      </c>
      <c r="G607" s="1">
        <f>'Unformatted Trip Summary'!G605</f>
        <v>0</v>
      </c>
      <c r="H607" s="1">
        <f>'Unformatted Trip Summary'!H605</f>
        <v>3.7408448300000001E-2</v>
      </c>
    </row>
    <row r="608" spans="1:8" x14ac:dyDescent="0.25">
      <c r="A608" t="str">
        <f>'Unformatted Trip Summary'!A606</f>
        <v>08 MANAWATU-WANGANUI</v>
      </c>
      <c r="B608" t="str">
        <f>'Unformatted Trip Summary'!J606</f>
        <v>2022/23</v>
      </c>
      <c r="C608" t="str">
        <f>'Unformatted Trip Summary'!I606</f>
        <v>Other Household Travel</v>
      </c>
      <c r="D608">
        <f>'Unformatted Trip Summary'!D606</f>
        <v>2</v>
      </c>
      <c r="E608">
        <f>'Unformatted Trip Summary'!E606</f>
        <v>5</v>
      </c>
      <c r="F608" s="1">
        <f>'Unformatted Trip Summary'!F606</f>
        <v>0.2055630759</v>
      </c>
      <c r="G608" s="1">
        <f>'Unformatted Trip Summary'!G606</f>
        <v>0</v>
      </c>
      <c r="H608" s="1">
        <f>'Unformatted Trip Summary'!H606</f>
        <v>3.3477788600000002E-2</v>
      </c>
    </row>
    <row r="609" spans="1:8" x14ac:dyDescent="0.25">
      <c r="A609" t="str">
        <f>'Unformatted Trip Summary'!A607</f>
        <v>08 MANAWATU-WANGANUI</v>
      </c>
      <c r="B609" t="str">
        <f>'Unformatted Trip Summary'!J607</f>
        <v>2027/28</v>
      </c>
      <c r="C609" t="str">
        <f>'Unformatted Trip Summary'!I607</f>
        <v>Other Household Travel</v>
      </c>
      <c r="D609">
        <f>'Unformatted Trip Summary'!D607</f>
        <v>2</v>
      </c>
      <c r="E609">
        <f>'Unformatted Trip Summary'!E607</f>
        <v>5</v>
      </c>
      <c r="F609" s="1">
        <f>'Unformatted Trip Summary'!F607</f>
        <v>0.17642258120000001</v>
      </c>
      <c r="G609" s="1">
        <f>'Unformatted Trip Summary'!G607</f>
        <v>0</v>
      </c>
      <c r="H609" s="1">
        <f>'Unformatted Trip Summary'!H607</f>
        <v>2.9040679999999999E-2</v>
      </c>
    </row>
    <row r="610" spans="1:8" x14ac:dyDescent="0.25">
      <c r="A610" t="str">
        <f>'Unformatted Trip Summary'!A608</f>
        <v>08 MANAWATU-WANGANUI</v>
      </c>
      <c r="B610" t="str">
        <f>'Unformatted Trip Summary'!J608</f>
        <v>2032/33</v>
      </c>
      <c r="C610" t="str">
        <f>'Unformatted Trip Summary'!I608</f>
        <v>Other Household Travel</v>
      </c>
      <c r="D610">
        <f>'Unformatted Trip Summary'!D608</f>
        <v>2</v>
      </c>
      <c r="E610">
        <f>'Unformatted Trip Summary'!E608</f>
        <v>5</v>
      </c>
      <c r="F610" s="1">
        <f>'Unformatted Trip Summary'!F608</f>
        <v>0.15691635900000001</v>
      </c>
      <c r="G610" s="1">
        <f>'Unformatted Trip Summary'!G608</f>
        <v>0</v>
      </c>
      <c r="H610" s="1">
        <f>'Unformatted Trip Summary'!H608</f>
        <v>2.6102468E-2</v>
      </c>
    </row>
    <row r="611" spans="1:8" x14ac:dyDescent="0.25">
      <c r="A611" t="str">
        <f>'Unformatted Trip Summary'!A609</f>
        <v>08 MANAWATU-WANGANUI</v>
      </c>
      <c r="B611" t="str">
        <f>'Unformatted Trip Summary'!J609</f>
        <v>2037/38</v>
      </c>
      <c r="C611" t="str">
        <f>'Unformatted Trip Summary'!I609</f>
        <v>Other Household Travel</v>
      </c>
      <c r="D611">
        <f>'Unformatted Trip Summary'!D609</f>
        <v>2</v>
      </c>
      <c r="E611">
        <f>'Unformatted Trip Summary'!E609</f>
        <v>5</v>
      </c>
      <c r="F611" s="1">
        <f>'Unformatted Trip Summary'!F609</f>
        <v>0.13818034009999999</v>
      </c>
      <c r="G611" s="1">
        <f>'Unformatted Trip Summary'!G609</f>
        <v>0</v>
      </c>
      <c r="H611" s="1">
        <f>'Unformatted Trip Summary'!H609</f>
        <v>2.3498210700000001E-2</v>
      </c>
    </row>
    <row r="612" spans="1:8" x14ac:dyDescent="0.25">
      <c r="A612" t="str">
        <f>'Unformatted Trip Summary'!A610</f>
        <v>08 MANAWATU-WANGANUI</v>
      </c>
      <c r="B612" t="str">
        <f>'Unformatted Trip Summary'!J610</f>
        <v>2042/43</v>
      </c>
      <c r="C612" t="str">
        <f>'Unformatted Trip Summary'!I610</f>
        <v>Other Household Travel</v>
      </c>
      <c r="D612">
        <f>'Unformatted Trip Summary'!D610</f>
        <v>2</v>
      </c>
      <c r="E612">
        <f>'Unformatted Trip Summary'!E610</f>
        <v>5</v>
      </c>
      <c r="F612" s="1">
        <f>'Unformatted Trip Summary'!F610</f>
        <v>0.1189788562</v>
      </c>
      <c r="G612" s="1">
        <f>'Unformatted Trip Summary'!G610</f>
        <v>0</v>
      </c>
      <c r="H612" s="1">
        <f>'Unformatted Trip Summary'!H610</f>
        <v>2.0664275100000001E-2</v>
      </c>
    </row>
    <row r="613" spans="1:8" x14ac:dyDescent="0.25">
      <c r="A613" t="str">
        <f>'Unformatted Trip Summary'!A611</f>
        <v>08 MANAWATU-WANGANUI</v>
      </c>
      <c r="B613" t="str">
        <f>'Unformatted Trip Summary'!J611</f>
        <v>2012/13</v>
      </c>
      <c r="C613" t="str">
        <f>'Unformatted Trip Summary'!I611</f>
        <v>Air/Non-Local PT</v>
      </c>
      <c r="D613">
        <f>'Unformatted Trip Summary'!D611</f>
        <v>7</v>
      </c>
      <c r="E613">
        <f>'Unformatted Trip Summary'!E611</f>
        <v>9</v>
      </c>
      <c r="F613" s="1">
        <f>'Unformatted Trip Summary'!F611</f>
        <v>0.39226351739999998</v>
      </c>
      <c r="G613" s="1">
        <f>'Unformatted Trip Summary'!G611</f>
        <v>21.972430028000002</v>
      </c>
      <c r="H613" s="1">
        <f>'Unformatted Trip Summary'!H611</f>
        <v>0.73590853769999998</v>
      </c>
    </row>
    <row r="614" spans="1:8" x14ac:dyDescent="0.25">
      <c r="A614" t="str">
        <f>'Unformatted Trip Summary'!A612</f>
        <v>08 MANAWATU-WANGANUI</v>
      </c>
      <c r="B614" t="str">
        <f>'Unformatted Trip Summary'!J612</f>
        <v>2017/18</v>
      </c>
      <c r="C614" t="str">
        <f>'Unformatted Trip Summary'!I612</f>
        <v>Air/Non-Local PT</v>
      </c>
      <c r="D614">
        <f>'Unformatted Trip Summary'!D612</f>
        <v>7</v>
      </c>
      <c r="E614">
        <f>'Unformatted Trip Summary'!E612</f>
        <v>9</v>
      </c>
      <c r="F614" s="1">
        <f>'Unformatted Trip Summary'!F612</f>
        <v>0.46737332279999999</v>
      </c>
      <c r="G614" s="1">
        <f>'Unformatted Trip Summary'!G612</f>
        <v>23.895876309999998</v>
      </c>
      <c r="H614" s="1">
        <f>'Unformatted Trip Summary'!H612</f>
        <v>0.84055858319999999</v>
      </c>
    </row>
    <row r="615" spans="1:8" x14ac:dyDescent="0.25">
      <c r="A615" t="str">
        <f>'Unformatted Trip Summary'!A613</f>
        <v>08 MANAWATU-WANGANUI</v>
      </c>
      <c r="B615" t="str">
        <f>'Unformatted Trip Summary'!J613</f>
        <v>2022/23</v>
      </c>
      <c r="C615" t="str">
        <f>'Unformatted Trip Summary'!I613</f>
        <v>Air/Non-Local PT</v>
      </c>
      <c r="D615">
        <f>'Unformatted Trip Summary'!D613</f>
        <v>7</v>
      </c>
      <c r="E615">
        <f>'Unformatted Trip Summary'!E613</f>
        <v>9</v>
      </c>
      <c r="F615" s="1">
        <f>'Unformatted Trip Summary'!F613</f>
        <v>0.53458344199999996</v>
      </c>
      <c r="G615" s="1">
        <f>'Unformatted Trip Summary'!G613</f>
        <v>26.120301912999999</v>
      </c>
      <c r="H615" s="1">
        <f>'Unformatted Trip Summary'!H613</f>
        <v>0.94907879989999999</v>
      </c>
    </row>
    <row r="616" spans="1:8" x14ac:dyDescent="0.25">
      <c r="A616" t="str">
        <f>'Unformatted Trip Summary'!A614</f>
        <v>08 MANAWATU-WANGANUI</v>
      </c>
      <c r="B616" t="str">
        <f>'Unformatted Trip Summary'!J614</f>
        <v>2027/28</v>
      </c>
      <c r="C616" t="str">
        <f>'Unformatted Trip Summary'!I614</f>
        <v>Air/Non-Local PT</v>
      </c>
      <c r="D616">
        <f>'Unformatted Trip Summary'!D614</f>
        <v>7</v>
      </c>
      <c r="E616">
        <f>'Unformatted Trip Summary'!E614</f>
        <v>9</v>
      </c>
      <c r="F616" s="1">
        <f>'Unformatted Trip Summary'!F614</f>
        <v>0.5982101085</v>
      </c>
      <c r="G616" s="1">
        <f>'Unformatted Trip Summary'!G614</f>
        <v>29.413123732999999</v>
      </c>
      <c r="H616" s="1">
        <f>'Unformatted Trip Summary'!H614</f>
        <v>1.0802977197000001</v>
      </c>
    </row>
    <row r="617" spans="1:8" x14ac:dyDescent="0.25">
      <c r="A617" t="str">
        <f>'Unformatted Trip Summary'!A615</f>
        <v>08 MANAWATU-WANGANUI</v>
      </c>
      <c r="B617" t="str">
        <f>'Unformatted Trip Summary'!J615</f>
        <v>2032/33</v>
      </c>
      <c r="C617" t="str">
        <f>'Unformatted Trip Summary'!I615</f>
        <v>Air/Non-Local PT</v>
      </c>
      <c r="D617">
        <f>'Unformatted Trip Summary'!D615</f>
        <v>7</v>
      </c>
      <c r="E617">
        <f>'Unformatted Trip Summary'!E615</f>
        <v>9</v>
      </c>
      <c r="F617" s="1">
        <f>'Unformatted Trip Summary'!F615</f>
        <v>0.64959445540000005</v>
      </c>
      <c r="G617" s="1">
        <f>'Unformatted Trip Summary'!G615</f>
        <v>30.948567548</v>
      </c>
      <c r="H617" s="1">
        <f>'Unformatted Trip Summary'!H615</f>
        <v>1.1773210071</v>
      </c>
    </row>
    <row r="618" spans="1:8" x14ac:dyDescent="0.25">
      <c r="A618" t="str">
        <f>'Unformatted Trip Summary'!A616</f>
        <v>08 MANAWATU-WANGANUI</v>
      </c>
      <c r="B618" t="str">
        <f>'Unformatted Trip Summary'!J616</f>
        <v>2037/38</v>
      </c>
      <c r="C618" t="str">
        <f>'Unformatted Trip Summary'!I616</f>
        <v>Air/Non-Local PT</v>
      </c>
      <c r="D618">
        <f>'Unformatted Trip Summary'!D616</f>
        <v>7</v>
      </c>
      <c r="E618">
        <f>'Unformatted Trip Summary'!E616</f>
        <v>9</v>
      </c>
      <c r="F618" s="1">
        <f>'Unformatted Trip Summary'!F616</f>
        <v>0.68468387600000002</v>
      </c>
      <c r="G618" s="1">
        <f>'Unformatted Trip Summary'!G616</f>
        <v>29.810989309</v>
      </c>
      <c r="H618" s="1">
        <f>'Unformatted Trip Summary'!H616</f>
        <v>1.2070923914</v>
      </c>
    </row>
    <row r="619" spans="1:8" x14ac:dyDescent="0.25">
      <c r="A619" t="str">
        <f>'Unformatted Trip Summary'!A617</f>
        <v>08 MANAWATU-WANGANUI</v>
      </c>
      <c r="B619" t="str">
        <f>'Unformatted Trip Summary'!J617</f>
        <v>2042/43</v>
      </c>
      <c r="C619" t="str">
        <f>'Unformatted Trip Summary'!I617</f>
        <v>Air/Non-Local PT</v>
      </c>
      <c r="D619">
        <f>'Unformatted Trip Summary'!D617</f>
        <v>7</v>
      </c>
      <c r="E619">
        <f>'Unformatted Trip Summary'!E617</f>
        <v>9</v>
      </c>
      <c r="F619" s="1">
        <f>'Unformatted Trip Summary'!F617</f>
        <v>0.71940849250000005</v>
      </c>
      <c r="G619" s="1">
        <f>'Unformatted Trip Summary'!G617</f>
        <v>28.426336656</v>
      </c>
      <c r="H619" s="1">
        <f>'Unformatted Trip Summary'!H617</f>
        <v>1.2313933608000001</v>
      </c>
    </row>
    <row r="620" spans="1:8" x14ac:dyDescent="0.25">
      <c r="A620" t="str">
        <f>'Unformatted Trip Summary'!A618</f>
        <v>08 MANAWATU-WANGANUI</v>
      </c>
      <c r="B620" t="str">
        <f>'Unformatted Trip Summary'!J618</f>
        <v>2012/13</v>
      </c>
      <c r="C620" t="str">
        <f>'Unformatted Trip Summary'!I618</f>
        <v>Non-Household Travel</v>
      </c>
      <c r="D620">
        <f>'Unformatted Trip Summary'!D618</f>
        <v>12</v>
      </c>
      <c r="E620">
        <f>'Unformatted Trip Summary'!E618</f>
        <v>37</v>
      </c>
      <c r="F620" s="1">
        <f>'Unformatted Trip Summary'!F618</f>
        <v>1.6982787315000001</v>
      </c>
      <c r="G620" s="1">
        <f>'Unformatted Trip Summary'!G618</f>
        <v>38.826541556000002</v>
      </c>
      <c r="H620" s="1">
        <f>'Unformatted Trip Summary'!H618</f>
        <v>0.76899050189999996</v>
      </c>
    </row>
    <row r="621" spans="1:8" x14ac:dyDescent="0.25">
      <c r="A621" t="str">
        <f>'Unformatted Trip Summary'!A619</f>
        <v>08 MANAWATU-WANGANUI</v>
      </c>
      <c r="B621" t="str">
        <f>'Unformatted Trip Summary'!J619</f>
        <v>2017/18</v>
      </c>
      <c r="C621" t="str">
        <f>'Unformatted Trip Summary'!I619</f>
        <v>Non-Household Travel</v>
      </c>
      <c r="D621">
        <f>'Unformatted Trip Summary'!D619</f>
        <v>12</v>
      </c>
      <c r="E621">
        <f>'Unformatted Trip Summary'!E619</f>
        <v>37</v>
      </c>
      <c r="F621" s="1">
        <f>'Unformatted Trip Summary'!F619</f>
        <v>1.7100380187999999</v>
      </c>
      <c r="G621" s="1">
        <f>'Unformatted Trip Summary'!G619</f>
        <v>38.317939297000002</v>
      </c>
      <c r="H621" s="1">
        <f>'Unformatted Trip Summary'!H619</f>
        <v>0.77409499520000002</v>
      </c>
    </row>
    <row r="622" spans="1:8" x14ac:dyDescent="0.25">
      <c r="A622" t="str">
        <f>'Unformatted Trip Summary'!A620</f>
        <v>08 MANAWATU-WANGANUI</v>
      </c>
      <c r="B622" t="str">
        <f>'Unformatted Trip Summary'!J620</f>
        <v>2022/23</v>
      </c>
      <c r="C622" t="str">
        <f>'Unformatted Trip Summary'!I620</f>
        <v>Non-Household Travel</v>
      </c>
      <c r="D622">
        <f>'Unformatted Trip Summary'!D620</f>
        <v>12</v>
      </c>
      <c r="E622">
        <f>'Unformatted Trip Summary'!E620</f>
        <v>37</v>
      </c>
      <c r="F622" s="1">
        <f>'Unformatted Trip Summary'!F620</f>
        <v>1.7410704418</v>
      </c>
      <c r="G622" s="1">
        <f>'Unformatted Trip Summary'!G620</f>
        <v>38.847172538999999</v>
      </c>
      <c r="H622" s="1">
        <f>'Unformatted Trip Summary'!H620</f>
        <v>0.79229801030000002</v>
      </c>
    </row>
    <row r="623" spans="1:8" x14ac:dyDescent="0.25">
      <c r="A623" t="str">
        <f>'Unformatted Trip Summary'!A621</f>
        <v>08 MANAWATU-WANGANUI</v>
      </c>
      <c r="B623" t="str">
        <f>'Unformatted Trip Summary'!J621</f>
        <v>2027/28</v>
      </c>
      <c r="C623" t="str">
        <f>'Unformatted Trip Summary'!I621</f>
        <v>Non-Household Travel</v>
      </c>
      <c r="D623">
        <f>'Unformatted Trip Summary'!D621</f>
        <v>12</v>
      </c>
      <c r="E623">
        <f>'Unformatted Trip Summary'!E621</f>
        <v>37</v>
      </c>
      <c r="F623" s="1">
        <f>'Unformatted Trip Summary'!F621</f>
        <v>1.7989480758</v>
      </c>
      <c r="G623" s="1">
        <f>'Unformatted Trip Summary'!G621</f>
        <v>40.593532592999999</v>
      </c>
      <c r="H623" s="1">
        <f>'Unformatted Trip Summary'!H621</f>
        <v>0.8253393752</v>
      </c>
    </row>
    <row r="624" spans="1:8" x14ac:dyDescent="0.25">
      <c r="A624" t="str">
        <f>'Unformatted Trip Summary'!A622</f>
        <v>08 MANAWATU-WANGANUI</v>
      </c>
      <c r="B624" t="str">
        <f>'Unformatted Trip Summary'!J622</f>
        <v>2032/33</v>
      </c>
      <c r="C624" t="str">
        <f>'Unformatted Trip Summary'!I622</f>
        <v>Non-Household Travel</v>
      </c>
      <c r="D624">
        <f>'Unformatted Trip Summary'!D622</f>
        <v>12</v>
      </c>
      <c r="E624">
        <f>'Unformatted Trip Summary'!E622</f>
        <v>37</v>
      </c>
      <c r="F624" s="1">
        <f>'Unformatted Trip Summary'!F622</f>
        <v>1.8064593504999999</v>
      </c>
      <c r="G624" s="1">
        <f>'Unformatted Trip Summary'!G622</f>
        <v>42.213387245</v>
      </c>
      <c r="H624" s="1">
        <f>'Unformatted Trip Summary'!H622</f>
        <v>0.84730179350000001</v>
      </c>
    </row>
    <row r="625" spans="1:8" x14ac:dyDescent="0.25">
      <c r="A625" t="str">
        <f>'Unformatted Trip Summary'!A623</f>
        <v>08 MANAWATU-WANGANUI</v>
      </c>
      <c r="B625" t="str">
        <f>'Unformatted Trip Summary'!J623</f>
        <v>2037/38</v>
      </c>
      <c r="C625" t="str">
        <f>'Unformatted Trip Summary'!I623</f>
        <v>Non-Household Travel</v>
      </c>
      <c r="D625">
        <f>'Unformatted Trip Summary'!D623</f>
        <v>12</v>
      </c>
      <c r="E625">
        <f>'Unformatted Trip Summary'!E623</f>
        <v>37</v>
      </c>
      <c r="F625" s="1">
        <f>'Unformatted Trip Summary'!F623</f>
        <v>1.7704480139000001</v>
      </c>
      <c r="G625" s="1">
        <f>'Unformatted Trip Summary'!G623</f>
        <v>42.196501388999998</v>
      </c>
      <c r="H625" s="1">
        <f>'Unformatted Trip Summary'!H623</f>
        <v>0.8407667244</v>
      </c>
    </row>
    <row r="626" spans="1:8" x14ac:dyDescent="0.25">
      <c r="A626" t="str">
        <f>'Unformatted Trip Summary'!A624</f>
        <v>08 MANAWATU-WANGANUI</v>
      </c>
      <c r="B626" t="str">
        <f>'Unformatted Trip Summary'!J624</f>
        <v>2042/43</v>
      </c>
      <c r="C626" t="str">
        <f>'Unformatted Trip Summary'!I624</f>
        <v>Non-Household Travel</v>
      </c>
      <c r="D626">
        <f>'Unformatted Trip Summary'!D624</f>
        <v>12</v>
      </c>
      <c r="E626">
        <f>'Unformatted Trip Summary'!E624</f>
        <v>37</v>
      </c>
      <c r="F626" s="1">
        <f>'Unformatted Trip Summary'!F624</f>
        <v>1.7172798415999999</v>
      </c>
      <c r="G626" s="1">
        <f>'Unformatted Trip Summary'!G624</f>
        <v>41.848900186000002</v>
      </c>
      <c r="H626" s="1">
        <f>'Unformatted Trip Summary'!H624</f>
        <v>0.82754669759999999</v>
      </c>
    </row>
    <row r="627" spans="1:8" x14ac:dyDescent="0.25">
      <c r="A627" t="str">
        <f>'Unformatted Trip Summary'!A625</f>
        <v>09 WELLINGTON</v>
      </c>
      <c r="B627" t="str">
        <f>'Unformatted Trip Summary'!J625</f>
        <v>2012/13</v>
      </c>
      <c r="C627" t="str">
        <f>'Unformatted Trip Summary'!I625</f>
        <v>Pedestrian</v>
      </c>
      <c r="D627">
        <f>'Unformatted Trip Summary'!D625</f>
        <v>941</v>
      </c>
      <c r="E627">
        <f>'Unformatted Trip Summary'!E625</f>
        <v>4221</v>
      </c>
      <c r="F627" s="1">
        <f>'Unformatted Trip Summary'!F625</f>
        <v>182.29561206</v>
      </c>
      <c r="G627" s="1">
        <f>'Unformatted Trip Summary'!G625</f>
        <v>126.13499251</v>
      </c>
      <c r="H627" s="1">
        <f>'Unformatted Trip Summary'!H625</f>
        <v>32.985647405999998</v>
      </c>
    </row>
    <row r="628" spans="1:8" x14ac:dyDescent="0.25">
      <c r="A628" t="str">
        <f>'Unformatted Trip Summary'!A626</f>
        <v>09 WELLINGTON</v>
      </c>
      <c r="B628" t="str">
        <f>'Unformatted Trip Summary'!J626</f>
        <v>2017/18</v>
      </c>
      <c r="C628" t="str">
        <f>'Unformatted Trip Summary'!I626</f>
        <v>Pedestrian</v>
      </c>
      <c r="D628">
        <f>'Unformatted Trip Summary'!D626</f>
        <v>941</v>
      </c>
      <c r="E628">
        <f>'Unformatted Trip Summary'!E626</f>
        <v>4221</v>
      </c>
      <c r="F628" s="1">
        <f>'Unformatted Trip Summary'!F626</f>
        <v>190.40872615999999</v>
      </c>
      <c r="G628" s="1">
        <f>'Unformatted Trip Summary'!G626</f>
        <v>132.45113541000001</v>
      </c>
      <c r="H628" s="1">
        <f>'Unformatted Trip Summary'!H626</f>
        <v>34.628282974999998</v>
      </c>
    </row>
    <row r="629" spans="1:8" x14ac:dyDescent="0.25">
      <c r="A629" t="str">
        <f>'Unformatted Trip Summary'!A627</f>
        <v>09 WELLINGTON</v>
      </c>
      <c r="B629" t="str">
        <f>'Unformatted Trip Summary'!J627</f>
        <v>2022/23</v>
      </c>
      <c r="C629" t="str">
        <f>'Unformatted Trip Summary'!I627</f>
        <v>Pedestrian</v>
      </c>
      <c r="D629">
        <f>'Unformatted Trip Summary'!D627</f>
        <v>941</v>
      </c>
      <c r="E629">
        <f>'Unformatted Trip Summary'!E627</f>
        <v>4221</v>
      </c>
      <c r="F629" s="1">
        <f>'Unformatted Trip Summary'!F627</f>
        <v>193.73310755</v>
      </c>
      <c r="G629" s="1">
        <f>'Unformatted Trip Summary'!G627</f>
        <v>135.06483802</v>
      </c>
      <c r="H629" s="1">
        <f>'Unformatted Trip Summary'!H627</f>
        <v>35.277926403000002</v>
      </c>
    </row>
    <row r="630" spans="1:8" x14ac:dyDescent="0.25">
      <c r="A630" t="str">
        <f>'Unformatted Trip Summary'!A628</f>
        <v>09 WELLINGTON</v>
      </c>
      <c r="B630" t="str">
        <f>'Unformatted Trip Summary'!J628</f>
        <v>2027/28</v>
      </c>
      <c r="C630" t="str">
        <f>'Unformatted Trip Summary'!I628</f>
        <v>Pedestrian</v>
      </c>
      <c r="D630">
        <f>'Unformatted Trip Summary'!D628</f>
        <v>941</v>
      </c>
      <c r="E630">
        <f>'Unformatted Trip Summary'!E628</f>
        <v>4221</v>
      </c>
      <c r="F630" s="1">
        <f>'Unformatted Trip Summary'!F628</f>
        <v>196.80875022000001</v>
      </c>
      <c r="G630" s="1">
        <f>'Unformatted Trip Summary'!G628</f>
        <v>137.71668699</v>
      </c>
      <c r="H630" s="1">
        <f>'Unformatted Trip Summary'!H628</f>
        <v>36.091399938000002</v>
      </c>
    </row>
    <row r="631" spans="1:8" x14ac:dyDescent="0.25">
      <c r="A631" t="str">
        <f>'Unformatted Trip Summary'!A629</f>
        <v>09 WELLINGTON</v>
      </c>
      <c r="B631" t="str">
        <f>'Unformatted Trip Summary'!J629</f>
        <v>2032/33</v>
      </c>
      <c r="C631" t="str">
        <f>'Unformatted Trip Summary'!I629</f>
        <v>Pedestrian</v>
      </c>
      <c r="D631">
        <f>'Unformatted Trip Summary'!D629</f>
        <v>941</v>
      </c>
      <c r="E631">
        <f>'Unformatted Trip Summary'!E629</f>
        <v>4221</v>
      </c>
      <c r="F631" s="1">
        <f>'Unformatted Trip Summary'!F629</f>
        <v>198.85145539999999</v>
      </c>
      <c r="G631" s="1">
        <f>'Unformatted Trip Summary'!G629</f>
        <v>139.79366095</v>
      </c>
      <c r="H631" s="1">
        <f>'Unformatted Trip Summary'!H629</f>
        <v>36.692474709000003</v>
      </c>
    </row>
    <row r="632" spans="1:8" x14ac:dyDescent="0.25">
      <c r="A632" t="str">
        <f>'Unformatted Trip Summary'!A630</f>
        <v>09 WELLINGTON</v>
      </c>
      <c r="B632" t="str">
        <f>'Unformatted Trip Summary'!J630</f>
        <v>2037/38</v>
      </c>
      <c r="C632" t="str">
        <f>'Unformatted Trip Summary'!I630</f>
        <v>Pedestrian</v>
      </c>
      <c r="D632">
        <f>'Unformatted Trip Summary'!D630</f>
        <v>941</v>
      </c>
      <c r="E632">
        <f>'Unformatted Trip Summary'!E630</f>
        <v>4221</v>
      </c>
      <c r="F632" s="1">
        <f>'Unformatted Trip Summary'!F630</f>
        <v>200.68600108000001</v>
      </c>
      <c r="G632" s="1">
        <f>'Unformatted Trip Summary'!G630</f>
        <v>142.10474904</v>
      </c>
      <c r="H632" s="1">
        <f>'Unformatted Trip Summary'!H630</f>
        <v>37.223403345000001</v>
      </c>
    </row>
    <row r="633" spans="1:8" x14ac:dyDescent="0.25">
      <c r="A633" t="str">
        <f>'Unformatted Trip Summary'!A631</f>
        <v>09 WELLINGTON</v>
      </c>
      <c r="B633" t="str">
        <f>'Unformatted Trip Summary'!J631</f>
        <v>2042/43</v>
      </c>
      <c r="C633" t="str">
        <f>'Unformatted Trip Summary'!I631</f>
        <v>Pedestrian</v>
      </c>
      <c r="D633">
        <f>'Unformatted Trip Summary'!D631</f>
        <v>941</v>
      </c>
      <c r="E633">
        <f>'Unformatted Trip Summary'!E631</f>
        <v>4221</v>
      </c>
      <c r="F633" s="1">
        <f>'Unformatted Trip Summary'!F631</f>
        <v>201.86804825999999</v>
      </c>
      <c r="G633" s="1">
        <f>'Unformatted Trip Summary'!G631</f>
        <v>144.08450284</v>
      </c>
      <c r="H633" s="1">
        <f>'Unformatted Trip Summary'!H631</f>
        <v>37.663206666000001</v>
      </c>
    </row>
    <row r="634" spans="1:8" x14ac:dyDescent="0.25">
      <c r="A634" t="str">
        <f>'Unformatted Trip Summary'!A632</f>
        <v>09 WELLINGTON</v>
      </c>
      <c r="B634" t="str">
        <f>'Unformatted Trip Summary'!J632</f>
        <v>2012/13</v>
      </c>
      <c r="C634" t="str">
        <f>'Unformatted Trip Summary'!I632</f>
        <v>Cyclist</v>
      </c>
      <c r="D634">
        <f>'Unformatted Trip Summary'!D632</f>
        <v>54</v>
      </c>
      <c r="E634">
        <f>'Unformatted Trip Summary'!E632</f>
        <v>164</v>
      </c>
      <c r="F634" s="1">
        <f>'Unformatted Trip Summary'!F632</f>
        <v>8.1327913301999999</v>
      </c>
      <c r="G634" s="1">
        <f>'Unformatted Trip Summary'!G632</f>
        <v>52.092312808000003</v>
      </c>
      <c r="H634" s="1">
        <f>'Unformatted Trip Summary'!H632</f>
        <v>3.6978261002999999</v>
      </c>
    </row>
    <row r="635" spans="1:8" x14ac:dyDescent="0.25">
      <c r="A635" t="str">
        <f>'Unformatted Trip Summary'!A633</f>
        <v>09 WELLINGTON</v>
      </c>
      <c r="B635" t="str">
        <f>'Unformatted Trip Summary'!J633</f>
        <v>2017/18</v>
      </c>
      <c r="C635" t="str">
        <f>'Unformatted Trip Summary'!I633</f>
        <v>Cyclist</v>
      </c>
      <c r="D635">
        <f>'Unformatted Trip Summary'!D633</f>
        <v>54</v>
      </c>
      <c r="E635">
        <f>'Unformatted Trip Summary'!E633</f>
        <v>164</v>
      </c>
      <c r="F635" s="1">
        <f>'Unformatted Trip Summary'!F633</f>
        <v>8.2039512521999995</v>
      </c>
      <c r="G635" s="1">
        <f>'Unformatted Trip Summary'!G633</f>
        <v>54.619825529000003</v>
      </c>
      <c r="H635" s="1">
        <f>'Unformatted Trip Summary'!H633</f>
        <v>3.8706390237999999</v>
      </c>
    </row>
    <row r="636" spans="1:8" x14ac:dyDescent="0.25">
      <c r="A636" t="str">
        <f>'Unformatted Trip Summary'!A634</f>
        <v>09 WELLINGTON</v>
      </c>
      <c r="B636" t="str">
        <f>'Unformatted Trip Summary'!J634</f>
        <v>2022/23</v>
      </c>
      <c r="C636" t="str">
        <f>'Unformatted Trip Summary'!I634</f>
        <v>Cyclist</v>
      </c>
      <c r="D636">
        <f>'Unformatted Trip Summary'!D634</f>
        <v>54</v>
      </c>
      <c r="E636">
        <f>'Unformatted Trip Summary'!E634</f>
        <v>164</v>
      </c>
      <c r="F636" s="1">
        <f>'Unformatted Trip Summary'!F634</f>
        <v>8.1176767918999992</v>
      </c>
      <c r="G636" s="1">
        <f>'Unformatted Trip Summary'!G634</f>
        <v>55.456239609999997</v>
      </c>
      <c r="H636" s="1">
        <f>'Unformatted Trip Summary'!H634</f>
        <v>3.9188412526</v>
      </c>
    </row>
    <row r="637" spans="1:8" x14ac:dyDescent="0.25">
      <c r="A637" t="str">
        <f>'Unformatted Trip Summary'!A635</f>
        <v>09 WELLINGTON</v>
      </c>
      <c r="B637" t="str">
        <f>'Unformatted Trip Summary'!J635</f>
        <v>2027/28</v>
      </c>
      <c r="C637" t="str">
        <f>'Unformatted Trip Summary'!I635</f>
        <v>Cyclist</v>
      </c>
      <c r="D637">
        <f>'Unformatted Trip Summary'!D635</f>
        <v>54</v>
      </c>
      <c r="E637">
        <f>'Unformatted Trip Summary'!E635</f>
        <v>164</v>
      </c>
      <c r="F637" s="1">
        <f>'Unformatted Trip Summary'!F635</f>
        <v>7.8079709510999997</v>
      </c>
      <c r="G637" s="1">
        <f>'Unformatted Trip Summary'!G635</f>
        <v>56.716453205999997</v>
      </c>
      <c r="H637" s="1">
        <f>'Unformatted Trip Summary'!H635</f>
        <v>3.9715236813999999</v>
      </c>
    </row>
    <row r="638" spans="1:8" x14ac:dyDescent="0.25">
      <c r="A638" t="str">
        <f>'Unformatted Trip Summary'!A636</f>
        <v>09 WELLINGTON</v>
      </c>
      <c r="B638" t="str">
        <f>'Unformatted Trip Summary'!J636</f>
        <v>2032/33</v>
      </c>
      <c r="C638" t="str">
        <f>'Unformatted Trip Summary'!I636</f>
        <v>Cyclist</v>
      </c>
      <c r="D638">
        <f>'Unformatted Trip Summary'!D636</f>
        <v>54</v>
      </c>
      <c r="E638">
        <f>'Unformatted Trip Summary'!E636</f>
        <v>164</v>
      </c>
      <c r="F638" s="1">
        <f>'Unformatted Trip Summary'!F636</f>
        <v>7.6109124194</v>
      </c>
      <c r="G638" s="1">
        <f>'Unformatted Trip Summary'!G636</f>
        <v>60.390584517000001</v>
      </c>
      <c r="H638" s="1">
        <f>'Unformatted Trip Summary'!H636</f>
        <v>4.1712015988999998</v>
      </c>
    </row>
    <row r="639" spans="1:8" x14ac:dyDescent="0.25">
      <c r="A639" t="str">
        <f>'Unformatted Trip Summary'!A637</f>
        <v>09 WELLINGTON</v>
      </c>
      <c r="B639" t="str">
        <f>'Unformatted Trip Summary'!J637</f>
        <v>2037/38</v>
      </c>
      <c r="C639" t="str">
        <f>'Unformatted Trip Summary'!I637</f>
        <v>Cyclist</v>
      </c>
      <c r="D639">
        <f>'Unformatted Trip Summary'!D637</f>
        <v>54</v>
      </c>
      <c r="E639">
        <f>'Unformatted Trip Summary'!E637</f>
        <v>164</v>
      </c>
      <c r="F639" s="1">
        <f>'Unformatted Trip Summary'!F637</f>
        <v>7.5600450404000004</v>
      </c>
      <c r="G639" s="1">
        <f>'Unformatted Trip Summary'!G637</f>
        <v>65.895244525999999</v>
      </c>
      <c r="H639" s="1">
        <f>'Unformatted Trip Summary'!H637</f>
        <v>4.4943216531000001</v>
      </c>
    </row>
    <row r="640" spans="1:8" x14ac:dyDescent="0.25">
      <c r="A640" t="str">
        <f>'Unformatted Trip Summary'!A638</f>
        <v>09 WELLINGTON</v>
      </c>
      <c r="B640" t="str">
        <f>'Unformatted Trip Summary'!J638</f>
        <v>2042/43</v>
      </c>
      <c r="C640" t="str">
        <f>'Unformatted Trip Summary'!I638</f>
        <v>Cyclist</v>
      </c>
      <c r="D640">
        <f>'Unformatted Trip Summary'!D638</f>
        <v>54</v>
      </c>
      <c r="E640">
        <f>'Unformatted Trip Summary'!E638</f>
        <v>164</v>
      </c>
      <c r="F640" s="1">
        <f>'Unformatted Trip Summary'!F638</f>
        <v>7.5180838595999999</v>
      </c>
      <c r="G640" s="1">
        <f>'Unformatted Trip Summary'!G638</f>
        <v>71.642121337000006</v>
      </c>
      <c r="H640" s="1">
        <f>'Unformatted Trip Summary'!H638</f>
        <v>4.8322216795999999</v>
      </c>
    </row>
    <row r="641" spans="1:8" x14ac:dyDescent="0.25">
      <c r="A641" t="str">
        <f>'Unformatted Trip Summary'!A639</f>
        <v>09 WELLINGTON</v>
      </c>
      <c r="B641" t="str">
        <f>'Unformatted Trip Summary'!J639</f>
        <v>2012/13</v>
      </c>
      <c r="C641" t="str">
        <f>'Unformatted Trip Summary'!I639</f>
        <v>Light Vehicle Driver</v>
      </c>
      <c r="D641">
        <f>'Unformatted Trip Summary'!D639</f>
        <v>1130</v>
      </c>
      <c r="E641">
        <f>'Unformatted Trip Summary'!E639</f>
        <v>8488</v>
      </c>
      <c r="F641" s="1">
        <f>'Unformatted Trip Summary'!F639</f>
        <v>377.93589692</v>
      </c>
      <c r="G641" s="1">
        <f>'Unformatted Trip Summary'!G639</f>
        <v>3481.4296611999998</v>
      </c>
      <c r="H641" s="1">
        <f>'Unformatted Trip Summary'!H639</f>
        <v>92.129697210000003</v>
      </c>
    </row>
    <row r="642" spans="1:8" x14ac:dyDescent="0.25">
      <c r="A642" t="str">
        <f>'Unformatted Trip Summary'!A640</f>
        <v>09 WELLINGTON</v>
      </c>
      <c r="B642" t="str">
        <f>'Unformatted Trip Summary'!J640</f>
        <v>2017/18</v>
      </c>
      <c r="C642" t="str">
        <f>'Unformatted Trip Summary'!I640</f>
        <v>Light Vehicle Driver</v>
      </c>
      <c r="D642">
        <f>'Unformatted Trip Summary'!D640</f>
        <v>1130</v>
      </c>
      <c r="E642">
        <f>'Unformatted Trip Summary'!E640</f>
        <v>8488</v>
      </c>
      <c r="F642" s="1">
        <f>'Unformatted Trip Summary'!F640</f>
        <v>393.65461706000002</v>
      </c>
      <c r="G642" s="1">
        <f>'Unformatted Trip Summary'!G640</f>
        <v>3641.9345367999999</v>
      </c>
      <c r="H642" s="1">
        <f>'Unformatted Trip Summary'!H640</f>
        <v>96.431207155999999</v>
      </c>
    </row>
    <row r="643" spans="1:8" x14ac:dyDescent="0.25">
      <c r="A643" t="str">
        <f>'Unformatted Trip Summary'!A641</f>
        <v>09 WELLINGTON</v>
      </c>
      <c r="B643" t="str">
        <f>'Unformatted Trip Summary'!J641</f>
        <v>2022/23</v>
      </c>
      <c r="C643" t="str">
        <f>'Unformatted Trip Summary'!I641</f>
        <v>Light Vehicle Driver</v>
      </c>
      <c r="D643">
        <f>'Unformatted Trip Summary'!D641</f>
        <v>1130</v>
      </c>
      <c r="E643">
        <f>'Unformatted Trip Summary'!E641</f>
        <v>8488</v>
      </c>
      <c r="F643" s="1">
        <f>'Unformatted Trip Summary'!F641</f>
        <v>402.66991358000001</v>
      </c>
      <c r="G643" s="1">
        <f>'Unformatted Trip Summary'!G641</f>
        <v>3731.1882663000001</v>
      </c>
      <c r="H643" s="1">
        <f>'Unformatted Trip Summary'!H641</f>
        <v>98.909793128000004</v>
      </c>
    </row>
    <row r="644" spans="1:8" x14ac:dyDescent="0.25">
      <c r="A644" t="str">
        <f>'Unformatted Trip Summary'!A642</f>
        <v>09 WELLINGTON</v>
      </c>
      <c r="B644" t="str">
        <f>'Unformatted Trip Summary'!J642</f>
        <v>2027/28</v>
      </c>
      <c r="C644" t="str">
        <f>'Unformatted Trip Summary'!I642</f>
        <v>Light Vehicle Driver</v>
      </c>
      <c r="D644">
        <f>'Unformatted Trip Summary'!D642</f>
        <v>1130</v>
      </c>
      <c r="E644">
        <f>'Unformatted Trip Summary'!E642</f>
        <v>8488</v>
      </c>
      <c r="F644" s="1">
        <f>'Unformatted Trip Summary'!F642</f>
        <v>417.77474382999998</v>
      </c>
      <c r="G644" s="1">
        <f>'Unformatted Trip Summary'!G642</f>
        <v>3886.7419365000001</v>
      </c>
      <c r="H644" s="1">
        <f>'Unformatted Trip Summary'!H642</f>
        <v>102.84637115</v>
      </c>
    </row>
    <row r="645" spans="1:8" x14ac:dyDescent="0.25">
      <c r="A645" t="str">
        <f>'Unformatted Trip Summary'!A643</f>
        <v>09 WELLINGTON</v>
      </c>
      <c r="B645" t="str">
        <f>'Unformatted Trip Summary'!J643</f>
        <v>2032/33</v>
      </c>
      <c r="C645" t="str">
        <f>'Unformatted Trip Summary'!I643</f>
        <v>Light Vehicle Driver</v>
      </c>
      <c r="D645">
        <f>'Unformatted Trip Summary'!D643</f>
        <v>1130</v>
      </c>
      <c r="E645">
        <f>'Unformatted Trip Summary'!E643</f>
        <v>8488</v>
      </c>
      <c r="F645" s="1">
        <f>'Unformatted Trip Summary'!F643</f>
        <v>430.57936690999998</v>
      </c>
      <c r="G645" s="1">
        <f>'Unformatted Trip Summary'!G643</f>
        <v>4036.5519002999999</v>
      </c>
      <c r="H645" s="1">
        <f>'Unformatted Trip Summary'!H643</f>
        <v>106.37558653000001</v>
      </c>
    </row>
    <row r="646" spans="1:8" x14ac:dyDescent="0.25">
      <c r="A646" t="str">
        <f>'Unformatted Trip Summary'!A644</f>
        <v>09 WELLINGTON</v>
      </c>
      <c r="B646" t="str">
        <f>'Unformatted Trip Summary'!J644</f>
        <v>2037/38</v>
      </c>
      <c r="C646" t="str">
        <f>'Unformatted Trip Summary'!I644</f>
        <v>Light Vehicle Driver</v>
      </c>
      <c r="D646">
        <f>'Unformatted Trip Summary'!D644</f>
        <v>1130</v>
      </c>
      <c r="E646">
        <f>'Unformatted Trip Summary'!E644</f>
        <v>8488</v>
      </c>
      <c r="F646" s="1">
        <f>'Unformatted Trip Summary'!F644</f>
        <v>439.30549060999999</v>
      </c>
      <c r="G646" s="1">
        <f>'Unformatted Trip Summary'!G644</f>
        <v>4147.7905872000001</v>
      </c>
      <c r="H646" s="1">
        <f>'Unformatted Trip Summary'!H644</f>
        <v>108.99849632999999</v>
      </c>
    </row>
    <row r="647" spans="1:8" x14ac:dyDescent="0.25">
      <c r="A647" t="str">
        <f>'Unformatted Trip Summary'!A645</f>
        <v>09 WELLINGTON</v>
      </c>
      <c r="B647" t="str">
        <f>'Unformatted Trip Summary'!J645</f>
        <v>2042/43</v>
      </c>
      <c r="C647" t="str">
        <f>'Unformatted Trip Summary'!I645</f>
        <v>Light Vehicle Driver</v>
      </c>
      <c r="D647">
        <f>'Unformatted Trip Summary'!D645</f>
        <v>1130</v>
      </c>
      <c r="E647">
        <f>'Unformatted Trip Summary'!E645</f>
        <v>8488</v>
      </c>
      <c r="F647" s="1">
        <f>'Unformatted Trip Summary'!F645</f>
        <v>446.15541109999998</v>
      </c>
      <c r="G647" s="1">
        <f>'Unformatted Trip Summary'!G645</f>
        <v>4240.9874411000001</v>
      </c>
      <c r="H647" s="1">
        <f>'Unformatted Trip Summary'!H645</f>
        <v>111.17557921</v>
      </c>
    </row>
    <row r="648" spans="1:8" x14ac:dyDescent="0.25">
      <c r="A648" t="str">
        <f>'Unformatted Trip Summary'!A646</f>
        <v>09 WELLINGTON</v>
      </c>
      <c r="B648" t="str">
        <f>'Unformatted Trip Summary'!J646</f>
        <v>2012/13</v>
      </c>
      <c r="C648" t="str">
        <f>'Unformatted Trip Summary'!I646</f>
        <v>Light Vehicle Passenger</v>
      </c>
      <c r="D648">
        <f>'Unformatted Trip Summary'!D646</f>
        <v>936</v>
      </c>
      <c r="E648">
        <f>'Unformatted Trip Summary'!E646</f>
        <v>4461</v>
      </c>
      <c r="F648" s="1">
        <f>'Unformatted Trip Summary'!F646</f>
        <v>183.55442563</v>
      </c>
      <c r="G648" s="1">
        <f>'Unformatted Trip Summary'!G646</f>
        <v>2005.8850408000001</v>
      </c>
      <c r="H648" s="1">
        <f>'Unformatted Trip Summary'!H646</f>
        <v>48.966354531</v>
      </c>
    </row>
    <row r="649" spans="1:8" x14ac:dyDescent="0.25">
      <c r="A649" t="str">
        <f>'Unformatted Trip Summary'!A647</f>
        <v>09 WELLINGTON</v>
      </c>
      <c r="B649" t="str">
        <f>'Unformatted Trip Summary'!J647</f>
        <v>2017/18</v>
      </c>
      <c r="C649" t="str">
        <f>'Unformatted Trip Summary'!I647</f>
        <v>Light Vehicle Passenger</v>
      </c>
      <c r="D649">
        <f>'Unformatted Trip Summary'!D647</f>
        <v>936</v>
      </c>
      <c r="E649">
        <f>'Unformatted Trip Summary'!E647</f>
        <v>4461</v>
      </c>
      <c r="F649" s="1">
        <f>'Unformatted Trip Summary'!F647</f>
        <v>185.19623999999999</v>
      </c>
      <c r="G649" s="1">
        <f>'Unformatted Trip Summary'!G647</f>
        <v>1999.5831888</v>
      </c>
      <c r="H649" s="1">
        <f>'Unformatted Trip Summary'!H647</f>
        <v>49.178630364999997</v>
      </c>
    </row>
    <row r="650" spans="1:8" x14ac:dyDescent="0.25">
      <c r="A650" t="str">
        <f>'Unformatted Trip Summary'!A648</f>
        <v>09 WELLINGTON</v>
      </c>
      <c r="B650" t="str">
        <f>'Unformatted Trip Summary'!J648</f>
        <v>2022/23</v>
      </c>
      <c r="C650" t="str">
        <f>'Unformatted Trip Summary'!I648</f>
        <v>Light Vehicle Passenger</v>
      </c>
      <c r="D650">
        <f>'Unformatted Trip Summary'!D648</f>
        <v>936</v>
      </c>
      <c r="E650">
        <f>'Unformatted Trip Summary'!E648</f>
        <v>4461</v>
      </c>
      <c r="F650" s="1">
        <f>'Unformatted Trip Summary'!F648</f>
        <v>184.76842518000001</v>
      </c>
      <c r="G650" s="1">
        <f>'Unformatted Trip Summary'!G648</f>
        <v>1970.7731154999999</v>
      </c>
      <c r="H650" s="1">
        <f>'Unformatted Trip Summary'!H648</f>
        <v>48.766577740000002</v>
      </c>
    </row>
    <row r="651" spans="1:8" x14ac:dyDescent="0.25">
      <c r="A651" t="str">
        <f>'Unformatted Trip Summary'!A649</f>
        <v>09 WELLINGTON</v>
      </c>
      <c r="B651" t="str">
        <f>'Unformatted Trip Summary'!J649</f>
        <v>2027/28</v>
      </c>
      <c r="C651" t="str">
        <f>'Unformatted Trip Summary'!I649</f>
        <v>Light Vehicle Passenger</v>
      </c>
      <c r="D651">
        <f>'Unformatted Trip Summary'!D649</f>
        <v>936</v>
      </c>
      <c r="E651">
        <f>'Unformatted Trip Summary'!E649</f>
        <v>4461</v>
      </c>
      <c r="F651" s="1">
        <f>'Unformatted Trip Summary'!F649</f>
        <v>184.2742116</v>
      </c>
      <c r="G651" s="1">
        <f>'Unformatted Trip Summary'!G649</f>
        <v>1965.2787202</v>
      </c>
      <c r="H651" s="1">
        <f>'Unformatted Trip Summary'!H649</f>
        <v>48.654322915999998</v>
      </c>
    </row>
    <row r="652" spans="1:8" x14ac:dyDescent="0.25">
      <c r="A652" t="str">
        <f>'Unformatted Trip Summary'!A650</f>
        <v>09 WELLINGTON</v>
      </c>
      <c r="B652" t="str">
        <f>'Unformatted Trip Summary'!J650</f>
        <v>2032/33</v>
      </c>
      <c r="C652" t="str">
        <f>'Unformatted Trip Summary'!I650</f>
        <v>Light Vehicle Passenger</v>
      </c>
      <c r="D652">
        <f>'Unformatted Trip Summary'!D650</f>
        <v>936</v>
      </c>
      <c r="E652">
        <f>'Unformatted Trip Summary'!E650</f>
        <v>4461</v>
      </c>
      <c r="F652" s="1">
        <f>'Unformatted Trip Summary'!F650</f>
        <v>184.11298127000001</v>
      </c>
      <c r="G652" s="1">
        <f>'Unformatted Trip Summary'!G650</f>
        <v>1965.0207774999999</v>
      </c>
      <c r="H652" s="1">
        <f>'Unformatted Trip Summary'!H650</f>
        <v>48.637526184999999</v>
      </c>
    </row>
    <row r="653" spans="1:8" x14ac:dyDescent="0.25">
      <c r="A653" t="str">
        <f>'Unformatted Trip Summary'!A651</f>
        <v>09 WELLINGTON</v>
      </c>
      <c r="B653" t="str">
        <f>'Unformatted Trip Summary'!J651</f>
        <v>2037/38</v>
      </c>
      <c r="C653" t="str">
        <f>'Unformatted Trip Summary'!I651</f>
        <v>Light Vehicle Passenger</v>
      </c>
      <c r="D653">
        <f>'Unformatted Trip Summary'!D651</f>
        <v>936</v>
      </c>
      <c r="E653">
        <f>'Unformatted Trip Summary'!E651</f>
        <v>4461</v>
      </c>
      <c r="F653" s="1">
        <f>'Unformatted Trip Summary'!F651</f>
        <v>183.16953197000001</v>
      </c>
      <c r="G653" s="1">
        <f>'Unformatted Trip Summary'!G651</f>
        <v>1950.3790839000001</v>
      </c>
      <c r="H653" s="1">
        <f>'Unformatted Trip Summary'!H651</f>
        <v>48.282370092000001</v>
      </c>
    </row>
    <row r="654" spans="1:8" x14ac:dyDescent="0.25">
      <c r="A654" t="str">
        <f>'Unformatted Trip Summary'!A652</f>
        <v>09 WELLINGTON</v>
      </c>
      <c r="B654" t="str">
        <f>'Unformatted Trip Summary'!J652</f>
        <v>2042/43</v>
      </c>
      <c r="C654" t="str">
        <f>'Unformatted Trip Summary'!I652</f>
        <v>Light Vehicle Passenger</v>
      </c>
      <c r="D654">
        <f>'Unformatted Trip Summary'!D652</f>
        <v>936</v>
      </c>
      <c r="E654">
        <f>'Unformatted Trip Summary'!E652</f>
        <v>4461</v>
      </c>
      <c r="F654" s="1">
        <f>'Unformatted Trip Summary'!F652</f>
        <v>181.24657514</v>
      </c>
      <c r="G654" s="1">
        <f>'Unformatted Trip Summary'!G652</f>
        <v>1926.4478180999999</v>
      </c>
      <c r="H654" s="1">
        <f>'Unformatted Trip Summary'!H652</f>
        <v>47.707554029000001</v>
      </c>
    </row>
    <row r="655" spans="1:8" x14ac:dyDescent="0.25">
      <c r="A655" t="str">
        <f>'Unformatted Trip Summary'!A653</f>
        <v>09 WELLINGTON</v>
      </c>
      <c r="B655" t="str">
        <f>'Unformatted Trip Summary'!J653</f>
        <v>2012/13</v>
      </c>
      <c r="C655" t="str">
        <f>'Unformatted Trip Summary'!I653</f>
        <v>Taxi/Vehicle Share</v>
      </c>
      <c r="D655">
        <f>'Unformatted Trip Summary'!D653</f>
        <v>31</v>
      </c>
      <c r="E655">
        <f>'Unformatted Trip Summary'!E653</f>
        <v>51</v>
      </c>
      <c r="F655" s="1">
        <f>'Unformatted Trip Summary'!F653</f>
        <v>2.3579512121000001</v>
      </c>
      <c r="G655" s="1">
        <f>'Unformatted Trip Summary'!G653</f>
        <v>19.359252680000001</v>
      </c>
      <c r="H655" s="1">
        <f>'Unformatted Trip Summary'!H653</f>
        <v>0.76229285280000003</v>
      </c>
    </row>
    <row r="656" spans="1:8" x14ac:dyDescent="0.25">
      <c r="A656" t="str">
        <f>'Unformatted Trip Summary'!A654</f>
        <v>09 WELLINGTON</v>
      </c>
      <c r="B656" t="str">
        <f>'Unformatted Trip Summary'!J654</f>
        <v>2017/18</v>
      </c>
      <c r="C656" t="str">
        <f>'Unformatted Trip Summary'!I654</f>
        <v>Taxi/Vehicle Share</v>
      </c>
      <c r="D656">
        <f>'Unformatted Trip Summary'!D654</f>
        <v>31</v>
      </c>
      <c r="E656">
        <f>'Unformatted Trip Summary'!E654</f>
        <v>51</v>
      </c>
      <c r="F656" s="1">
        <f>'Unformatted Trip Summary'!F654</f>
        <v>2.5432772413000002</v>
      </c>
      <c r="G656" s="1">
        <f>'Unformatted Trip Summary'!G654</f>
        <v>20.293499299</v>
      </c>
      <c r="H656" s="1">
        <f>'Unformatted Trip Summary'!H654</f>
        <v>0.80752725110000001</v>
      </c>
    </row>
    <row r="657" spans="1:8" x14ac:dyDescent="0.25">
      <c r="A657" t="str">
        <f>'Unformatted Trip Summary'!A655</f>
        <v>09 WELLINGTON</v>
      </c>
      <c r="B657" t="str">
        <f>'Unformatted Trip Summary'!J655</f>
        <v>2022/23</v>
      </c>
      <c r="C657" t="str">
        <f>'Unformatted Trip Summary'!I655</f>
        <v>Taxi/Vehicle Share</v>
      </c>
      <c r="D657">
        <f>'Unformatted Trip Summary'!D655</f>
        <v>31</v>
      </c>
      <c r="E657">
        <f>'Unformatted Trip Summary'!E655</f>
        <v>51</v>
      </c>
      <c r="F657" s="1">
        <f>'Unformatted Trip Summary'!F655</f>
        <v>2.6476384677000002</v>
      </c>
      <c r="G657" s="1">
        <f>'Unformatted Trip Summary'!G655</f>
        <v>21.173082781000002</v>
      </c>
      <c r="H657" s="1">
        <f>'Unformatted Trip Summary'!H655</f>
        <v>0.84598605199999999</v>
      </c>
    </row>
    <row r="658" spans="1:8" x14ac:dyDescent="0.25">
      <c r="A658" t="str">
        <f>'Unformatted Trip Summary'!A656</f>
        <v>09 WELLINGTON</v>
      </c>
      <c r="B658" t="str">
        <f>'Unformatted Trip Summary'!J656</f>
        <v>2027/28</v>
      </c>
      <c r="C658" t="str">
        <f>'Unformatted Trip Summary'!I656</f>
        <v>Taxi/Vehicle Share</v>
      </c>
      <c r="D658">
        <f>'Unformatted Trip Summary'!D656</f>
        <v>31</v>
      </c>
      <c r="E658">
        <f>'Unformatted Trip Summary'!E656</f>
        <v>51</v>
      </c>
      <c r="F658" s="1">
        <f>'Unformatted Trip Summary'!F656</f>
        <v>2.7468313403</v>
      </c>
      <c r="G658" s="1">
        <f>'Unformatted Trip Summary'!G656</f>
        <v>22.585173241</v>
      </c>
      <c r="H658" s="1">
        <f>'Unformatted Trip Summary'!H656</f>
        <v>0.89929059430000002</v>
      </c>
    </row>
    <row r="659" spans="1:8" x14ac:dyDescent="0.25">
      <c r="A659" t="str">
        <f>'Unformatted Trip Summary'!A657</f>
        <v>09 WELLINGTON</v>
      </c>
      <c r="B659" t="str">
        <f>'Unformatted Trip Summary'!J657</f>
        <v>2032/33</v>
      </c>
      <c r="C659" t="str">
        <f>'Unformatted Trip Summary'!I657</f>
        <v>Taxi/Vehicle Share</v>
      </c>
      <c r="D659">
        <f>'Unformatted Trip Summary'!D657</f>
        <v>31</v>
      </c>
      <c r="E659">
        <f>'Unformatted Trip Summary'!E657</f>
        <v>51</v>
      </c>
      <c r="F659" s="1">
        <f>'Unformatted Trip Summary'!F657</f>
        <v>2.8252487921</v>
      </c>
      <c r="G659" s="1">
        <f>'Unformatted Trip Summary'!G657</f>
        <v>23.936852735999999</v>
      </c>
      <c r="H659" s="1">
        <f>'Unformatted Trip Summary'!H657</f>
        <v>0.94109277199999997</v>
      </c>
    </row>
    <row r="660" spans="1:8" x14ac:dyDescent="0.25">
      <c r="A660" t="str">
        <f>'Unformatted Trip Summary'!A658</f>
        <v>09 WELLINGTON</v>
      </c>
      <c r="B660" t="str">
        <f>'Unformatted Trip Summary'!J658</f>
        <v>2037/38</v>
      </c>
      <c r="C660" t="str">
        <f>'Unformatted Trip Summary'!I658</f>
        <v>Taxi/Vehicle Share</v>
      </c>
      <c r="D660">
        <f>'Unformatted Trip Summary'!D658</f>
        <v>31</v>
      </c>
      <c r="E660">
        <f>'Unformatted Trip Summary'!E658</f>
        <v>51</v>
      </c>
      <c r="F660" s="1">
        <f>'Unformatted Trip Summary'!F658</f>
        <v>2.8956268278000001</v>
      </c>
      <c r="G660" s="1">
        <f>'Unformatted Trip Summary'!G658</f>
        <v>24.949145009999999</v>
      </c>
      <c r="H660" s="1">
        <f>'Unformatted Trip Summary'!H658</f>
        <v>0.96691873650000004</v>
      </c>
    </row>
    <row r="661" spans="1:8" x14ac:dyDescent="0.25">
      <c r="A661" t="str">
        <f>'Unformatted Trip Summary'!A659</f>
        <v>09 WELLINGTON</v>
      </c>
      <c r="B661" t="str">
        <f>'Unformatted Trip Summary'!J659</f>
        <v>2042/43</v>
      </c>
      <c r="C661" t="str">
        <f>'Unformatted Trip Summary'!I659</f>
        <v>Taxi/Vehicle Share</v>
      </c>
      <c r="D661">
        <f>'Unformatted Trip Summary'!D659</f>
        <v>31</v>
      </c>
      <c r="E661">
        <f>'Unformatted Trip Summary'!E659</f>
        <v>51</v>
      </c>
      <c r="F661" s="1">
        <f>'Unformatted Trip Summary'!F659</f>
        <v>2.9527106017000002</v>
      </c>
      <c r="G661" s="1">
        <f>'Unformatted Trip Summary'!G659</f>
        <v>25.765838730999999</v>
      </c>
      <c r="H661" s="1">
        <f>'Unformatted Trip Summary'!H659</f>
        <v>0.98696370619999996</v>
      </c>
    </row>
    <row r="662" spans="1:8" x14ac:dyDescent="0.25">
      <c r="A662" t="str">
        <f>'Unformatted Trip Summary'!A660</f>
        <v>09 WELLINGTON</v>
      </c>
      <c r="B662" t="str">
        <f>'Unformatted Trip Summary'!J660</f>
        <v>2012/13</v>
      </c>
      <c r="C662" t="str">
        <f>'Unformatted Trip Summary'!I660</f>
        <v>Motorcyclist</v>
      </c>
      <c r="D662">
        <f>'Unformatted Trip Summary'!D660</f>
        <v>16</v>
      </c>
      <c r="E662">
        <f>'Unformatted Trip Summary'!E660</f>
        <v>64</v>
      </c>
      <c r="F662" s="1">
        <f>'Unformatted Trip Summary'!F660</f>
        <v>2.4968267649999998</v>
      </c>
      <c r="G662" s="1">
        <f>'Unformatted Trip Summary'!G660</f>
        <v>24.444631151999999</v>
      </c>
      <c r="H662" s="1">
        <f>'Unformatted Trip Summary'!H660</f>
        <v>0.71073078609999996</v>
      </c>
    </row>
    <row r="663" spans="1:8" x14ac:dyDescent="0.25">
      <c r="A663" t="str">
        <f>'Unformatted Trip Summary'!A661</f>
        <v>09 WELLINGTON</v>
      </c>
      <c r="B663" t="str">
        <f>'Unformatted Trip Summary'!J661</f>
        <v>2017/18</v>
      </c>
      <c r="C663" t="str">
        <f>'Unformatted Trip Summary'!I661</f>
        <v>Motorcyclist</v>
      </c>
      <c r="D663">
        <f>'Unformatted Trip Summary'!D661</f>
        <v>16</v>
      </c>
      <c r="E663">
        <f>'Unformatted Trip Summary'!E661</f>
        <v>64</v>
      </c>
      <c r="F663" s="1">
        <f>'Unformatted Trip Summary'!F661</f>
        <v>2.6093417345000001</v>
      </c>
      <c r="G663" s="1">
        <f>'Unformatted Trip Summary'!G661</f>
        <v>24.296201889999999</v>
      </c>
      <c r="H663" s="1">
        <f>'Unformatted Trip Summary'!H661</f>
        <v>0.72229804269999998</v>
      </c>
    </row>
    <row r="664" spans="1:8" x14ac:dyDescent="0.25">
      <c r="A664" t="str">
        <f>'Unformatted Trip Summary'!A662</f>
        <v>09 WELLINGTON</v>
      </c>
      <c r="B664" t="str">
        <f>'Unformatted Trip Summary'!J662</f>
        <v>2022/23</v>
      </c>
      <c r="C664" t="str">
        <f>'Unformatted Trip Summary'!I662</f>
        <v>Motorcyclist</v>
      </c>
      <c r="D664">
        <f>'Unformatted Trip Summary'!D662</f>
        <v>16</v>
      </c>
      <c r="E664">
        <f>'Unformatted Trip Summary'!E662</f>
        <v>64</v>
      </c>
      <c r="F664" s="1">
        <f>'Unformatted Trip Summary'!F662</f>
        <v>2.6299500282000001</v>
      </c>
      <c r="G664" s="1">
        <f>'Unformatted Trip Summary'!G662</f>
        <v>23.759589644999998</v>
      </c>
      <c r="H664" s="1">
        <f>'Unformatted Trip Summary'!H662</f>
        <v>0.71145422179999995</v>
      </c>
    </row>
    <row r="665" spans="1:8" x14ac:dyDescent="0.25">
      <c r="A665" t="str">
        <f>'Unformatted Trip Summary'!A663</f>
        <v>09 WELLINGTON</v>
      </c>
      <c r="B665" t="str">
        <f>'Unformatted Trip Summary'!J663</f>
        <v>2027/28</v>
      </c>
      <c r="C665" t="str">
        <f>'Unformatted Trip Summary'!I663</f>
        <v>Motorcyclist</v>
      </c>
      <c r="D665">
        <f>'Unformatted Trip Summary'!D663</f>
        <v>16</v>
      </c>
      <c r="E665">
        <f>'Unformatted Trip Summary'!E663</f>
        <v>64</v>
      </c>
      <c r="F665" s="1">
        <f>'Unformatted Trip Summary'!F663</f>
        <v>2.6708057522000002</v>
      </c>
      <c r="G665" s="1">
        <f>'Unformatted Trip Summary'!G663</f>
        <v>24.081453671999999</v>
      </c>
      <c r="H665" s="1">
        <f>'Unformatted Trip Summary'!H663</f>
        <v>0.7154514797</v>
      </c>
    </row>
    <row r="666" spans="1:8" x14ac:dyDescent="0.25">
      <c r="A666" t="str">
        <f>'Unformatted Trip Summary'!A664</f>
        <v>09 WELLINGTON</v>
      </c>
      <c r="B666" t="str">
        <f>'Unformatted Trip Summary'!J664</f>
        <v>2032/33</v>
      </c>
      <c r="C666" t="str">
        <f>'Unformatted Trip Summary'!I664</f>
        <v>Motorcyclist</v>
      </c>
      <c r="D666">
        <f>'Unformatted Trip Summary'!D664</f>
        <v>16</v>
      </c>
      <c r="E666">
        <f>'Unformatted Trip Summary'!E664</f>
        <v>64</v>
      </c>
      <c r="F666" s="1">
        <f>'Unformatted Trip Summary'!F664</f>
        <v>2.7223856131000002</v>
      </c>
      <c r="G666" s="1">
        <f>'Unformatted Trip Summary'!G664</f>
        <v>25.052681531000001</v>
      </c>
      <c r="H666" s="1">
        <f>'Unformatted Trip Summary'!H664</f>
        <v>0.73612926219999997</v>
      </c>
    </row>
    <row r="667" spans="1:8" x14ac:dyDescent="0.25">
      <c r="A667" t="str">
        <f>'Unformatted Trip Summary'!A665</f>
        <v>09 WELLINGTON</v>
      </c>
      <c r="B667" t="str">
        <f>'Unformatted Trip Summary'!J665</f>
        <v>2037/38</v>
      </c>
      <c r="C667" t="str">
        <f>'Unformatted Trip Summary'!I665</f>
        <v>Motorcyclist</v>
      </c>
      <c r="D667">
        <f>'Unformatted Trip Summary'!D665</f>
        <v>16</v>
      </c>
      <c r="E667">
        <f>'Unformatted Trip Summary'!E665</f>
        <v>64</v>
      </c>
      <c r="F667" s="1">
        <f>'Unformatted Trip Summary'!F665</f>
        <v>2.7492731103999999</v>
      </c>
      <c r="G667" s="1">
        <f>'Unformatted Trip Summary'!G665</f>
        <v>25.872757813</v>
      </c>
      <c r="H667" s="1">
        <f>'Unformatted Trip Summary'!H665</f>
        <v>0.75474360689999997</v>
      </c>
    </row>
    <row r="668" spans="1:8" x14ac:dyDescent="0.25">
      <c r="A668" t="str">
        <f>'Unformatted Trip Summary'!A666</f>
        <v>09 WELLINGTON</v>
      </c>
      <c r="B668" t="str">
        <f>'Unformatted Trip Summary'!J666</f>
        <v>2042/43</v>
      </c>
      <c r="C668" t="str">
        <f>'Unformatted Trip Summary'!I666</f>
        <v>Motorcyclist</v>
      </c>
      <c r="D668">
        <f>'Unformatted Trip Summary'!D666</f>
        <v>16</v>
      </c>
      <c r="E668">
        <f>'Unformatted Trip Summary'!E666</f>
        <v>64</v>
      </c>
      <c r="F668" s="1">
        <f>'Unformatted Trip Summary'!F666</f>
        <v>2.7439070996999999</v>
      </c>
      <c r="G668" s="1">
        <f>'Unformatted Trip Summary'!G666</f>
        <v>26.366761792999998</v>
      </c>
      <c r="H668" s="1">
        <f>'Unformatted Trip Summary'!H666</f>
        <v>0.76316885479999996</v>
      </c>
    </row>
    <row r="669" spans="1:8" x14ac:dyDescent="0.25">
      <c r="A669" t="str">
        <f>'Unformatted Trip Summary'!A667</f>
        <v>09 WELLINGTON</v>
      </c>
      <c r="B669" t="str">
        <f>'Unformatted Trip Summary'!J667</f>
        <v>2012/13</v>
      </c>
      <c r="C669" t="str">
        <f>'Unformatted Trip Summary'!I667</f>
        <v>Local Train</v>
      </c>
      <c r="D669">
        <f>'Unformatted Trip Summary'!D667</f>
        <v>94</v>
      </c>
      <c r="E669">
        <f>'Unformatted Trip Summary'!E667</f>
        <v>228</v>
      </c>
      <c r="F669" s="1">
        <f>'Unformatted Trip Summary'!F667</f>
        <v>10.165258230999999</v>
      </c>
      <c r="G669" s="1">
        <f>'Unformatted Trip Summary'!G667</f>
        <v>251.12727889999999</v>
      </c>
      <c r="H669" s="1">
        <f>'Unformatted Trip Summary'!H667</f>
        <v>5.5268751299999996</v>
      </c>
    </row>
    <row r="670" spans="1:8" x14ac:dyDescent="0.25">
      <c r="A670" t="str">
        <f>'Unformatted Trip Summary'!A668</f>
        <v>09 WELLINGTON</v>
      </c>
      <c r="B670" t="str">
        <f>'Unformatted Trip Summary'!J668</f>
        <v>2017/18</v>
      </c>
      <c r="C670" t="str">
        <f>'Unformatted Trip Summary'!I668</f>
        <v>Local Train</v>
      </c>
      <c r="D670">
        <f>'Unformatted Trip Summary'!D668</f>
        <v>94</v>
      </c>
      <c r="E670">
        <f>'Unformatted Trip Summary'!E668</f>
        <v>228</v>
      </c>
      <c r="F670" s="1">
        <f>'Unformatted Trip Summary'!F668</f>
        <v>10.797078745</v>
      </c>
      <c r="G670" s="1">
        <f>'Unformatted Trip Summary'!G668</f>
        <v>265.00934484999999</v>
      </c>
      <c r="H670" s="1">
        <f>'Unformatted Trip Summary'!H668</f>
        <v>5.8119776274000001</v>
      </c>
    </row>
    <row r="671" spans="1:8" x14ac:dyDescent="0.25">
      <c r="A671" t="str">
        <f>'Unformatted Trip Summary'!A669</f>
        <v>09 WELLINGTON</v>
      </c>
      <c r="B671" t="str">
        <f>'Unformatted Trip Summary'!J669</f>
        <v>2022/23</v>
      </c>
      <c r="C671" t="str">
        <f>'Unformatted Trip Summary'!I669</f>
        <v>Local Train</v>
      </c>
      <c r="D671">
        <f>'Unformatted Trip Summary'!D669</f>
        <v>94</v>
      </c>
      <c r="E671">
        <f>'Unformatted Trip Summary'!E669</f>
        <v>228</v>
      </c>
      <c r="F671" s="1">
        <f>'Unformatted Trip Summary'!F669</f>
        <v>11.168125702999999</v>
      </c>
      <c r="G671" s="1">
        <f>'Unformatted Trip Summary'!G669</f>
        <v>274.59087191999998</v>
      </c>
      <c r="H671" s="1">
        <f>'Unformatted Trip Summary'!H669</f>
        <v>6.0056745876999997</v>
      </c>
    </row>
    <row r="672" spans="1:8" x14ac:dyDescent="0.25">
      <c r="A672" t="str">
        <f>'Unformatted Trip Summary'!A670</f>
        <v>09 WELLINGTON</v>
      </c>
      <c r="B672" t="str">
        <f>'Unformatted Trip Summary'!J670</f>
        <v>2027/28</v>
      </c>
      <c r="C672" t="str">
        <f>'Unformatted Trip Summary'!I670</f>
        <v>Local Train</v>
      </c>
      <c r="D672">
        <f>'Unformatted Trip Summary'!D670</f>
        <v>94</v>
      </c>
      <c r="E672">
        <f>'Unformatted Trip Summary'!E670</f>
        <v>228</v>
      </c>
      <c r="F672" s="1">
        <f>'Unformatted Trip Summary'!F670</f>
        <v>11.279089557000001</v>
      </c>
      <c r="G672" s="1">
        <f>'Unformatted Trip Summary'!G670</f>
        <v>280.53891522999999</v>
      </c>
      <c r="H672" s="1">
        <f>'Unformatted Trip Summary'!H670</f>
        <v>6.1237727758</v>
      </c>
    </row>
    <row r="673" spans="1:8" x14ac:dyDescent="0.25">
      <c r="A673" t="str">
        <f>'Unformatted Trip Summary'!A671</f>
        <v>09 WELLINGTON</v>
      </c>
      <c r="B673" t="str">
        <f>'Unformatted Trip Summary'!J671</f>
        <v>2032/33</v>
      </c>
      <c r="C673" t="str">
        <f>'Unformatted Trip Summary'!I671</f>
        <v>Local Train</v>
      </c>
      <c r="D673">
        <f>'Unformatted Trip Summary'!D671</f>
        <v>94</v>
      </c>
      <c r="E673">
        <f>'Unformatted Trip Summary'!E671</f>
        <v>228</v>
      </c>
      <c r="F673" s="1">
        <f>'Unformatted Trip Summary'!F671</f>
        <v>11.274533194</v>
      </c>
      <c r="G673" s="1">
        <f>'Unformatted Trip Summary'!G671</f>
        <v>280.46661624000001</v>
      </c>
      <c r="H673" s="1">
        <f>'Unformatted Trip Summary'!H671</f>
        <v>6.1345499878999998</v>
      </c>
    </row>
    <row r="674" spans="1:8" x14ac:dyDescent="0.25">
      <c r="A674" t="str">
        <f>'Unformatted Trip Summary'!A672</f>
        <v>09 WELLINGTON</v>
      </c>
      <c r="B674" t="str">
        <f>'Unformatted Trip Summary'!J672</f>
        <v>2037/38</v>
      </c>
      <c r="C674" t="str">
        <f>'Unformatted Trip Summary'!I672</f>
        <v>Local Train</v>
      </c>
      <c r="D674">
        <f>'Unformatted Trip Summary'!D672</f>
        <v>94</v>
      </c>
      <c r="E674">
        <f>'Unformatted Trip Summary'!E672</f>
        <v>228</v>
      </c>
      <c r="F674" s="1">
        <f>'Unformatted Trip Summary'!F672</f>
        <v>11.332285597</v>
      </c>
      <c r="G674" s="1">
        <f>'Unformatted Trip Summary'!G672</f>
        <v>281.29711746999999</v>
      </c>
      <c r="H674" s="1">
        <f>'Unformatted Trip Summary'!H672</f>
        <v>6.1617167924</v>
      </c>
    </row>
    <row r="675" spans="1:8" x14ac:dyDescent="0.25">
      <c r="A675" t="str">
        <f>'Unformatted Trip Summary'!A673</f>
        <v>09 WELLINGTON</v>
      </c>
      <c r="B675" t="str">
        <f>'Unformatted Trip Summary'!J673</f>
        <v>2042/43</v>
      </c>
      <c r="C675" t="str">
        <f>'Unformatted Trip Summary'!I673</f>
        <v>Local Train</v>
      </c>
      <c r="D675">
        <f>'Unformatted Trip Summary'!D673</f>
        <v>94</v>
      </c>
      <c r="E675">
        <f>'Unformatted Trip Summary'!E673</f>
        <v>228</v>
      </c>
      <c r="F675" s="1">
        <f>'Unformatted Trip Summary'!F673</f>
        <v>11.340319081000001</v>
      </c>
      <c r="G675" s="1">
        <f>'Unformatted Trip Summary'!G673</f>
        <v>280.54519583000001</v>
      </c>
      <c r="H675" s="1">
        <f>'Unformatted Trip Summary'!H673</f>
        <v>6.1591517609000004</v>
      </c>
    </row>
    <row r="676" spans="1:8" x14ac:dyDescent="0.25">
      <c r="A676" t="str">
        <f>'Unformatted Trip Summary'!A674</f>
        <v>09 WELLINGTON</v>
      </c>
      <c r="B676" t="str">
        <f>'Unformatted Trip Summary'!J674</f>
        <v>2012/13</v>
      </c>
      <c r="C676" t="str">
        <f>'Unformatted Trip Summary'!I674</f>
        <v>Local Bus</v>
      </c>
      <c r="D676">
        <f>'Unformatted Trip Summary'!D674</f>
        <v>211</v>
      </c>
      <c r="E676">
        <f>'Unformatted Trip Summary'!E674</f>
        <v>552</v>
      </c>
      <c r="F676" s="1">
        <f>'Unformatted Trip Summary'!F674</f>
        <v>24.821335829999999</v>
      </c>
      <c r="G676" s="1">
        <f>'Unformatted Trip Summary'!G674</f>
        <v>187.412398</v>
      </c>
      <c r="H676" s="1">
        <f>'Unformatted Trip Summary'!H674</f>
        <v>9.3956469076999998</v>
      </c>
    </row>
    <row r="677" spans="1:8" x14ac:dyDescent="0.25">
      <c r="A677" t="str">
        <f>'Unformatted Trip Summary'!A675</f>
        <v>09 WELLINGTON</v>
      </c>
      <c r="B677" t="str">
        <f>'Unformatted Trip Summary'!J675</f>
        <v>2017/18</v>
      </c>
      <c r="C677" t="str">
        <f>'Unformatted Trip Summary'!I675</f>
        <v>Local Bus</v>
      </c>
      <c r="D677">
        <f>'Unformatted Trip Summary'!D675</f>
        <v>211</v>
      </c>
      <c r="E677">
        <f>'Unformatted Trip Summary'!E675</f>
        <v>552</v>
      </c>
      <c r="F677" s="1">
        <f>'Unformatted Trip Summary'!F675</f>
        <v>25.478594138999998</v>
      </c>
      <c r="G677" s="1">
        <f>'Unformatted Trip Summary'!G675</f>
        <v>194.02219538</v>
      </c>
      <c r="H677" s="1">
        <f>'Unformatted Trip Summary'!H675</f>
        <v>9.6849274415999993</v>
      </c>
    </row>
    <row r="678" spans="1:8" x14ac:dyDescent="0.25">
      <c r="A678" t="str">
        <f>'Unformatted Trip Summary'!A676</f>
        <v>09 WELLINGTON</v>
      </c>
      <c r="B678" t="str">
        <f>'Unformatted Trip Summary'!J676</f>
        <v>2022/23</v>
      </c>
      <c r="C678" t="str">
        <f>'Unformatted Trip Summary'!I676</f>
        <v>Local Bus</v>
      </c>
      <c r="D678">
        <f>'Unformatted Trip Summary'!D676</f>
        <v>211</v>
      </c>
      <c r="E678">
        <f>'Unformatted Trip Summary'!E676</f>
        <v>552</v>
      </c>
      <c r="F678" s="1">
        <f>'Unformatted Trip Summary'!F676</f>
        <v>25.553104759</v>
      </c>
      <c r="G678" s="1">
        <f>'Unformatted Trip Summary'!G676</f>
        <v>195.43861494999999</v>
      </c>
      <c r="H678" s="1">
        <f>'Unformatted Trip Summary'!H676</f>
        <v>9.7519610038</v>
      </c>
    </row>
    <row r="679" spans="1:8" x14ac:dyDescent="0.25">
      <c r="A679" t="str">
        <f>'Unformatted Trip Summary'!A677</f>
        <v>09 WELLINGTON</v>
      </c>
      <c r="B679" t="str">
        <f>'Unformatted Trip Summary'!J677</f>
        <v>2027/28</v>
      </c>
      <c r="C679" t="str">
        <f>'Unformatted Trip Summary'!I677</f>
        <v>Local Bus</v>
      </c>
      <c r="D679">
        <f>'Unformatted Trip Summary'!D677</f>
        <v>211</v>
      </c>
      <c r="E679">
        <f>'Unformatted Trip Summary'!E677</f>
        <v>552</v>
      </c>
      <c r="F679" s="1">
        <f>'Unformatted Trip Summary'!F677</f>
        <v>25.151368187999999</v>
      </c>
      <c r="G679" s="1">
        <f>'Unformatted Trip Summary'!G677</f>
        <v>195.36506292999999</v>
      </c>
      <c r="H679" s="1">
        <f>'Unformatted Trip Summary'!H677</f>
        <v>9.6209603155999996</v>
      </c>
    </row>
    <row r="680" spans="1:8" x14ac:dyDescent="0.25">
      <c r="A680" t="str">
        <f>'Unformatted Trip Summary'!A678</f>
        <v>09 WELLINGTON</v>
      </c>
      <c r="B680" t="str">
        <f>'Unformatted Trip Summary'!J678</f>
        <v>2032/33</v>
      </c>
      <c r="C680" t="str">
        <f>'Unformatted Trip Summary'!I678</f>
        <v>Local Bus</v>
      </c>
      <c r="D680">
        <f>'Unformatted Trip Summary'!D678</f>
        <v>211</v>
      </c>
      <c r="E680">
        <f>'Unformatted Trip Summary'!E678</f>
        <v>552</v>
      </c>
      <c r="F680" s="1">
        <f>'Unformatted Trip Summary'!F678</f>
        <v>24.406180762000002</v>
      </c>
      <c r="G680" s="1">
        <f>'Unformatted Trip Summary'!G678</f>
        <v>193.63218957999999</v>
      </c>
      <c r="H680" s="1">
        <f>'Unformatted Trip Summary'!H678</f>
        <v>9.3692021358000002</v>
      </c>
    </row>
    <row r="681" spans="1:8" x14ac:dyDescent="0.25">
      <c r="A681" t="str">
        <f>'Unformatted Trip Summary'!A679</f>
        <v>09 WELLINGTON</v>
      </c>
      <c r="B681" t="str">
        <f>'Unformatted Trip Summary'!J679</f>
        <v>2037/38</v>
      </c>
      <c r="C681" t="str">
        <f>'Unformatted Trip Summary'!I679</f>
        <v>Local Bus</v>
      </c>
      <c r="D681">
        <f>'Unformatted Trip Summary'!D679</f>
        <v>211</v>
      </c>
      <c r="E681">
        <f>'Unformatted Trip Summary'!E679</f>
        <v>552</v>
      </c>
      <c r="F681" s="1">
        <f>'Unformatted Trip Summary'!F679</f>
        <v>23.540603255000001</v>
      </c>
      <c r="G681" s="1">
        <f>'Unformatted Trip Summary'!G679</f>
        <v>191.16260774</v>
      </c>
      <c r="H681" s="1">
        <f>'Unformatted Trip Summary'!H679</f>
        <v>9.0822456122999995</v>
      </c>
    </row>
    <row r="682" spans="1:8" x14ac:dyDescent="0.25">
      <c r="A682" t="str">
        <f>'Unformatted Trip Summary'!A680</f>
        <v>09 WELLINGTON</v>
      </c>
      <c r="B682" t="str">
        <f>'Unformatted Trip Summary'!J680</f>
        <v>2042/43</v>
      </c>
      <c r="C682" t="str">
        <f>'Unformatted Trip Summary'!I680</f>
        <v>Local Bus</v>
      </c>
      <c r="D682">
        <f>'Unformatted Trip Summary'!D680</f>
        <v>211</v>
      </c>
      <c r="E682">
        <f>'Unformatted Trip Summary'!E680</f>
        <v>552</v>
      </c>
      <c r="F682" s="1">
        <f>'Unformatted Trip Summary'!F680</f>
        <v>22.598963101999999</v>
      </c>
      <c r="G682" s="1">
        <f>'Unformatted Trip Summary'!G680</f>
        <v>187.86246208</v>
      </c>
      <c r="H682" s="1">
        <f>'Unformatted Trip Summary'!H680</f>
        <v>8.7596172426999992</v>
      </c>
    </row>
    <row r="683" spans="1:8" x14ac:dyDescent="0.25">
      <c r="A683" t="str">
        <f>'Unformatted Trip Summary'!A681</f>
        <v>09 WELLINGTON</v>
      </c>
      <c r="B683" t="str">
        <f>'Unformatted Trip Summary'!J681</f>
        <v>2012/13</v>
      </c>
      <c r="C683" t="str">
        <f>'Unformatted Trip Summary'!I681</f>
        <v>Local Ferry</v>
      </c>
      <c r="D683">
        <f>'Unformatted Trip Summary'!D681</f>
        <v>2</v>
      </c>
      <c r="E683">
        <f>'Unformatted Trip Summary'!E681</f>
        <v>4</v>
      </c>
      <c r="F683" s="1">
        <f>'Unformatted Trip Summary'!F681</f>
        <v>0.22615005399999999</v>
      </c>
      <c r="G683" s="1">
        <f>'Unformatted Trip Summary'!G681</f>
        <v>0</v>
      </c>
      <c r="H683" s="1">
        <f>'Unformatted Trip Summary'!H681</f>
        <v>5.6537513499999997E-2</v>
      </c>
    </row>
    <row r="684" spans="1:8" x14ac:dyDescent="0.25">
      <c r="A684" t="str">
        <f>'Unformatted Trip Summary'!A682</f>
        <v>09 WELLINGTON</v>
      </c>
      <c r="B684" t="str">
        <f>'Unformatted Trip Summary'!J682</f>
        <v>2017/18</v>
      </c>
      <c r="C684" t="str">
        <f>'Unformatted Trip Summary'!I682</f>
        <v>Local Ferry</v>
      </c>
      <c r="D684">
        <f>'Unformatted Trip Summary'!D682</f>
        <v>2</v>
      </c>
      <c r="E684">
        <f>'Unformatted Trip Summary'!E682</f>
        <v>4</v>
      </c>
      <c r="F684" s="1">
        <f>'Unformatted Trip Summary'!F682</f>
        <v>0.26431697199999998</v>
      </c>
      <c r="G684" s="1">
        <f>'Unformatted Trip Summary'!G682</f>
        <v>0</v>
      </c>
      <c r="H684" s="1">
        <f>'Unformatted Trip Summary'!H682</f>
        <v>6.6079242999999996E-2</v>
      </c>
    </row>
    <row r="685" spans="1:8" x14ac:dyDescent="0.25">
      <c r="A685" t="str">
        <f>'Unformatted Trip Summary'!A683</f>
        <v>09 WELLINGTON</v>
      </c>
      <c r="B685" t="str">
        <f>'Unformatted Trip Summary'!J683</f>
        <v>2022/23</v>
      </c>
      <c r="C685" t="str">
        <f>'Unformatted Trip Summary'!I683</f>
        <v>Local Ferry</v>
      </c>
      <c r="D685">
        <f>'Unformatted Trip Summary'!D683</f>
        <v>2</v>
      </c>
      <c r="E685">
        <f>'Unformatted Trip Summary'!E683</f>
        <v>4</v>
      </c>
      <c r="F685" s="1">
        <f>'Unformatted Trip Summary'!F683</f>
        <v>0.28857463049999998</v>
      </c>
      <c r="G685" s="1">
        <f>'Unformatted Trip Summary'!G683</f>
        <v>0</v>
      </c>
      <c r="H685" s="1">
        <f>'Unformatted Trip Summary'!H683</f>
        <v>7.2143657599999994E-2</v>
      </c>
    </row>
    <row r="686" spans="1:8" x14ac:dyDescent="0.25">
      <c r="A686" t="str">
        <f>'Unformatted Trip Summary'!A684</f>
        <v>09 WELLINGTON</v>
      </c>
      <c r="B686" t="str">
        <f>'Unformatted Trip Summary'!J684</f>
        <v>2027/28</v>
      </c>
      <c r="C686" t="str">
        <f>'Unformatted Trip Summary'!I684</f>
        <v>Local Ferry</v>
      </c>
      <c r="D686">
        <f>'Unformatted Trip Summary'!D684</f>
        <v>2</v>
      </c>
      <c r="E686">
        <f>'Unformatted Trip Summary'!E684</f>
        <v>4</v>
      </c>
      <c r="F686" s="1">
        <f>'Unformatted Trip Summary'!F684</f>
        <v>0.31621654980000002</v>
      </c>
      <c r="G686" s="1">
        <f>'Unformatted Trip Summary'!G684</f>
        <v>0</v>
      </c>
      <c r="H686" s="1">
        <f>'Unformatted Trip Summary'!H684</f>
        <v>7.9054137400000002E-2</v>
      </c>
    </row>
    <row r="687" spans="1:8" x14ac:dyDescent="0.25">
      <c r="A687" t="str">
        <f>'Unformatted Trip Summary'!A685</f>
        <v>09 WELLINGTON</v>
      </c>
      <c r="B687" t="str">
        <f>'Unformatted Trip Summary'!J685</f>
        <v>2032/33</v>
      </c>
      <c r="C687" t="str">
        <f>'Unformatted Trip Summary'!I685</f>
        <v>Local Ferry</v>
      </c>
      <c r="D687">
        <f>'Unformatted Trip Summary'!D685</f>
        <v>2</v>
      </c>
      <c r="E687">
        <f>'Unformatted Trip Summary'!E685</f>
        <v>4</v>
      </c>
      <c r="F687" s="1">
        <f>'Unformatted Trip Summary'!F685</f>
        <v>0.3451891547</v>
      </c>
      <c r="G687" s="1">
        <f>'Unformatted Trip Summary'!G685</f>
        <v>0</v>
      </c>
      <c r="H687" s="1">
        <f>'Unformatted Trip Summary'!H685</f>
        <v>8.6297288700000002E-2</v>
      </c>
    </row>
    <row r="688" spans="1:8" x14ac:dyDescent="0.25">
      <c r="A688" t="str">
        <f>'Unformatted Trip Summary'!A686</f>
        <v>09 WELLINGTON</v>
      </c>
      <c r="B688" t="str">
        <f>'Unformatted Trip Summary'!J686</f>
        <v>2037/38</v>
      </c>
      <c r="C688" t="str">
        <f>'Unformatted Trip Summary'!I686</f>
        <v>Local Ferry</v>
      </c>
      <c r="D688">
        <f>'Unformatted Trip Summary'!D686</f>
        <v>2</v>
      </c>
      <c r="E688">
        <f>'Unformatted Trip Summary'!E686</f>
        <v>4</v>
      </c>
      <c r="F688" s="1">
        <f>'Unformatted Trip Summary'!F686</f>
        <v>0.38230067420000002</v>
      </c>
      <c r="G688" s="1">
        <f>'Unformatted Trip Summary'!G686</f>
        <v>0</v>
      </c>
      <c r="H688" s="1">
        <f>'Unformatted Trip Summary'!H686</f>
        <v>9.5575168599999996E-2</v>
      </c>
    </row>
    <row r="689" spans="1:8" x14ac:dyDescent="0.25">
      <c r="A689" t="str">
        <f>'Unformatted Trip Summary'!A687</f>
        <v>09 WELLINGTON</v>
      </c>
      <c r="B689" t="str">
        <f>'Unformatted Trip Summary'!J687</f>
        <v>2042/43</v>
      </c>
      <c r="C689" t="str">
        <f>'Unformatted Trip Summary'!I687</f>
        <v>Local Ferry</v>
      </c>
      <c r="D689">
        <f>'Unformatted Trip Summary'!D687</f>
        <v>2</v>
      </c>
      <c r="E689">
        <f>'Unformatted Trip Summary'!E687</f>
        <v>4</v>
      </c>
      <c r="F689" s="1">
        <f>'Unformatted Trip Summary'!F687</f>
        <v>0.42183481340000001</v>
      </c>
      <c r="G689" s="1">
        <f>'Unformatted Trip Summary'!G687</f>
        <v>0</v>
      </c>
      <c r="H689" s="1">
        <f>'Unformatted Trip Summary'!H687</f>
        <v>0.10545870340000001</v>
      </c>
    </row>
    <row r="690" spans="1:8" x14ac:dyDescent="0.25">
      <c r="A690" t="str">
        <f>'Unformatted Trip Summary'!A688</f>
        <v>09 WELLINGTON</v>
      </c>
      <c r="B690" t="str">
        <f>'Unformatted Trip Summary'!J688</f>
        <v>2012/13</v>
      </c>
      <c r="C690" t="str">
        <f>'Unformatted Trip Summary'!I688</f>
        <v>Other Household Travel</v>
      </c>
      <c r="D690">
        <f>'Unformatted Trip Summary'!D688</f>
        <v>7</v>
      </c>
      <c r="E690">
        <f>'Unformatted Trip Summary'!E688</f>
        <v>10</v>
      </c>
      <c r="F690" s="1">
        <f>'Unformatted Trip Summary'!F688</f>
        <v>0.33422365529999998</v>
      </c>
      <c r="G690" s="1">
        <f>'Unformatted Trip Summary'!G688</f>
        <v>0</v>
      </c>
      <c r="H690" s="1">
        <f>'Unformatted Trip Summary'!H688</f>
        <v>0.36538599710000003</v>
      </c>
    </row>
    <row r="691" spans="1:8" x14ac:dyDescent="0.25">
      <c r="A691" t="str">
        <f>'Unformatted Trip Summary'!A689</f>
        <v>09 WELLINGTON</v>
      </c>
      <c r="B691" t="str">
        <f>'Unformatted Trip Summary'!J689</f>
        <v>2017/18</v>
      </c>
      <c r="C691" t="str">
        <f>'Unformatted Trip Summary'!I689</f>
        <v>Other Household Travel</v>
      </c>
      <c r="D691">
        <f>'Unformatted Trip Summary'!D689</f>
        <v>7</v>
      </c>
      <c r="E691">
        <f>'Unformatted Trip Summary'!E689</f>
        <v>10</v>
      </c>
      <c r="F691" s="1">
        <f>'Unformatted Trip Summary'!F689</f>
        <v>0.33488079380000002</v>
      </c>
      <c r="G691" s="1">
        <f>'Unformatted Trip Summary'!G689</f>
        <v>0</v>
      </c>
      <c r="H691" s="1">
        <f>'Unformatted Trip Summary'!H689</f>
        <v>0.34000227849999998</v>
      </c>
    </row>
    <row r="692" spans="1:8" x14ac:dyDescent="0.25">
      <c r="A692" t="str">
        <f>'Unformatted Trip Summary'!A690</f>
        <v>09 WELLINGTON</v>
      </c>
      <c r="B692" t="str">
        <f>'Unformatted Trip Summary'!J690</f>
        <v>2022/23</v>
      </c>
      <c r="C692" t="str">
        <f>'Unformatted Trip Summary'!I690</f>
        <v>Other Household Travel</v>
      </c>
      <c r="D692">
        <f>'Unformatted Trip Summary'!D690</f>
        <v>7</v>
      </c>
      <c r="E692">
        <f>'Unformatted Trip Summary'!E690</f>
        <v>10</v>
      </c>
      <c r="F692" s="1">
        <f>'Unformatted Trip Summary'!F690</f>
        <v>0.33806265470000002</v>
      </c>
      <c r="G692" s="1">
        <f>'Unformatted Trip Summary'!G690</f>
        <v>0</v>
      </c>
      <c r="H692" s="1">
        <f>'Unformatted Trip Summary'!H690</f>
        <v>0.35020196920000002</v>
      </c>
    </row>
    <row r="693" spans="1:8" x14ac:dyDescent="0.25">
      <c r="A693" t="str">
        <f>'Unformatted Trip Summary'!A691</f>
        <v>09 WELLINGTON</v>
      </c>
      <c r="B693" t="str">
        <f>'Unformatted Trip Summary'!J691</f>
        <v>2027/28</v>
      </c>
      <c r="C693" t="str">
        <f>'Unformatted Trip Summary'!I691</f>
        <v>Other Household Travel</v>
      </c>
      <c r="D693">
        <f>'Unformatted Trip Summary'!D691</f>
        <v>7</v>
      </c>
      <c r="E693">
        <f>'Unformatted Trip Summary'!E691</f>
        <v>10</v>
      </c>
      <c r="F693" s="1">
        <f>'Unformatted Trip Summary'!F691</f>
        <v>0.33497066549999999</v>
      </c>
      <c r="G693" s="1">
        <f>'Unformatted Trip Summary'!G691</f>
        <v>0</v>
      </c>
      <c r="H693" s="1">
        <f>'Unformatted Trip Summary'!H691</f>
        <v>0.39326157960000002</v>
      </c>
    </row>
    <row r="694" spans="1:8" x14ac:dyDescent="0.25">
      <c r="A694" t="str">
        <f>'Unformatted Trip Summary'!A692</f>
        <v>09 WELLINGTON</v>
      </c>
      <c r="B694" t="str">
        <f>'Unformatted Trip Summary'!J692</f>
        <v>2032/33</v>
      </c>
      <c r="C694" t="str">
        <f>'Unformatted Trip Summary'!I692</f>
        <v>Other Household Travel</v>
      </c>
      <c r="D694">
        <f>'Unformatted Trip Summary'!D692</f>
        <v>7</v>
      </c>
      <c r="E694">
        <f>'Unformatted Trip Summary'!E692</f>
        <v>10</v>
      </c>
      <c r="F694" s="1">
        <f>'Unformatted Trip Summary'!F692</f>
        <v>0.3219268227</v>
      </c>
      <c r="G694" s="1">
        <f>'Unformatted Trip Summary'!G692</f>
        <v>0</v>
      </c>
      <c r="H694" s="1">
        <f>'Unformatted Trip Summary'!H692</f>
        <v>0.42035086579999997</v>
      </c>
    </row>
    <row r="695" spans="1:8" x14ac:dyDescent="0.25">
      <c r="A695" t="str">
        <f>'Unformatted Trip Summary'!A693</f>
        <v>09 WELLINGTON</v>
      </c>
      <c r="B695" t="str">
        <f>'Unformatted Trip Summary'!J693</f>
        <v>2037/38</v>
      </c>
      <c r="C695" t="str">
        <f>'Unformatted Trip Summary'!I693</f>
        <v>Other Household Travel</v>
      </c>
      <c r="D695">
        <f>'Unformatted Trip Summary'!D693</f>
        <v>7</v>
      </c>
      <c r="E695">
        <f>'Unformatted Trip Summary'!E693</f>
        <v>10</v>
      </c>
      <c r="F695" s="1">
        <f>'Unformatted Trip Summary'!F693</f>
        <v>0.31181591939999997</v>
      </c>
      <c r="G695" s="1">
        <f>'Unformatted Trip Summary'!G693</f>
        <v>0</v>
      </c>
      <c r="H695" s="1">
        <f>'Unformatted Trip Summary'!H693</f>
        <v>0.41294815779999999</v>
      </c>
    </row>
    <row r="696" spans="1:8" x14ac:dyDescent="0.25">
      <c r="A696" t="str">
        <f>'Unformatted Trip Summary'!A694</f>
        <v>09 WELLINGTON</v>
      </c>
      <c r="B696" t="str">
        <f>'Unformatted Trip Summary'!J694</f>
        <v>2042/43</v>
      </c>
      <c r="C696" t="str">
        <f>'Unformatted Trip Summary'!I694</f>
        <v>Other Household Travel</v>
      </c>
      <c r="D696">
        <f>'Unformatted Trip Summary'!D694</f>
        <v>7</v>
      </c>
      <c r="E696">
        <f>'Unformatted Trip Summary'!E694</f>
        <v>10</v>
      </c>
      <c r="F696" s="1">
        <f>'Unformatted Trip Summary'!F694</f>
        <v>0.29940411049999999</v>
      </c>
      <c r="G696" s="1">
        <f>'Unformatted Trip Summary'!G694</f>
        <v>0</v>
      </c>
      <c r="H696" s="1">
        <f>'Unformatted Trip Summary'!H694</f>
        <v>0.40237083429999998</v>
      </c>
    </row>
    <row r="697" spans="1:8" x14ac:dyDescent="0.25">
      <c r="A697" t="str">
        <f>'Unformatted Trip Summary'!A695</f>
        <v>09 WELLINGTON</v>
      </c>
      <c r="B697" t="str">
        <f>'Unformatted Trip Summary'!J695</f>
        <v>2012/13</v>
      </c>
      <c r="C697" t="str">
        <f>'Unformatted Trip Summary'!I695</f>
        <v>Air/Non-Local PT</v>
      </c>
      <c r="D697">
        <f>'Unformatted Trip Summary'!D695</f>
        <v>44</v>
      </c>
      <c r="E697">
        <f>'Unformatted Trip Summary'!E695</f>
        <v>59</v>
      </c>
      <c r="F697" s="1">
        <f>'Unformatted Trip Summary'!F695</f>
        <v>2.6590020702000001</v>
      </c>
      <c r="G697" s="1">
        <f>'Unformatted Trip Summary'!G695</f>
        <v>67.715118274999995</v>
      </c>
      <c r="H697" s="1">
        <f>'Unformatted Trip Summary'!H695</f>
        <v>5.4178011538000002</v>
      </c>
    </row>
    <row r="698" spans="1:8" x14ac:dyDescent="0.25">
      <c r="A698" t="str">
        <f>'Unformatted Trip Summary'!A696</f>
        <v>09 WELLINGTON</v>
      </c>
      <c r="B698" t="str">
        <f>'Unformatted Trip Summary'!J696</f>
        <v>2017/18</v>
      </c>
      <c r="C698" t="str">
        <f>'Unformatted Trip Summary'!I696</f>
        <v>Air/Non-Local PT</v>
      </c>
      <c r="D698">
        <f>'Unformatted Trip Summary'!D696</f>
        <v>44</v>
      </c>
      <c r="E698">
        <f>'Unformatted Trip Summary'!E696</f>
        <v>59</v>
      </c>
      <c r="F698" s="1">
        <f>'Unformatted Trip Summary'!F696</f>
        <v>2.8710897917999998</v>
      </c>
      <c r="G698" s="1">
        <f>'Unformatted Trip Summary'!G696</f>
        <v>79.116258962000003</v>
      </c>
      <c r="H698" s="1">
        <f>'Unformatted Trip Summary'!H696</f>
        <v>5.9343550265999996</v>
      </c>
    </row>
    <row r="699" spans="1:8" x14ac:dyDescent="0.25">
      <c r="A699" t="str">
        <f>'Unformatted Trip Summary'!A697</f>
        <v>09 WELLINGTON</v>
      </c>
      <c r="B699" t="str">
        <f>'Unformatted Trip Summary'!J697</f>
        <v>2022/23</v>
      </c>
      <c r="C699" t="str">
        <f>'Unformatted Trip Summary'!I697</f>
        <v>Air/Non-Local PT</v>
      </c>
      <c r="D699">
        <f>'Unformatted Trip Summary'!D697</f>
        <v>44</v>
      </c>
      <c r="E699">
        <f>'Unformatted Trip Summary'!E697</f>
        <v>59</v>
      </c>
      <c r="F699" s="1">
        <f>'Unformatted Trip Summary'!F697</f>
        <v>3.0765514006000001</v>
      </c>
      <c r="G699" s="1">
        <f>'Unformatted Trip Summary'!G697</f>
        <v>87.939174520999998</v>
      </c>
      <c r="H699" s="1">
        <f>'Unformatted Trip Summary'!H697</f>
        <v>6.4863082568000001</v>
      </c>
    </row>
    <row r="700" spans="1:8" x14ac:dyDescent="0.25">
      <c r="A700" t="str">
        <f>'Unformatted Trip Summary'!A698</f>
        <v>09 WELLINGTON</v>
      </c>
      <c r="B700" t="str">
        <f>'Unformatted Trip Summary'!J698</f>
        <v>2027/28</v>
      </c>
      <c r="C700" t="str">
        <f>'Unformatted Trip Summary'!I698</f>
        <v>Air/Non-Local PT</v>
      </c>
      <c r="D700">
        <f>'Unformatted Trip Summary'!D698</f>
        <v>44</v>
      </c>
      <c r="E700">
        <f>'Unformatted Trip Summary'!E698</f>
        <v>59</v>
      </c>
      <c r="F700" s="1">
        <f>'Unformatted Trip Summary'!F698</f>
        <v>3.2956602709</v>
      </c>
      <c r="G700" s="1">
        <f>'Unformatted Trip Summary'!G698</f>
        <v>90.336684117999994</v>
      </c>
      <c r="H700" s="1">
        <f>'Unformatted Trip Summary'!H698</f>
        <v>7.0918734171000004</v>
      </c>
    </row>
    <row r="701" spans="1:8" x14ac:dyDescent="0.25">
      <c r="A701" t="str">
        <f>'Unformatted Trip Summary'!A699</f>
        <v>09 WELLINGTON</v>
      </c>
      <c r="B701" t="str">
        <f>'Unformatted Trip Summary'!J699</f>
        <v>2032/33</v>
      </c>
      <c r="C701" t="str">
        <f>'Unformatted Trip Summary'!I699</f>
        <v>Air/Non-Local PT</v>
      </c>
      <c r="D701">
        <f>'Unformatted Trip Summary'!D699</f>
        <v>44</v>
      </c>
      <c r="E701">
        <f>'Unformatted Trip Summary'!E699</f>
        <v>59</v>
      </c>
      <c r="F701" s="1">
        <f>'Unformatted Trip Summary'!F699</f>
        <v>3.4521304353</v>
      </c>
      <c r="G701" s="1">
        <f>'Unformatted Trip Summary'!G699</f>
        <v>89.916026278999993</v>
      </c>
      <c r="H701" s="1">
        <f>'Unformatted Trip Summary'!H699</f>
        <v>7.5104916558000001</v>
      </c>
    </row>
    <row r="702" spans="1:8" x14ac:dyDescent="0.25">
      <c r="A702" t="str">
        <f>'Unformatted Trip Summary'!A700</f>
        <v>09 WELLINGTON</v>
      </c>
      <c r="B702" t="str">
        <f>'Unformatted Trip Summary'!J700</f>
        <v>2037/38</v>
      </c>
      <c r="C702" t="str">
        <f>'Unformatted Trip Summary'!I700</f>
        <v>Air/Non-Local PT</v>
      </c>
      <c r="D702">
        <f>'Unformatted Trip Summary'!D700</f>
        <v>44</v>
      </c>
      <c r="E702">
        <f>'Unformatted Trip Summary'!E700</f>
        <v>59</v>
      </c>
      <c r="F702" s="1">
        <f>'Unformatted Trip Summary'!F700</f>
        <v>3.5272522366999999</v>
      </c>
      <c r="G702" s="1">
        <f>'Unformatted Trip Summary'!G700</f>
        <v>87.392306137000006</v>
      </c>
      <c r="H702" s="1">
        <f>'Unformatted Trip Summary'!H700</f>
        <v>7.6650939221999996</v>
      </c>
    </row>
    <row r="703" spans="1:8" x14ac:dyDescent="0.25">
      <c r="A703" t="str">
        <f>'Unformatted Trip Summary'!A701</f>
        <v>09 WELLINGTON</v>
      </c>
      <c r="B703" t="str">
        <f>'Unformatted Trip Summary'!J701</f>
        <v>2042/43</v>
      </c>
      <c r="C703" t="str">
        <f>'Unformatted Trip Summary'!I701</f>
        <v>Air/Non-Local PT</v>
      </c>
      <c r="D703">
        <f>'Unformatted Trip Summary'!D701</f>
        <v>44</v>
      </c>
      <c r="E703">
        <f>'Unformatted Trip Summary'!E701</f>
        <v>59</v>
      </c>
      <c r="F703" s="1">
        <f>'Unformatted Trip Summary'!F701</f>
        <v>3.5854261145000001</v>
      </c>
      <c r="G703" s="1">
        <f>'Unformatted Trip Summary'!G701</f>
        <v>84.228081196999995</v>
      </c>
      <c r="H703" s="1">
        <f>'Unformatted Trip Summary'!H701</f>
        <v>7.7698778697000002</v>
      </c>
    </row>
    <row r="704" spans="1:8" x14ac:dyDescent="0.25">
      <c r="A704" t="str">
        <f>'Unformatted Trip Summary'!A702</f>
        <v>09 WELLINGTON</v>
      </c>
      <c r="B704" t="str">
        <f>'Unformatted Trip Summary'!J702</f>
        <v>2012/13</v>
      </c>
      <c r="C704" t="str">
        <f>'Unformatted Trip Summary'!I702</f>
        <v>Non-Household Travel</v>
      </c>
      <c r="D704">
        <f>'Unformatted Trip Summary'!D702</f>
        <v>22</v>
      </c>
      <c r="E704">
        <f>'Unformatted Trip Summary'!E702</f>
        <v>115</v>
      </c>
      <c r="F704" s="1">
        <f>'Unformatted Trip Summary'!F702</f>
        <v>5.4599503292999998</v>
      </c>
      <c r="G704" s="1">
        <f>'Unformatted Trip Summary'!G702</f>
        <v>100.96436647</v>
      </c>
      <c r="H704" s="1">
        <f>'Unformatted Trip Summary'!H702</f>
        <v>1.9758448391000001</v>
      </c>
    </row>
    <row r="705" spans="1:8" x14ac:dyDescent="0.25">
      <c r="A705" t="str">
        <f>'Unformatted Trip Summary'!A703</f>
        <v>09 WELLINGTON</v>
      </c>
      <c r="B705" t="str">
        <f>'Unformatted Trip Summary'!J703</f>
        <v>2017/18</v>
      </c>
      <c r="C705" t="str">
        <f>'Unformatted Trip Summary'!I703</f>
        <v>Non-Household Travel</v>
      </c>
      <c r="D705">
        <f>'Unformatted Trip Summary'!D703</f>
        <v>22</v>
      </c>
      <c r="E705">
        <f>'Unformatted Trip Summary'!E703</f>
        <v>115</v>
      </c>
      <c r="F705" s="1">
        <f>'Unformatted Trip Summary'!F703</f>
        <v>5.65413985</v>
      </c>
      <c r="G705" s="1">
        <f>'Unformatted Trip Summary'!G703</f>
        <v>114.8172015</v>
      </c>
      <c r="H705" s="1">
        <f>'Unformatted Trip Summary'!H703</f>
        <v>2.1944772420000001</v>
      </c>
    </row>
    <row r="706" spans="1:8" x14ac:dyDescent="0.25">
      <c r="A706" t="str">
        <f>'Unformatted Trip Summary'!A704</f>
        <v>09 WELLINGTON</v>
      </c>
      <c r="B706" t="str">
        <f>'Unformatted Trip Summary'!J704</f>
        <v>2022/23</v>
      </c>
      <c r="C706" t="str">
        <f>'Unformatted Trip Summary'!I704</f>
        <v>Non-Household Travel</v>
      </c>
      <c r="D706">
        <f>'Unformatted Trip Summary'!D704</f>
        <v>22</v>
      </c>
      <c r="E706">
        <f>'Unformatted Trip Summary'!E704</f>
        <v>115</v>
      </c>
      <c r="F706" s="1">
        <f>'Unformatted Trip Summary'!F704</f>
        <v>5.6992245069000003</v>
      </c>
      <c r="G706" s="1">
        <f>'Unformatted Trip Summary'!G704</f>
        <v>122.25507487</v>
      </c>
      <c r="H706" s="1">
        <f>'Unformatted Trip Summary'!H704</f>
        <v>2.3066151080999999</v>
      </c>
    </row>
    <row r="707" spans="1:8" x14ac:dyDescent="0.25">
      <c r="A707" t="str">
        <f>'Unformatted Trip Summary'!A705</f>
        <v>09 WELLINGTON</v>
      </c>
      <c r="B707" t="str">
        <f>'Unformatted Trip Summary'!J705</f>
        <v>2027/28</v>
      </c>
      <c r="C707" t="str">
        <f>'Unformatted Trip Summary'!I705</f>
        <v>Non-Household Travel</v>
      </c>
      <c r="D707">
        <f>'Unformatted Trip Summary'!D705</f>
        <v>22</v>
      </c>
      <c r="E707">
        <f>'Unformatted Trip Summary'!E705</f>
        <v>115</v>
      </c>
      <c r="F707" s="1">
        <f>'Unformatted Trip Summary'!F705</f>
        <v>5.7860474436000002</v>
      </c>
      <c r="G707" s="1">
        <f>'Unformatted Trip Summary'!G705</f>
        <v>124.02493247</v>
      </c>
      <c r="H707" s="1">
        <f>'Unformatted Trip Summary'!H705</f>
        <v>2.3359455530000002</v>
      </c>
    </row>
    <row r="708" spans="1:8" x14ac:dyDescent="0.25">
      <c r="A708" t="str">
        <f>'Unformatted Trip Summary'!A706</f>
        <v>09 WELLINGTON</v>
      </c>
      <c r="B708" t="str">
        <f>'Unformatted Trip Summary'!J706</f>
        <v>2032/33</v>
      </c>
      <c r="C708" t="str">
        <f>'Unformatted Trip Summary'!I706</f>
        <v>Non-Household Travel</v>
      </c>
      <c r="D708">
        <f>'Unformatted Trip Summary'!D706</f>
        <v>22</v>
      </c>
      <c r="E708">
        <f>'Unformatted Trip Summary'!E706</f>
        <v>115</v>
      </c>
      <c r="F708" s="1">
        <f>'Unformatted Trip Summary'!F706</f>
        <v>5.9675302331999998</v>
      </c>
      <c r="G708" s="1">
        <f>'Unformatted Trip Summary'!G706</f>
        <v>124.20269841</v>
      </c>
      <c r="H708" s="1">
        <f>'Unformatted Trip Summary'!H706</f>
        <v>2.3664416397000001</v>
      </c>
    </row>
    <row r="709" spans="1:8" x14ac:dyDescent="0.25">
      <c r="A709" t="str">
        <f>'Unformatted Trip Summary'!A707</f>
        <v>09 WELLINGTON</v>
      </c>
      <c r="B709" t="str">
        <f>'Unformatted Trip Summary'!J707</f>
        <v>2037/38</v>
      </c>
      <c r="C709" t="str">
        <f>'Unformatted Trip Summary'!I707</f>
        <v>Non-Household Travel</v>
      </c>
      <c r="D709">
        <f>'Unformatted Trip Summary'!D707</f>
        <v>22</v>
      </c>
      <c r="E709">
        <f>'Unformatted Trip Summary'!E707</f>
        <v>115</v>
      </c>
      <c r="F709" s="1">
        <f>'Unformatted Trip Summary'!F707</f>
        <v>6.2418903682</v>
      </c>
      <c r="G709" s="1">
        <f>'Unformatted Trip Summary'!G707</f>
        <v>126.14757662</v>
      </c>
      <c r="H709" s="1">
        <f>'Unformatted Trip Summary'!H707</f>
        <v>2.4461322334000002</v>
      </c>
    </row>
    <row r="710" spans="1:8" x14ac:dyDescent="0.25">
      <c r="A710" t="str">
        <f>'Unformatted Trip Summary'!A708</f>
        <v>09 WELLINGTON</v>
      </c>
      <c r="B710" t="str">
        <f>'Unformatted Trip Summary'!J708</f>
        <v>2042/43</v>
      </c>
      <c r="C710" t="str">
        <f>'Unformatted Trip Summary'!I708</f>
        <v>Non-Household Travel</v>
      </c>
      <c r="D710">
        <f>'Unformatted Trip Summary'!D708</f>
        <v>22</v>
      </c>
      <c r="E710">
        <f>'Unformatted Trip Summary'!E708</f>
        <v>115</v>
      </c>
      <c r="F710" s="1">
        <f>'Unformatted Trip Summary'!F708</f>
        <v>6.5372804907999997</v>
      </c>
      <c r="G710" s="1">
        <f>'Unformatted Trip Summary'!G708</f>
        <v>128.09292260000001</v>
      </c>
      <c r="H710" s="1">
        <f>'Unformatted Trip Summary'!H708</f>
        <v>2.5289052887999999</v>
      </c>
    </row>
    <row r="711" spans="1:8" x14ac:dyDescent="0.25">
      <c r="A711" t="str">
        <f>'Unformatted Trip Summary'!A709</f>
        <v>10 NELS-MARLB-TAS</v>
      </c>
      <c r="B711" t="str">
        <f>'Unformatted Trip Summary'!J709</f>
        <v>2012/13</v>
      </c>
      <c r="C711" t="str">
        <f>'Unformatted Trip Summary'!I709</f>
        <v>Pedestrian</v>
      </c>
      <c r="D711">
        <f>'Unformatted Trip Summary'!D709</f>
        <v>333</v>
      </c>
      <c r="E711">
        <f>'Unformatted Trip Summary'!E709</f>
        <v>1184</v>
      </c>
      <c r="F711" s="1">
        <f>'Unformatted Trip Summary'!F709</f>
        <v>34.609993433</v>
      </c>
      <c r="G711" s="1">
        <f>'Unformatted Trip Summary'!G709</f>
        <v>28.582749250999999</v>
      </c>
      <c r="H711" s="1">
        <f>'Unformatted Trip Summary'!H709</f>
        <v>7.2640217022</v>
      </c>
    </row>
    <row r="712" spans="1:8" x14ac:dyDescent="0.25">
      <c r="A712" t="str">
        <f>'Unformatted Trip Summary'!A710</f>
        <v>10 NELS-MARLB-TAS</v>
      </c>
      <c r="B712" t="str">
        <f>'Unformatted Trip Summary'!J710</f>
        <v>2017/18</v>
      </c>
      <c r="C712" t="str">
        <f>'Unformatted Trip Summary'!I710</f>
        <v>Pedestrian</v>
      </c>
      <c r="D712">
        <f>'Unformatted Trip Summary'!D710</f>
        <v>333</v>
      </c>
      <c r="E712">
        <f>'Unformatted Trip Summary'!E710</f>
        <v>1184</v>
      </c>
      <c r="F712" s="1">
        <f>'Unformatted Trip Summary'!F710</f>
        <v>35.412109807999997</v>
      </c>
      <c r="G712" s="1">
        <f>'Unformatted Trip Summary'!G710</f>
        <v>29.218006952</v>
      </c>
      <c r="H712" s="1">
        <f>'Unformatted Trip Summary'!H710</f>
        <v>7.4192933844000004</v>
      </c>
    </row>
    <row r="713" spans="1:8" x14ac:dyDescent="0.25">
      <c r="A713" t="str">
        <f>'Unformatted Trip Summary'!A711</f>
        <v>10 NELS-MARLB-TAS</v>
      </c>
      <c r="B713" t="str">
        <f>'Unformatted Trip Summary'!J711</f>
        <v>2022/23</v>
      </c>
      <c r="C713" t="str">
        <f>'Unformatted Trip Summary'!I711</f>
        <v>Pedestrian</v>
      </c>
      <c r="D713">
        <f>'Unformatted Trip Summary'!D711</f>
        <v>333</v>
      </c>
      <c r="E713">
        <f>'Unformatted Trip Summary'!E711</f>
        <v>1184</v>
      </c>
      <c r="F713" s="1">
        <f>'Unformatted Trip Summary'!F711</f>
        <v>36.132588358</v>
      </c>
      <c r="G713" s="1">
        <f>'Unformatted Trip Summary'!G711</f>
        <v>29.915459591000001</v>
      </c>
      <c r="H713" s="1">
        <f>'Unformatted Trip Summary'!H711</f>
        <v>7.5926687733999998</v>
      </c>
    </row>
    <row r="714" spans="1:8" x14ac:dyDescent="0.25">
      <c r="A714" t="str">
        <f>'Unformatted Trip Summary'!A712</f>
        <v>10 NELS-MARLB-TAS</v>
      </c>
      <c r="B714" t="str">
        <f>'Unformatted Trip Summary'!J712</f>
        <v>2027/28</v>
      </c>
      <c r="C714" t="str">
        <f>'Unformatted Trip Summary'!I712</f>
        <v>Pedestrian</v>
      </c>
      <c r="D714">
        <f>'Unformatted Trip Summary'!D712</f>
        <v>333</v>
      </c>
      <c r="E714">
        <f>'Unformatted Trip Summary'!E712</f>
        <v>1184</v>
      </c>
      <c r="F714" s="1">
        <f>'Unformatted Trip Summary'!F712</f>
        <v>36.943221762999997</v>
      </c>
      <c r="G714" s="1">
        <f>'Unformatted Trip Summary'!G712</f>
        <v>30.710865215999998</v>
      </c>
      <c r="H714" s="1">
        <f>'Unformatted Trip Summary'!H712</f>
        <v>7.8321744404000002</v>
      </c>
    </row>
    <row r="715" spans="1:8" x14ac:dyDescent="0.25">
      <c r="A715" t="str">
        <f>'Unformatted Trip Summary'!A713</f>
        <v>10 NELS-MARLB-TAS</v>
      </c>
      <c r="B715" t="str">
        <f>'Unformatted Trip Summary'!J713</f>
        <v>2032/33</v>
      </c>
      <c r="C715" t="str">
        <f>'Unformatted Trip Summary'!I713</f>
        <v>Pedestrian</v>
      </c>
      <c r="D715">
        <f>'Unformatted Trip Summary'!D713</f>
        <v>333</v>
      </c>
      <c r="E715">
        <f>'Unformatted Trip Summary'!E713</f>
        <v>1184</v>
      </c>
      <c r="F715" s="1">
        <f>'Unformatted Trip Summary'!F713</f>
        <v>36.857263832999998</v>
      </c>
      <c r="G715" s="1">
        <f>'Unformatted Trip Summary'!G713</f>
        <v>30.793533067999999</v>
      </c>
      <c r="H715" s="1">
        <f>'Unformatted Trip Summary'!H713</f>
        <v>7.8844276371999999</v>
      </c>
    </row>
    <row r="716" spans="1:8" x14ac:dyDescent="0.25">
      <c r="A716" t="str">
        <f>'Unformatted Trip Summary'!A714</f>
        <v>10 NELS-MARLB-TAS</v>
      </c>
      <c r="B716" t="str">
        <f>'Unformatted Trip Summary'!J714</f>
        <v>2037/38</v>
      </c>
      <c r="C716" t="str">
        <f>'Unformatted Trip Summary'!I714</f>
        <v>Pedestrian</v>
      </c>
      <c r="D716">
        <f>'Unformatted Trip Summary'!D714</f>
        <v>333</v>
      </c>
      <c r="E716">
        <f>'Unformatted Trip Summary'!E714</f>
        <v>1184</v>
      </c>
      <c r="F716" s="1">
        <f>'Unformatted Trip Summary'!F714</f>
        <v>36.301921978999999</v>
      </c>
      <c r="G716" s="1">
        <f>'Unformatted Trip Summary'!G714</f>
        <v>30.261559836</v>
      </c>
      <c r="H716" s="1">
        <f>'Unformatted Trip Summary'!H714</f>
        <v>7.7826606298999996</v>
      </c>
    </row>
    <row r="717" spans="1:8" x14ac:dyDescent="0.25">
      <c r="A717" t="str">
        <f>'Unformatted Trip Summary'!A715</f>
        <v>10 NELS-MARLB-TAS</v>
      </c>
      <c r="B717" t="str">
        <f>'Unformatted Trip Summary'!J715</f>
        <v>2042/43</v>
      </c>
      <c r="C717" t="str">
        <f>'Unformatted Trip Summary'!I715</f>
        <v>Pedestrian</v>
      </c>
      <c r="D717">
        <f>'Unformatted Trip Summary'!D715</f>
        <v>333</v>
      </c>
      <c r="E717">
        <f>'Unformatted Trip Summary'!E715</f>
        <v>1184</v>
      </c>
      <c r="F717" s="1">
        <f>'Unformatted Trip Summary'!F715</f>
        <v>35.566581065999998</v>
      </c>
      <c r="G717" s="1">
        <f>'Unformatted Trip Summary'!G715</f>
        <v>29.572727163</v>
      </c>
      <c r="H717" s="1">
        <f>'Unformatted Trip Summary'!H715</f>
        <v>7.6338057050000003</v>
      </c>
    </row>
    <row r="718" spans="1:8" x14ac:dyDescent="0.25">
      <c r="A718" t="str">
        <f>'Unformatted Trip Summary'!A716</f>
        <v>10 NELS-MARLB-TAS</v>
      </c>
      <c r="B718" t="str">
        <f>'Unformatted Trip Summary'!J716</f>
        <v>2012/13</v>
      </c>
      <c r="C718" t="str">
        <f>'Unformatted Trip Summary'!I716</f>
        <v>Cyclist</v>
      </c>
      <c r="D718">
        <f>'Unformatted Trip Summary'!D716</f>
        <v>42</v>
      </c>
      <c r="E718">
        <f>'Unformatted Trip Summary'!E716</f>
        <v>121</v>
      </c>
      <c r="F718" s="1">
        <f>'Unformatted Trip Summary'!F716</f>
        <v>2.9519642961999999</v>
      </c>
      <c r="G718" s="1">
        <f>'Unformatted Trip Summary'!G716</f>
        <v>10.809874027999999</v>
      </c>
      <c r="H718" s="1">
        <f>'Unformatted Trip Summary'!H716</f>
        <v>1.0417220854</v>
      </c>
    </row>
    <row r="719" spans="1:8" x14ac:dyDescent="0.25">
      <c r="A719" t="str">
        <f>'Unformatted Trip Summary'!A717</f>
        <v>10 NELS-MARLB-TAS</v>
      </c>
      <c r="B719" t="str">
        <f>'Unformatted Trip Summary'!J717</f>
        <v>2017/18</v>
      </c>
      <c r="C719" t="str">
        <f>'Unformatted Trip Summary'!I717</f>
        <v>Cyclist</v>
      </c>
      <c r="D719">
        <f>'Unformatted Trip Summary'!D717</f>
        <v>42</v>
      </c>
      <c r="E719">
        <f>'Unformatted Trip Summary'!E717</f>
        <v>121</v>
      </c>
      <c r="F719" s="1">
        <f>'Unformatted Trip Summary'!F717</f>
        <v>2.8996429138000002</v>
      </c>
      <c r="G719" s="1">
        <f>'Unformatted Trip Summary'!G717</f>
        <v>10.925292730000001</v>
      </c>
      <c r="H719" s="1">
        <f>'Unformatted Trip Summary'!H717</f>
        <v>1.0420593668</v>
      </c>
    </row>
    <row r="720" spans="1:8" x14ac:dyDescent="0.25">
      <c r="A720" t="str">
        <f>'Unformatted Trip Summary'!A718</f>
        <v>10 NELS-MARLB-TAS</v>
      </c>
      <c r="B720" t="str">
        <f>'Unformatted Trip Summary'!J718</f>
        <v>2022/23</v>
      </c>
      <c r="C720" t="str">
        <f>'Unformatted Trip Summary'!I718</f>
        <v>Cyclist</v>
      </c>
      <c r="D720">
        <f>'Unformatted Trip Summary'!D718</f>
        <v>42</v>
      </c>
      <c r="E720">
        <f>'Unformatted Trip Summary'!E718</f>
        <v>121</v>
      </c>
      <c r="F720" s="1">
        <f>'Unformatted Trip Summary'!F718</f>
        <v>2.9024097035</v>
      </c>
      <c r="G720" s="1">
        <f>'Unformatted Trip Summary'!G718</f>
        <v>11.049815563999999</v>
      </c>
      <c r="H720" s="1">
        <f>'Unformatted Trip Summary'!H718</f>
        <v>1.0627563765000001</v>
      </c>
    </row>
    <row r="721" spans="1:8" x14ac:dyDescent="0.25">
      <c r="A721" t="str">
        <f>'Unformatted Trip Summary'!A719</f>
        <v>10 NELS-MARLB-TAS</v>
      </c>
      <c r="B721" t="str">
        <f>'Unformatted Trip Summary'!J719</f>
        <v>2027/28</v>
      </c>
      <c r="C721" t="str">
        <f>'Unformatted Trip Summary'!I719</f>
        <v>Cyclist</v>
      </c>
      <c r="D721">
        <f>'Unformatted Trip Summary'!D719</f>
        <v>42</v>
      </c>
      <c r="E721">
        <f>'Unformatted Trip Summary'!E719</f>
        <v>121</v>
      </c>
      <c r="F721" s="1">
        <f>'Unformatted Trip Summary'!F719</f>
        <v>2.9727755146999999</v>
      </c>
      <c r="G721" s="1">
        <f>'Unformatted Trip Summary'!G719</f>
        <v>11.204092779</v>
      </c>
      <c r="H721" s="1">
        <f>'Unformatted Trip Summary'!H719</f>
        <v>1.1028986735999999</v>
      </c>
    </row>
    <row r="722" spans="1:8" x14ac:dyDescent="0.25">
      <c r="A722" t="str">
        <f>'Unformatted Trip Summary'!A720</f>
        <v>10 NELS-MARLB-TAS</v>
      </c>
      <c r="B722" t="str">
        <f>'Unformatted Trip Summary'!J720</f>
        <v>2032/33</v>
      </c>
      <c r="C722" t="str">
        <f>'Unformatted Trip Summary'!I720</f>
        <v>Cyclist</v>
      </c>
      <c r="D722">
        <f>'Unformatted Trip Summary'!D720</f>
        <v>42</v>
      </c>
      <c r="E722">
        <f>'Unformatted Trip Summary'!E720</f>
        <v>121</v>
      </c>
      <c r="F722" s="1">
        <f>'Unformatted Trip Summary'!F720</f>
        <v>3.0234496254000001</v>
      </c>
      <c r="G722" s="1">
        <f>'Unformatted Trip Summary'!G720</f>
        <v>11.484619552</v>
      </c>
      <c r="H722" s="1">
        <f>'Unformatted Trip Summary'!H720</f>
        <v>1.1355188607</v>
      </c>
    </row>
    <row r="723" spans="1:8" x14ac:dyDescent="0.25">
      <c r="A723" t="str">
        <f>'Unformatted Trip Summary'!A721</f>
        <v>10 NELS-MARLB-TAS</v>
      </c>
      <c r="B723" t="str">
        <f>'Unformatted Trip Summary'!J721</f>
        <v>2037/38</v>
      </c>
      <c r="C723" t="str">
        <f>'Unformatted Trip Summary'!I721</f>
        <v>Cyclist</v>
      </c>
      <c r="D723">
        <f>'Unformatted Trip Summary'!D721</f>
        <v>42</v>
      </c>
      <c r="E723">
        <f>'Unformatted Trip Summary'!E721</f>
        <v>121</v>
      </c>
      <c r="F723" s="1">
        <f>'Unformatted Trip Summary'!F721</f>
        <v>3.0546693206</v>
      </c>
      <c r="G723" s="1">
        <f>'Unformatted Trip Summary'!G721</f>
        <v>11.990194689000001</v>
      </c>
      <c r="H723" s="1">
        <f>'Unformatted Trip Summary'!H721</f>
        <v>1.1735064523000001</v>
      </c>
    </row>
    <row r="724" spans="1:8" x14ac:dyDescent="0.25">
      <c r="A724" t="str">
        <f>'Unformatted Trip Summary'!A722</f>
        <v>10 NELS-MARLB-TAS</v>
      </c>
      <c r="B724" t="str">
        <f>'Unformatted Trip Summary'!J722</f>
        <v>2042/43</v>
      </c>
      <c r="C724" t="str">
        <f>'Unformatted Trip Summary'!I722</f>
        <v>Cyclist</v>
      </c>
      <c r="D724">
        <f>'Unformatted Trip Summary'!D722</f>
        <v>42</v>
      </c>
      <c r="E724">
        <f>'Unformatted Trip Summary'!E722</f>
        <v>121</v>
      </c>
      <c r="F724" s="1">
        <f>'Unformatted Trip Summary'!F722</f>
        <v>3.0689121532999999</v>
      </c>
      <c r="G724" s="1">
        <f>'Unformatted Trip Summary'!G722</f>
        <v>12.536337862</v>
      </c>
      <c r="H724" s="1">
        <f>'Unformatted Trip Summary'!H722</f>
        <v>1.2112505582999999</v>
      </c>
    </row>
    <row r="725" spans="1:8" x14ac:dyDescent="0.25">
      <c r="A725" t="str">
        <f>'Unformatted Trip Summary'!A723</f>
        <v>10 NELS-MARLB-TAS</v>
      </c>
      <c r="B725" t="str">
        <f>'Unformatted Trip Summary'!J723</f>
        <v>2012/13</v>
      </c>
      <c r="C725" t="str">
        <f>'Unformatted Trip Summary'!I723</f>
        <v>Light Vehicle Driver</v>
      </c>
      <c r="D725">
        <f>'Unformatted Trip Summary'!D723</f>
        <v>480</v>
      </c>
      <c r="E725">
        <f>'Unformatted Trip Summary'!E723</f>
        <v>3377</v>
      </c>
      <c r="F725" s="1">
        <f>'Unformatted Trip Summary'!F723</f>
        <v>98.206986838999995</v>
      </c>
      <c r="G725" s="1">
        <f>'Unformatted Trip Summary'!G723</f>
        <v>1012.1329009999999</v>
      </c>
      <c r="H725" s="1">
        <f>'Unformatted Trip Summary'!H723</f>
        <v>23.635435057999999</v>
      </c>
    </row>
    <row r="726" spans="1:8" x14ac:dyDescent="0.25">
      <c r="A726" t="str">
        <f>'Unformatted Trip Summary'!A724</f>
        <v>10 NELS-MARLB-TAS</v>
      </c>
      <c r="B726" t="str">
        <f>'Unformatted Trip Summary'!J724</f>
        <v>2017/18</v>
      </c>
      <c r="C726" t="str">
        <f>'Unformatted Trip Summary'!I724</f>
        <v>Light Vehicle Driver</v>
      </c>
      <c r="D726">
        <f>'Unformatted Trip Summary'!D724</f>
        <v>480</v>
      </c>
      <c r="E726">
        <f>'Unformatted Trip Summary'!E724</f>
        <v>3377</v>
      </c>
      <c r="F726" s="1">
        <f>'Unformatted Trip Summary'!F724</f>
        <v>100.83257542</v>
      </c>
      <c r="G726" s="1">
        <f>'Unformatted Trip Summary'!G724</f>
        <v>1028.2362791999999</v>
      </c>
      <c r="H726" s="1">
        <f>'Unformatted Trip Summary'!H724</f>
        <v>24.179165622999999</v>
      </c>
    </row>
    <row r="727" spans="1:8" x14ac:dyDescent="0.25">
      <c r="A727" t="str">
        <f>'Unformatted Trip Summary'!A725</f>
        <v>10 NELS-MARLB-TAS</v>
      </c>
      <c r="B727" t="str">
        <f>'Unformatted Trip Summary'!J725</f>
        <v>2022/23</v>
      </c>
      <c r="C727" t="str">
        <f>'Unformatted Trip Summary'!I725</f>
        <v>Light Vehicle Driver</v>
      </c>
      <c r="D727">
        <f>'Unformatted Trip Summary'!D725</f>
        <v>480</v>
      </c>
      <c r="E727">
        <f>'Unformatted Trip Summary'!E725</f>
        <v>3377</v>
      </c>
      <c r="F727" s="1">
        <f>'Unformatted Trip Summary'!F725</f>
        <v>101.81833698</v>
      </c>
      <c r="G727" s="1">
        <f>'Unformatted Trip Summary'!G725</f>
        <v>1024.2941461</v>
      </c>
      <c r="H727" s="1">
        <f>'Unformatted Trip Summary'!H725</f>
        <v>24.278405261</v>
      </c>
    </row>
    <row r="728" spans="1:8" x14ac:dyDescent="0.25">
      <c r="A728" t="str">
        <f>'Unformatted Trip Summary'!A726</f>
        <v>10 NELS-MARLB-TAS</v>
      </c>
      <c r="B728" t="str">
        <f>'Unformatted Trip Summary'!J726</f>
        <v>2027/28</v>
      </c>
      <c r="C728" t="str">
        <f>'Unformatted Trip Summary'!I726</f>
        <v>Light Vehicle Driver</v>
      </c>
      <c r="D728">
        <f>'Unformatted Trip Summary'!D726</f>
        <v>480</v>
      </c>
      <c r="E728">
        <f>'Unformatted Trip Summary'!E726</f>
        <v>3377</v>
      </c>
      <c r="F728" s="1">
        <f>'Unformatted Trip Summary'!F726</f>
        <v>103.16927344</v>
      </c>
      <c r="G728" s="1">
        <f>'Unformatted Trip Summary'!G726</f>
        <v>1019.5480332</v>
      </c>
      <c r="H728" s="1">
        <f>'Unformatted Trip Summary'!H726</f>
        <v>24.400132134</v>
      </c>
    </row>
    <row r="729" spans="1:8" x14ac:dyDescent="0.25">
      <c r="A729" t="str">
        <f>'Unformatted Trip Summary'!A727</f>
        <v>10 NELS-MARLB-TAS</v>
      </c>
      <c r="B729" t="str">
        <f>'Unformatted Trip Summary'!J727</f>
        <v>2032/33</v>
      </c>
      <c r="C729" t="str">
        <f>'Unformatted Trip Summary'!I727</f>
        <v>Light Vehicle Driver</v>
      </c>
      <c r="D729">
        <f>'Unformatted Trip Summary'!D727</f>
        <v>480</v>
      </c>
      <c r="E729">
        <f>'Unformatted Trip Summary'!E727</f>
        <v>3377</v>
      </c>
      <c r="F729" s="1">
        <f>'Unformatted Trip Summary'!F727</f>
        <v>104.20274843</v>
      </c>
      <c r="G729" s="1">
        <f>'Unformatted Trip Summary'!G727</f>
        <v>1012.0784126</v>
      </c>
      <c r="H729" s="1">
        <f>'Unformatted Trip Summary'!H727</f>
        <v>24.417601918999999</v>
      </c>
    </row>
    <row r="730" spans="1:8" x14ac:dyDescent="0.25">
      <c r="A730" t="str">
        <f>'Unformatted Trip Summary'!A728</f>
        <v>10 NELS-MARLB-TAS</v>
      </c>
      <c r="B730" t="str">
        <f>'Unformatted Trip Summary'!J728</f>
        <v>2037/38</v>
      </c>
      <c r="C730" t="str">
        <f>'Unformatted Trip Summary'!I728</f>
        <v>Light Vehicle Driver</v>
      </c>
      <c r="D730">
        <f>'Unformatted Trip Summary'!D728</f>
        <v>480</v>
      </c>
      <c r="E730">
        <f>'Unformatted Trip Summary'!E728</f>
        <v>3377</v>
      </c>
      <c r="F730" s="1">
        <f>'Unformatted Trip Summary'!F728</f>
        <v>104.06905725999999</v>
      </c>
      <c r="G730" s="1">
        <f>'Unformatted Trip Summary'!G728</f>
        <v>995.60537398999998</v>
      </c>
      <c r="H730" s="1">
        <f>'Unformatted Trip Summary'!H728</f>
        <v>24.204137880000001</v>
      </c>
    </row>
    <row r="731" spans="1:8" x14ac:dyDescent="0.25">
      <c r="A731" t="str">
        <f>'Unformatted Trip Summary'!A729</f>
        <v>10 NELS-MARLB-TAS</v>
      </c>
      <c r="B731" t="str">
        <f>'Unformatted Trip Summary'!J729</f>
        <v>2042/43</v>
      </c>
      <c r="C731" t="str">
        <f>'Unformatted Trip Summary'!I729</f>
        <v>Light Vehicle Driver</v>
      </c>
      <c r="D731">
        <f>'Unformatted Trip Summary'!D729</f>
        <v>480</v>
      </c>
      <c r="E731">
        <f>'Unformatted Trip Summary'!E729</f>
        <v>3377</v>
      </c>
      <c r="F731" s="1">
        <f>'Unformatted Trip Summary'!F729</f>
        <v>103.55998246999999</v>
      </c>
      <c r="G731" s="1">
        <f>'Unformatted Trip Summary'!G729</f>
        <v>976.73826785999995</v>
      </c>
      <c r="H731" s="1">
        <f>'Unformatted Trip Summary'!H729</f>
        <v>23.912650791000001</v>
      </c>
    </row>
    <row r="732" spans="1:8" x14ac:dyDescent="0.25">
      <c r="A732" t="str">
        <f>'Unformatted Trip Summary'!A730</f>
        <v>10 NELS-MARLB-TAS</v>
      </c>
      <c r="B732" t="str">
        <f>'Unformatted Trip Summary'!J730</f>
        <v>2012/13</v>
      </c>
      <c r="C732" t="str">
        <f>'Unformatted Trip Summary'!I730</f>
        <v>Light Vehicle Passenger</v>
      </c>
      <c r="D732">
        <f>'Unformatted Trip Summary'!D730</f>
        <v>346</v>
      </c>
      <c r="E732">
        <f>'Unformatted Trip Summary'!E730</f>
        <v>1569</v>
      </c>
      <c r="F732" s="1">
        <f>'Unformatted Trip Summary'!F730</f>
        <v>45.895773310999999</v>
      </c>
      <c r="G732" s="1">
        <f>'Unformatted Trip Summary'!G730</f>
        <v>528.66856442999995</v>
      </c>
      <c r="H732" s="1">
        <f>'Unformatted Trip Summary'!H730</f>
        <v>11.910351560000001</v>
      </c>
    </row>
    <row r="733" spans="1:8" x14ac:dyDescent="0.25">
      <c r="A733" t="str">
        <f>'Unformatted Trip Summary'!A731</f>
        <v>10 NELS-MARLB-TAS</v>
      </c>
      <c r="B733" t="str">
        <f>'Unformatted Trip Summary'!J731</f>
        <v>2017/18</v>
      </c>
      <c r="C733" t="str">
        <f>'Unformatted Trip Summary'!I731</f>
        <v>Light Vehicle Passenger</v>
      </c>
      <c r="D733">
        <f>'Unformatted Trip Summary'!D731</f>
        <v>346</v>
      </c>
      <c r="E733">
        <f>'Unformatted Trip Summary'!E731</f>
        <v>1569</v>
      </c>
      <c r="F733" s="1">
        <f>'Unformatted Trip Summary'!F731</f>
        <v>44.984772403999997</v>
      </c>
      <c r="G733" s="1">
        <f>'Unformatted Trip Summary'!G731</f>
        <v>518.67977814999995</v>
      </c>
      <c r="H733" s="1">
        <f>'Unformatted Trip Summary'!H731</f>
        <v>11.755853864000001</v>
      </c>
    </row>
    <row r="734" spans="1:8" x14ac:dyDescent="0.25">
      <c r="A734" t="str">
        <f>'Unformatted Trip Summary'!A732</f>
        <v>10 NELS-MARLB-TAS</v>
      </c>
      <c r="B734" t="str">
        <f>'Unformatted Trip Summary'!J732</f>
        <v>2022/23</v>
      </c>
      <c r="C734" t="str">
        <f>'Unformatted Trip Summary'!I732</f>
        <v>Light Vehicle Passenger</v>
      </c>
      <c r="D734">
        <f>'Unformatted Trip Summary'!D732</f>
        <v>346</v>
      </c>
      <c r="E734">
        <f>'Unformatted Trip Summary'!E732</f>
        <v>1569</v>
      </c>
      <c r="F734" s="1">
        <f>'Unformatted Trip Summary'!F732</f>
        <v>43.940166802999997</v>
      </c>
      <c r="G734" s="1">
        <f>'Unformatted Trip Summary'!G732</f>
        <v>505.20694666000003</v>
      </c>
      <c r="H734" s="1">
        <f>'Unformatted Trip Summary'!H732</f>
        <v>11.544163153</v>
      </c>
    </row>
    <row r="735" spans="1:8" x14ac:dyDescent="0.25">
      <c r="A735" t="str">
        <f>'Unformatted Trip Summary'!A733</f>
        <v>10 NELS-MARLB-TAS</v>
      </c>
      <c r="B735" t="str">
        <f>'Unformatted Trip Summary'!J733</f>
        <v>2027/28</v>
      </c>
      <c r="C735" t="str">
        <f>'Unformatted Trip Summary'!I733</f>
        <v>Light Vehicle Passenger</v>
      </c>
      <c r="D735">
        <f>'Unformatted Trip Summary'!D733</f>
        <v>346</v>
      </c>
      <c r="E735">
        <f>'Unformatted Trip Summary'!E733</f>
        <v>1569</v>
      </c>
      <c r="F735" s="1">
        <f>'Unformatted Trip Summary'!F733</f>
        <v>43.231632124000001</v>
      </c>
      <c r="G735" s="1">
        <f>'Unformatted Trip Summary'!G733</f>
        <v>496.16170237</v>
      </c>
      <c r="H735" s="1">
        <f>'Unformatted Trip Summary'!H733</f>
        <v>11.408438206</v>
      </c>
    </row>
    <row r="736" spans="1:8" x14ac:dyDescent="0.25">
      <c r="A736" t="str">
        <f>'Unformatted Trip Summary'!A734</f>
        <v>10 NELS-MARLB-TAS</v>
      </c>
      <c r="B736" t="str">
        <f>'Unformatted Trip Summary'!J734</f>
        <v>2032/33</v>
      </c>
      <c r="C736" t="str">
        <f>'Unformatted Trip Summary'!I734</f>
        <v>Light Vehicle Passenger</v>
      </c>
      <c r="D736">
        <f>'Unformatted Trip Summary'!D734</f>
        <v>346</v>
      </c>
      <c r="E736">
        <f>'Unformatted Trip Summary'!E734</f>
        <v>1569</v>
      </c>
      <c r="F736" s="1">
        <f>'Unformatted Trip Summary'!F734</f>
        <v>42.000474392000001</v>
      </c>
      <c r="G736" s="1">
        <f>'Unformatted Trip Summary'!G734</f>
        <v>482.51162153000001</v>
      </c>
      <c r="H736" s="1">
        <f>'Unformatted Trip Summary'!H734</f>
        <v>11.113787231</v>
      </c>
    </row>
    <row r="737" spans="1:8" x14ac:dyDescent="0.25">
      <c r="A737" t="str">
        <f>'Unformatted Trip Summary'!A735</f>
        <v>10 NELS-MARLB-TAS</v>
      </c>
      <c r="B737" t="str">
        <f>'Unformatted Trip Summary'!J735</f>
        <v>2037/38</v>
      </c>
      <c r="C737" t="str">
        <f>'Unformatted Trip Summary'!I735</f>
        <v>Light Vehicle Passenger</v>
      </c>
      <c r="D737">
        <f>'Unformatted Trip Summary'!D735</f>
        <v>346</v>
      </c>
      <c r="E737">
        <f>'Unformatted Trip Summary'!E735</f>
        <v>1569</v>
      </c>
      <c r="F737" s="1">
        <f>'Unformatted Trip Summary'!F735</f>
        <v>40.636525716000001</v>
      </c>
      <c r="G737" s="1">
        <f>'Unformatted Trip Summary'!G735</f>
        <v>462.05360316000002</v>
      </c>
      <c r="H737" s="1">
        <f>'Unformatted Trip Summary'!H735</f>
        <v>10.706755230000001</v>
      </c>
    </row>
    <row r="738" spans="1:8" x14ac:dyDescent="0.25">
      <c r="A738" t="str">
        <f>'Unformatted Trip Summary'!A736</f>
        <v>10 NELS-MARLB-TAS</v>
      </c>
      <c r="B738" t="str">
        <f>'Unformatted Trip Summary'!J736</f>
        <v>2042/43</v>
      </c>
      <c r="C738" t="str">
        <f>'Unformatted Trip Summary'!I736</f>
        <v>Light Vehicle Passenger</v>
      </c>
      <c r="D738">
        <f>'Unformatted Trip Summary'!D736</f>
        <v>346</v>
      </c>
      <c r="E738">
        <f>'Unformatted Trip Summary'!E736</f>
        <v>1569</v>
      </c>
      <c r="F738" s="1">
        <f>'Unformatted Trip Summary'!F736</f>
        <v>39.177557395000001</v>
      </c>
      <c r="G738" s="1">
        <f>'Unformatted Trip Summary'!G736</f>
        <v>441.17056710999998</v>
      </c>
      <c r="H738" s="1">
        <f>'Unformatted Trip Summary'!H736</f>
        <v>10.282828726</v>
      </c>
    </row>
    <row r="739" spans="1:8" x14ac:dyDescent="0.25">
      <c r="A739" t="str">
        <f>'Unformatted Trip Summary'!A737</f>
        <v>10 NELS-MARLB-TAS</v>
      </c>
      <c r="B739" t="str">
        <f>'Unformatted Trip Summary'!J737</f>
        <v>2012/13</v>
      </c>
      <c r="C739" t="str">
        <f>'Unformatted Trip Summary'!I737</f>
        <v>Taxi/Vehicle Share</v>
      </c>
      <c r="D739">
        <f>'Unformatted Trip Summary'!D737</f>
        <v>9</v>
      </c>
      <c r="E739">
        <f>'Unformatted Trip Summary'!E737</f>
        <v>16</v>
      </c>
      <c r="F739" s="1">
        <f>'Unformatted Trip Summary'!F737</f>
        <v>0.40359339709999997</v>
      </c>
      <c r="G739" s="1">
        <f>'Unformatted Trip Summary'!G737</f>
        <v>2.5483198348</v>
      </c>
      <c r="H739" s="1">
        <f>'Unformatted Trip Summary'!H737</f>
        <v>8.1526233300000001E-2</v>
      </c>
    </row>
    <row r="740" spans="1:8" x14ac:dyDescent="0.25">
      <c r="A740" t="str">
        <f>'Unformatted Trip Summary'!A738</f>
        <v>10 NELS-MARLB-TAS</v>
      </c>
      <c r="B740" t="str">
        <f>'Unformatted Trip Summary'!J738</f>
        <v>2017/18</v>
      </c>
      <c r="C740" t="str">
        <f>'Unformatted Trip Summary'!I738</f>
        <v>Taxi/Vehicle Share</v>
      </c>
      <c r="D740">
        <f>'Unformatted Trip Summary'!D738</f>
        <v>9</v>
      </c>
      <c r="E740">
        <f>'Unformatted Trip Summary'!E738</f>
        <v>16</v>
      </c>
      <c r="F740" s="1">
        <f>'Unformatted Trip Summary'!F738</f>
        <v>0.47919379670000001</v>
      </c>
      <c r="G740" s="1">
        <f>'Unformatted Trip Summary'!G738</f>
        <v>2.8926528506000002</v>
      </c>
      <c r="H740" s="1">
        <f>'Unformatted Trip Summary'!H738</f>
        <v>9.4911018299999997E-2</v>
      </c>
    </row>
    <row r="741" spans="1:8" x14ac:dyDescent="0.25">
      <c r="A741" t="str">
        <f>'Unformatted Trip Summary'!A739</f>
        <v>10 NELS-MARLB-TAS</v>
      </c>
      <c r="B741" t="str">
        <f>'Unformatted Trip Summary'!J739</f>
        <v>2022/23</v>
      </c>
      <c r="C741" t="str">
        <f>'Unformatted Trip Summary'!I739</f>
        <v>Taxi/Vehicle Share</v>
      </c>
      <c r="D741">
        <f>'Unformatted Trip Summary'!D739</f>
        <v>9</v>
      </c>
      <c r="E741">
        <f>'Unformatted Trip Summary'!E739</f>
        <v>16</v>
      </c>
      <c r="F741" s="1">
        <f>'Unformatted Trip Summary'!F739</f>
        <v>0.55008980620000003</v>
      </c>
      <c r="G741" s="1">
        <f>'Unformatted Trip Summary'!G739</f>
        <v>3.1149751873999998</v>
      </c>
      <c r="H741" s="1">
        <f>'Unformatted Trip Summary'!H739</f>
        <v>0.1067897837</v>
      </c>
    </row>
    <row r="742" spans="1:8" x14ac:dyDescent="0.25">
      <c r="A742" t="str">
        <f>'Unformatted Trip Summary'!A740</f>
        <v>10 NELS-MARLB-TAS</v>
      </c>
      <c r="B742" t="str">
        <f>'Unformatted Trip Summary'!J740</f>
        <v>2027/28</v>
      </c>
      <c r="C742" t="str">
        <f>'Unformatted Trip Summary'!I740</f>
        <v>Taxi/Vehicle Share</v>
      </c>
      <c r="D742">
        <f>'Unformatted Trip Summary'!D740</f>
        <v>9</v>
      </c>
      <c r="E742">
        <f>'Unformatted Trip Summary'!E740</f>
        <v>16</v>
      </c>
      <c r="F742" s="1">
        <f>'Unformatted Trip Summary'!F740</f>
        <v>0.58919997930000001</v>
      </c>
      <c r="G742" s="1">
        <f>'Unformatted Trip Summary'!G740</f>
        <v>3.2149763494000001</v>
      </c>
      <c r="H742" s="1">
        <f>'Unformatted Trip Summary'!H740</f>
        <v>0.1130422738</v>
      </c>
    </row>
    <row r="743" spans="1:8" x14ac:dyDescent="0.25">
      <c r="A743" t="str">
        <f>'Unformatted Trip Summary'!A741</f>
        <v>10 NELS-MARLB-TAS</v>
      </c>
      <c r="B743" t="str">
        <f>'Unformatted Trip Summary'!J741</f>
        <v>2032/33</v>
      </c>
      <c r="C743" t="str">
        <f>'Unformatted Trip Summary'!I741</f>
        <v>Taxi/Vehicle Share</v>
      </c>
      <c r="D743">
        <f>'Unformatted Trip Summary'!D741</f>
        <v>9</v>
      </c>
      <c r="E743">
        <f>'Unformatted Trip Summary'!E741</f>
        <v>16</v>
      </c>
      <c r="F743" s="1">
        <f>'Unformatted Trip Summary'!F741</f>
        <v>0.60907284559999997</v>
      </c>
      <c r="G743" s="1">
        <f>'Unformatted Trip Summary'!G741</f>
        <v>3.2924691902999998</v>
      </c>
      <c r="H743" s="1">
        <f>'Unformatted Trip Summary'!H741</f>
        <v>0.1164617048</v>
      </c>
    </row>
    <row r="744" spans="1:8" x14ac:dyDescent="0.25">
      <c r="A744" t="str">
        <f>'Unformatted Trip Summary'!A742</f>
        <v>10 NELS-MARLB-TAS</v>
      </c>
      <c r="B744" t="str">
        <f>'Unformatted Trip Summary'!J742</f>
        <v>2037/38</v>
      </c>
      <c r="C744" t="str">
        <f>'Unformatted Trip Summary'!I742</f>
        <v>Taxi/Vehicle Share</v>
      </c>
      <c r="D744">
        <f>'Unformatted Trip Summary'!D742</f>
        <v>9</v>
      </c>
      <c r="E744">
        <f>'Unformatted Trip Summary'!E742</f>
        <v>16</v>
      </c>
      <c r="F744" s="1">
        <f>'Unformatted Trip Summary'!F742</f>
        <v>0.60845237070000002</v>
      </c>
      <c r="G744" s="1">
        <f>'Unformatted Trip Summary'!G742</f>
        <v>3.2657928888000001</v>
      </c>
      <c r="H744" s="1">
        <f>'Unformatted Trip Summary'!H742</f>
        <v>0.1157559365</v>
      </c>
    </row>
    <row r="745" spans="1:8" x14ac:dyDescent="0.25">
      <c r="A745" t="str">
        <f>'Unformatted Trip Summary'!A743</f>
        <v>10 NELS-MARLB-TAS</v>
      </c>
      <c r="B745" t="str">
        <f>'Unformatted Trip Summary'!J743</f>
        <v>2042/43</v>
      </c>
      <c r="C745" t="str">
        <f>'Unformatted Trip Summary'!I743</f>
        <v>Taxi/Vehicle Share</v>
      </c>
      <c r="D745">
        <f>'Unformatted Trip Summary'!D743</f>
        <v>9</v>
      </c>
      <c r="E745">
        <f>'Unformatted Trip Summary'!E743</f>
        <v>16</v>
      </c>
      <c r="F745" s="1">
        <f>'Unformatted Trip Summary'!F743</f>
        <v>0.60568438430000004</v>
      </c>
      <c r="G745" s="1">
        <f>'Unformatted Trip Summary'!G743</f>
        <v>3.2338873887999999</v>
      </c>
      <c r="H745" s="1">
        <f>'Unformatted Trip Summary'!H743</f>
        <v>0.1146745373</v>
      </c>
    </row>
    <row r="746" spans="1:8" x14ac:dyDescent="0.25">
      <c r="A746" t="str">
        <f>'Unformatted Trip Summary'!A744</f>
        <v>10 NELS-MARLB-TAS</v>
      </c>
      <c r="B746" t="str">
        <f>'Unformatted Trip Summary'!J744</f>
        <v>2012/13</v>
      </c>
      <c r="C746" t="str">
        <f>'Unformatted Trip Summary'!I744</f>
        <v>Motorcyclist</v>
      </c>
      <c r="D746">
        <f>'Unformatted Trip Summary'!D744</f>
        <v>14</v>
      </c>
      <c r="E746">
        <f>'Unformatted Trip Summary'!E744</f>
        <v>52</v>
      </c>
      <c r="F746" s="1">
        <f>'Unformatted Trip Summary'!F744</f>
        <v>1.5095151791999999</v>
      </c>
      <c r="G746" s="1">
        <f>'Unformatted Trip Summary'!G744</f>
        <v>34.127286998000002</v>
      </c>
      <c r="H746" s="1">
        <f>'Unformatted Trip Summary'!H744</f>
        <v>0.60769230029999999</v>
      </c>
    </row>
    <row r="747" spans="1:8" x14ac:dyDescent="0.25">
      <c r="A747" t="str">
        <f>'Unformatted Trip Summary'!A745</f>
        <v>10 NELS-MARLB-TAS</v>
      </c>
      <c r="B747" t="str">
        <f>'Unformatted Trip Summary'!J745</f>
        <v>2017/18</v>
      </c>
      <c r="C747" t="str">
        <f>'Unformatted Trip Summary'!I745</f>
        <v>Motorcyclist</v>
      </c>
      <c r="D747">
        <f>'Unformatted Trip Summary'!D745</f>
        <v>14</v>
      </c>
      <c r="E747">
        <f>'Unformatted Trip Summary'!E745</f>
        <v>52</v>
      </c>
      <c r="F747" s="1">
        <f>'Unformatted Trip Summary'!F745</f>
        <v>1.5298356796999999</v>
      </c>
      <c r="G747" s="1">
        <f>'Unformatted Trip Summary'!G745</f>
        <v>34.695855907000002</v>
      </c>
      <c r="H747" s="1">
        <f>'Unformatted Trip Summary'!H745</f>
        <v>0.61347351159999997</v>
      </c>
    </row>
    <row r="748" spans="1:8" x14ac:dyDescent="0.25">
      <c r="A748" t="str">
        <f>'Unformatted Trip Summary'!A746</f>
        <v>10 NELS-MARLB-TAS</v>
      </c>
      <c r="B748" t="str">
        <f>'Unformatted Trip Summary'!J746</f>
        <v>2022/23</v>
      </c>
      <c r="C748" t="str">
        <f>'Unformatted Trip Summary'!I746</f>
        <v>Motorcyclist</v>
      </c>
      <c r="D748">
        <f>'Unformatted Trip Summary'!D746</f>
        <v>14</v>
      </c>
      <c r="E748">
        <f>'Unformatted Trip Summary'!E746</f>
        <v>52</v>
      </c>
      <c r="F748" s="1">
        <f>'Unformatted Trip Summary'!F746</f>
        <v>1.5526989294</v>
      </c>
      <c r="G748" s="1">
        <f>'Unformatted Trip Summary'!G746</f>
        <v>35.039109050999997</v>
      </c>
      <c r="H748" s="1">
        <f>'Unformatted Trip Summary'!H746</f>
        <v>0.61676123650000003</v>
      </c>
    </row>
    <row r="749" spans="1:8" x14ac:dyDescent="0.25">
      <c r="A749" t="str">
        <f>'Unformatted Trip Summary'!A747</f>
        <v>10 NELS-MARLB-TAS</v>
      </c>
      <c r="B749" t="str">
        <f>'Unformatted Trip Summary'!J747</f>
        <v>2027/28</v>
      </c>
      <c r="C749" t="str">
        <f>'Unformatted Trip Summary'!I747</f>
        <v>Motorcyclist</v>
      </c>
      <c r="D749">
        <f>'Unformatted Trip Summary'!D747</f>
        <v>14</v>
      </c>
      <c r="E749">
        <f>'Unformatted Trip Summary'!E747</f>
        <v>52</v>
      </c>
      <c r="F749" s="1">
        <f>'Unformatted Trip Summary'!F747</f>
        <v>1.5771042610999999</v>
      </c>
      <c r="G749" s="1">
        <f>'Unformatted Trip Summary'!G747</f>
        <v>34.750453806000003</v>
      </c>
      <c r="H749" s="1">
        <f>'Unformatted Trip Summary'!H747</f>
        <v>0.61142580940000002</v>
      </c>
    </row>
    <row r="750" spans="1:8" x14ac:dyDescent="0.25">
      <c r="A750" t="str">
        <f>'Unformatted Trip Summary'!A748</f>
        <v>10 NELS-MARLB-TAS</v>
      </c>
      <c r="B750" t="str">
        <f>'Unformatted Trip Summary'!J748</f>
        <v>2032/33</v>
      </c>
      <c r="C750" t="str">
        <f>'Unformatted Trip Summary'!I748</f>
        <v>Motorcyclist</v>
      </c>
      <c r="D750">
        <f>'Unformatted Trip Summary'!D748</f>
        <v>14</v>
      </c>
      <c r="E750">
        <f>'Unformatted Trip Summary'!E748</f>
        <v>52</v>
      </c>
      <c r="F750" s="1">
        <f>'Unformatted Trip Summary'!F748</f>
        <v>1.5796654539999999</v>
      </c>
      <c r="G750" s="1">
        <f>'Unformatted Trip Summary'!G748</f>
        <v>34.937319273</v>
      </c>
      <c r="H750" s="1">
        <f>'Unformatted Trip Summary'!H748</f>
        <v>0.61322040229999997</v>
      </c>
    </row>
    <row r="751" spans="1:8" x14ac:dyDescent="0.25">
      <c r="A751" t="str">
        <f>'Unformatted Trip Summary'!A749</f>
        <v>10 NELS-MARLB-TAS</v>
      </c>
      <c r="B751" t="str">
        <f>'Unformatted Trip Summary'!J749</f>
        <v>2037/38</v>
      </c>
      <c r="C751" t="str">
        <f>'Unformatted Trip Summary'!I749</f>
        <v>Motorcyclist</v>
      </c>
      <c r="D751">
        <f>'Unformatted Trip Summary'!D749</f>
        <v>14</v>
      </c>
      <c r="E751">
        <f>'Unformatted Trip Summary'!E749</f>
        <v>52</v>
      </c>
      <c r="F751" s="1">
        <f>'Unformatted Trip Summary'!F749</f>
        <v>1.5432043933999999</v>
      </c>
      <c r="G751" s="1">
        <f>'Unformatted Trip Summary'!G749</f>
        <v>34.882346364999997</v>
      </c>
      <c r="H751" s="1">
        <f>'Unformatted Trip Summary'!H749</f>
        <v>0.61067612059999998</v>
      </c>
    </row>
    <row r="752" spans="1:8" x14ac:dyDescent="0.25">
      <c r="A752" t="str">
        <f>'Unformatted Trip Summary'!A750</f>
        <v>10 NELS-MARLB-TAS</v>
      </c>
      <c r="B752" t="str">
        <f>'Unformatted Trip Summary'!J750</f>
        <v>2042/43</v>
      </c>
      <c r="C752" t="str">
        <f>'Unformatted Trip Summary'!I750</f>
        <v>Motorcyclist</v>
      </c>
      <c r="D752">
        <f>'Unformatted Trip Summary'!D750</f>
        <v>14</v>
      </c>
      <c r="E752">
        <f>'Unformatted Trip Summary'!E750</f>
        <v>52</v>
      </c>
      <c r="F752" s="1">
        <f>'Unformatted Trip Summary'!F750</f>
        <v>1.5012740930999999</v>
      </c>
      <c r="G752" s="1">
        <f>'Unformatted Trip Summary'!G750</f>
        <v>34.669041395999997</v>
      </c>
      <c r="H752" s="1">
        <f>'Unformatted Trip Summary'!H750</f>
        <v>0.60537409180000001</v>
      </c>
    </row>
    <row r="753" spans="1:8" x14ac:dyDescent="0.25">
      <c r="A753" t="str">
        <f>'Unformatted Trip Summary'!A751</f>
        <v>10 NELS-MARLB-TAS</v>
      </c>
      <c r="B753" t="str">
        <f>'Unformatted Trip Summary'!J751</f>
        <v>2012/13</v>
      </c>
      <c r="C753" t="str">
        <f>'Unformatted Trip Summary'!I751</f>
        <v>Local Train</v>
      </c>
      <c r="D753">
        <f>'Unformatted Trip Summary'!D751</f>
        <v>1</v>
      </c>
      <c r="E753">
        <f>'Unformatted Trip Summary'!E751</f>
        <v>4</v>
      </c>
      <c r="F753" s="1">
        <f>'Unformatted Trip Summary'!F751</f>
        <v>0.1284956481</v>
      </c>
      <c r="G753" s="1">
        <f>'Unformatted Trip Summary'!G751</f>
        <v>5.3733082988999996</v>
      </c>
      <c r="H753" s="1">
        <f>'Unformatted Trip Summary'!H751</f>
        <v>9.9048728700000005E-2</v>
      </c>
    </row>
    <row r="754" spans="1:8" x14ac:dyDescent="0.25">
      <c r="A754" t="str">
        <f>'Unformatted Trip Summary'!A752</f>
        <v>10 NELS-MARLB-TAS</v>
      </c>
      <c r="B754" t="str">
        <f>'Unformatted Trip Summary'!J752</f>
        <v>2017/18</v>
      </c>
      <c r="C754" t="str">
        <f>'Unformatted Trip Summary'!I752</f>
        <v>Local Train</v>
      </c>
      <c r="D754">
        <f>'Unformatted Trip Summary'!D752</f>
        <v>1</v>
      </c>
      <c r="E754">
        <f>'Unformatted Trip Summary'!E752</f>
        <v>4</v>
      </c>
      <c r="F754" s="1">
        <f>'Unformatted Trip Summary'!F752</f>
        <v>0.1134896059</v>
      </c>
      <c r="G754" s="1">
        <f>'Unformatted Trip Summary'!G752</f>
        <v>4.7510430171999998</v>
      </c>
      <c r="H754" s="1">
        <f>'Unformatted Trip Summary'!H752</f>
        <v>8.7578540199999999E-2</v>
      </c>
    </row>
    <row r="755" spans="1:8" x14ac:dyDescent="0.25">
      <c r="A755" t="str">
        <f>'Unformatted Trip Summary'!A753</f>
        <v>10 NELS-MARLB-TAS</v>
      </c>
      <c r="B755" t="str">
        <f>'Unformatted Trip Summary'!J753</f>
        <v>2022/23</v>
      </c>
      <c r="C755" t="str">
        <f>'Unformatted Trip Summary'!I753</f>
        <v>Local Train</v>
      </c>
      <c r="D755">
        <f>'Unformatted Trip Summary'!D753</f>
        <v>1</v>
      </c>
      <c r="E755">
        <f>'Unformatted Trip Summary'!E753</f>
        <v>4</v>
      </c>
      <c r="F755" s="1">
        <f>'Unformatted Trip Summary'!F753</f>
        <v>9.4112662700000002E-2</v>
      </c>
      <c r="G755" s="1">
        <f>'Unformatted Trip Summary'!G753</f>
        <v>3.9433421000000002</v>
      </c>
      <c r="H755" s="1">
        <f>'Unformatted Trip Summary'!H753</f>
        <v>7.2689966199999997E-2</v>
      </c>
    </row>
    <row r="756" spans="1:8" x14ac:dyDescent="0.25">
      <c r="A756" t="str">
        <f>'Unformatted Trip Summary'!A754</f>
        <v>10 NELS-MARLB-TAS</v>
      </c>
      <c r="B756" t="str">
        <f>'Unformatted Trip Summary'!J754</f>
        <v>2027/28</v>
      </c>
      <c r="C756" t="str">
        <f>'Unformatted Trip Summary'!I754</f>
        <v>Local Train</v>
      </c>
      <c r="D756">
        <f>'Unformatted Trip Summary'!D754</f>
        <v>1</v>
      </c>
      <c r="E756">
        <f>'Unformatted Trip Summary'!E754</f>
        <v>4</v>
      </c>
      <c r="F756" s="1">
        <f>'Unformatted Trip Summary'!F754</f>
        <v>7.0660532299999995E-2</v>
      </c>
      <c r="G756" s="1">
        <f>'Unformatted Trip Summary'!G754</f>
        <v>2.9641180115000001</v>
      </c>
      <c r="H756" s="1">
        <f>'Unformatted Trip Summary'!H754</f>
        <v>5.46395566E-2</v>
      </c>
    </row>
    <row r="757" spans="1:8" x14ac:dyDescent="0.25">
      <c r="A757" t="str">
        <f>'Unformatted Trip Summary'!A755</f>
        <v>10 NELS-MARLB-TAS</v>
      </c>
      <c r="B757" t="str">
        <f>'Unformatted Trip Summary'!J755</f>
        <v>2032/33</v>
      </c>
      <c r="C757" t="str">
        <f>'Unformatted Trip Summary'!I755</f>
        <v>Local Train</v>
      </c>
      <c r="D757">
        <f>'Unformatted Trip Summary'!D755</f>
        <v>1</v>
      </c>
      <c r="E757">
        <f>'Unformatted Trip Summary'!E755</f>
        <v>4</v>
      </c>
      <c r="F757" s="1">
        <f>'Unformatted Trip Summary'!F755</f>
        <v>5.7692273000000002E-2</v>
      </c>
      <c r="G757" s="1">
        <f>'Unformatted Trip Summary'!G755</f>
        <v>2.4229867529</v>
      </c>
      <c r="H757" s="1">
        <f>'Unformatted Trip Summary'!H755</f>
        <v>4.46646999E-2</v>
      </c>
    </row>
    <row r="758" spans="1:8" x14ac:dyDescent="0.25">
      <c r="A758" t="str">
        <f>'Unformatted Trip Summary'!A756</f>
        <v>10 NELS-MARLB-TAS</v>
      </c>
      <c r="B758" t="str">
        <f>'Unformatted Trip Summary'!J756</f>
        <v>2037/38</v>
      </c>
      <c r="C758" t="str">
        <f>'Unformatted Trip Summary'!I756</f>
        <v>Local Train</v>
      </c>
      <c r="D758">
        <f>'Unformatted Trip Summary'!D756</f>
        <v>1</v>
      </c>
      <c r="E758">
        <f>'Unformatted Trip Summary'!E756</f>
        <v>4</v>
      </c>
      <c r="F758" s="1">
        <f>'Unformatted Trip Summary'!F756</f>
        <v>5.1121848499999997E-2</v>
      </c>
      <c r="G758" s="1">
        <f>'Unformatted Trip Summary'!G756</f>
        <v>2.1490975754999999</v>
      </c>
      <c r="H758" s="1">
        <f>'Unformatted Trip Summary'!H756</f>
        <v>3.9616024399999998E-2</v>
      </c>
    </row>
    <row r="759" spans="1:8" x14ac:dyDescent="0.25">
      <c r="A759" t="str">
        <f>'Unformatted Trip Summary'!A757</f>
        <v>10 NELS-MARLB-TAS</v>
      </c>
      <c r="B759" t="str">
        <f>'Unformatted Trip Summary'!J757</f>
        <v>2042/43</v>
      </c>
      <c r="C759" t="str">
        <f>'Unformatted Trip Summary'!I757</f>
        <v>Local Train</v>
      </c>
      <c r="D759">
        <f>'Unformatted Trip Summary'!D757</f>
        <v>1</v>
      </c>
      <c r="E759">
        <f>'Unformatted Trip Summary'!E757</f>
        <v>4</v>
      </c>
      <c r="F759" s="1">
        <f>'Unformatted Trip Summary'!F757</f>
        <v>4.2699806700000002E-2</v>
      </c>
      <c r="G759" s="1">
        <f>'Unformatted Trip Summary'!G757</f>
        <v>1.7972795133999999</v>
      </c>
      <c r="H759" s="1">
        <f>'Unformatted Trip Summary'!H757</f>
        <v>3.3130818499999999E-2</v>
      </c>
    </row>
    <row r="760" spans="1:8" x14ac:dyDescent="0.25">
      <c r="A760" t="str">
        <f>'Unformatted Trip Summary'!A758</f>
        <v>10 NELS-MARLB-TAS</v>
      </c>
      <c r="B760" t="str">
        <f>'Unformatted Trip Summary'!J758</f>
        <v>2012/13</v>
      </c>
      <c r="C760" t="str">
        <f>'Unformatted Trip Summary'!I758</f>
        <v>Local Bus</v>
      </c>
      <c r="D760">
        <f>'Unformatted Trip Summary'!D758</f>
        <v>38</v>
      </c>
      <c r="E760">
        <f>'Unformatted Trip Summary'!E758</f>
        <v>79</v>
      </c>
      <c r="F760" s="1">
        <f>'Unformatted Trip Summary'!F758</f>
        <v>2.0764681202999999</v>
      </c>
      <c r="G760" s="1">
        <f>'Unformatted Trip Summary'!G758</f>
        <v>19.807462209000001</v>
      </c>
      <c r="H760" s="1">
        <f>'Unformatted Trip Summary'!H758</f>
        <v>0.94491203199999996</v>
      </c>
    </row>
    <row r="761" spans="1:8" x14ac:dyDescent="0.25">
      <c r="A761" t="str">
        <f>'Unformatted Trip Summary'!A759</f>
        <v>10 NELS-MARLB-TAS</v>
      </c>
      <c r="B761" t="str">
        <f>'Unformatted Trip Summary'!J759</f>
        <v>2017/18</v>
      </c>
      <c r="C761" t="str">
        <f>'Unformatted Trip Summary'!I759</f>
        <v>Local Bus</v>
      </c>
      <c r="D761">
        <f>'Unformatted Trip Summary'!D759</f>
        <v>38</v>
      </c>
      <c r="E761">
        <f>'Unformatted Trip Summary'!E759</f>
        <v>79</v>
      </c>
      <c r="F761" s="1">
        <f>'Unformatted Trip Summary'!F759</f>
        <v>1.9501721902</v>
      </c>
      <c r="G761" s="1">
        <f>'Unformatted Trip Summary'!G759</f>
        <v>17.986433473000002</v>
      </c>
      <c r="H761" s="1">
        <f>'Unformatted Trip Summary'!H759</f>
        <v>0.85904426140000001</v>
      </c>
    </row>
    <row r="762" spans="1:8" x14ac:dyDescent="0.25">
      <c r="A762" t="str">
        <f>'Unformatted Trip Summary'!A760</f>
        <v>10 NELS-MARLB-TAS</v>
      </c>
      <c r="B762" t="str">
        <f>'Unformatted Trip Summary'!J760</f>
        <v>2022/23</v>
      </c>
      <c r="C762" t="str">
        <f>'Unformatted Trip Summary'!I760</f>
        <v>Local Bus</v>
      </c>
      <c r="D762">
        <f>'Unformatted Trip Summary'!D760</f>
        <v>38</v>
      </c>
      <c r="E762">
        <f>'Unformatted Trip Summary'!E760</f>
        <v>79</v>
      </c>
      <c r="F762" s="1">
        <f>'Unformatted Trip Summary'!F760</f>
        <v>1.866246732</v>
      </c>
      <c r="G762" s="1">
        <f>'Unformatted Trip Summary'!G760</f>
        <v>16.641980147999998</v>
      </c>
      <c r="H762" s="1">
        <f>'Unformatted Trip Summary'!H760</f>
        <v>0.79714238800000004</v>
      </c>
    </row>
    <row r="763" spans="1:8" x14ac:dyDescent="0.25">
      <c r="A763" t="str">
        <f>'Unformatted Trip Summary'!A761</f>
        <v>10 NELS-MARLB-TAS</v>
      </c>
      <c r="B763" t="str">
        <f>'Unformatted Trip Summary'!J761</f>
        <v>2027/28</v>
      </c>
      <c r="C763" t="str">
        <f>'Unformatted Trip Summary'!I761</f>
        <v>Local Bus</v>
      </c>
      <c r="D763">
        <f>'Unformatted Trip Summary'!D761</f>
        <v>38</v>
      </c>
      <c r="E763">
        <f>'Unformatted Trip Summary'!E761</f>
        <v>79</v>
      </c>
      <c r="F763" s="1">
        <f>'Unformatted Trip Summary'!F761</f>
        <v>1.8701886668000001</v>
      </c>
      <c r="G763" s="1">
        <f>'Unformatted Trip Summary'!G761</f>
        <v>16.114446565000001</v>
      </c>
      <c r="H763" s="1">
        <f>'Unformatted Trip Summary'!H761</f>
        <v>0.77485717359999995</v>
      </c>
    </row>
    <row r="764" spans="1:8" x14ac:dyDescent="0.25">
      <c r="A764" t="str">
        <f>'Unformatted Trip Summary'!A762</f>
        <v>10 NELS-MARLB-TAS</v>
      </c>
      <c r="B764" t="str">
        <f>'Unformatted Trip Summary'!J762</f>
        <v>2032/33</v>
      </c>
      <c r="C764" t="str">
        <f>'Unformatted Trip Summary'!I762</f>
        <v>Local Bus</v>
      </c>
      <c r="D764">
        <f>'Unformatted Trip Summary'!D762</f>
        <v>38</v>
      </c>
      <c r="E764">
        <f>'Unformatted Trip Summary'!E762</f>
        <v>79</v>
      </c>
      <c r="F764" s="1">
        <f>'Unformatted Trip Summary'!F762</f>
        <v>1.7695148225999999</v>
      </c>
      <c r="G764" s="1">
        <f>'Unformatted Trip Summary'!G762</f>
        <v>14.947029371999999</v>
      </c>
      <c r="H764" s="1">
        <f>'Unformatted Trip Summary'!H762</f>
        <v>0.72189484479999999</v>
      </c>
    </row>
    <row r="765" spans="1:8" x14ac:dyDescent="0.25">
      <c r="A765" t="str">
        <f>'Unformatted Trip Summary'!A763</f>
        <v>10 NELS-MARLB-TAS</v>
      </c>
      <c r="B765" t="str">
        <f>'Unformatted Trip Summary'!J763</f>
        <v>2037/38</v>
      </c>
      <c r="C765" t="str">
        <f>'Unformatted Trip Summary'!I763</f>
        <v>Local Bus</v>
      </c>
      <c r="D765">
        <f>'Unformatted Trip Summary'!D763</f>
        <v>38</v>
      </c>
      <c r="E765">
        <f>'Unformatted Trip Summary'!E763</f>
        <v>79</v>
      </c>
      <c r="F765" s="1">
        <f>'Unformatted Trip Summary'!F763</f>
        <v>1.7795549256000001</v>
      </c>
      <c r="G765" s="1">
        <f>'Unformatted Trip Summary'!G763</f>
        <v>14.660609039000001</v>
      </c>
      <c r="H765" s="1">
        <f>'Unformatted Trip Summary'!H763</f>
        <v>0.70853911260000002</v>
      </c>
    </row>
    <row r="766" spans="1:8" x14ac:dyDescent="0.25">
      <c r="A766" t="str">
        <f>'Unformatted Trip Summary'!A764</f>
        <v>10 NELS-MARLB-TAS</v>
      </c>
      <c r="B766" t="str">
        <f>'Unformatted Trip Summary'!J764</f>
        <v>2042/43</v>
      </c>
      <c r="C766" t="str">
        <f>'Unformatted Trip Summary'!I764</f>
        <v>Local Bus</v>
      </c>
      <c r="D766">
        <f>'Unformatted Trip Summary'!D764</f>
        <v>38</v>
      </c>
      <c r="E766">
        <f>'Unformatted Trip Summary'!E764</f>
        <v>79</v>
      </c>
      <c r="F766" s="1">
        <f>'Unformatted Trip Summary'!F764</f>
        <v>1.7863552908</v>
      </c>
      <c r="G766" s="1">
        <f>'Unformatted Trip Summary'!G764</f>
        <v>14.403535255</v>
      </c>
      <c r="H766" s="1">
        <f>'Unformatted Trip Summary'!H764</f>
        <v>0.69653890289999998</v>
      </c>
    </row>
    <row r="767" spans="1:8" x14ac:dyDescent="0.25">
      <c r="A767" t="str">
        <f>'Unformatted Trip Summary'!A765</f>
        <v>10 NELS-MARLB-TAS</v>
      </c>
      <c r="B767" t="str">
        <f>'Unformatted Trip Summary'!J765</f>
        <v>2012/13</v>
      </c>
      <c r="C767" t="str">
        <f>'Unformatted Trip Summary'!I765</f>
        <v>Other Household Travel</v>
      </c>
      <c r="D767">
        <f>'Unformatted Trip Summary'!D765</f>
        <v>24</v>
      </c>
      <c r="E767">
        <f>'Unformatted Trip Summary'!E765</f>
        <v>56</v>
      </c>
      <c r="F767" s="1">
        <f>'Unformatted Trip Summary'!F765</f>
        <v>1.495105957</v>
      </c>
      <c r="G767" s="1">
        <f>'Unformatted Trip Summary'!G765</f>
        <v>0</v>
      </c>
      <c r="H767" s="1">
        <f>'Unformatted Trip Summary'!H765</f>
        <v>0.51346004550000002</v>
      </c>
    </row>
    <row r="768" spans="1:8" x14ac:dyDescent="0.25">
      <c r="A768" t="str">
        <f>'Unformatted Trip Summary'!A766</f>
        <v>10 NELS-MARLB-TAS</v>
      </c>
      <c r="B768" t="str">
        <f>'Unformatted Trip Summary'!J766</f>
        <v>2017/18</v>
      </c>
      <c r="C768" t="str">
        <f>'Unformatted Trip Summary'!I766</f>
        <v>Other Household Travel</v>
      </c>
      <c r="D768">
        <f>'Unformatted Trip Summary'!D766</f>
        <v>24</v>
      </c>
      <c r="E768">
        <f>'Unformatted Trip Summary'!E766</f>
        <v>56</v>
      </c>
      <c r="F768" s="1">
        <f>'Unformatted Trip Summary'!F766</f>
        <v>1.4846608834999999</v>
      </c>
      <c r="G768" s="1">
        <f>'Unformatted Trip Summary'!G766</f>
        <v>0</v>
      </c>
      <c r="H768" s="1">
        <f>'Unformatted Trip Summary'!H766</f>
        <v>0.50557466539999996</v>
      </c>
    </row>
    <row r="769" spans="1:8" x14ac:dyDescent="0.25">
      <c r="A769" t="str">
        <f>'Unformatted Trip Summary'!A767</f>
        <v>10 NELS-MARLB-TAS</v>
      </c>
      <c r="B769" t="str">
        <f>'Unformatted Trip Summary'!J767</f>
        <v>2022/23</v>
      </c>
      <c r="C769" t="str">
        <f>'Unformatted Trip Summary'!I767</f>
        <v>Other Household Travel</v>
      </c>
      <c r="D769">
        <f>'Unformatted Trip Summary'!D767</f>
        <v>24</v>
      </c>
      <c r="E769">
        <f>'Unformatted Trip Summary'!E767</f>
        <v>56</v>
      </c>
      <c r="F769" s="1">
        <f>'Unformatted Trip Summary'!F767</f>
        <v>1.4770050393</v>
      </c>
      <c r="G769" s="1">
        <f>'Unformatted Trip Summary'!G767</f>
        <v>0</v>
      </c>
      <c r="H769" s="1">
        <f>'Unformatted Trip Summary'!H767</f>
        <v>0.50187198659999999</v>
      </c>
    </row>
    <row r="770" spans="1:8" x14ac:dyDescent="0.25">
      <c r="A770" t="str">
        <f>'Unformatted Trip Summary'!A768</f>
        <v>10 NELS-MARLB-TAS</v>
      </c>
      <c r="B770" t="str">
        <f>'Unformatted Trip Summary'!J768</f>
        <v>2027/28</v>
      </c>
      <c r="C770" t="str">
        <f>'Unformatted Trip Summary'!I768</f>
        <v>Other Household Travel</v>
      </c>
      <c r="D770">
        <f>'Unformatted Trip Summary'!D768</f>
        <v>24</v>
      </c>
      <c r="E770">
        <f>'Unformatted Trip Summary'!E768</f>
        <v>56</v>
      </c>
      <c r="F770" s="1">
        <f>'Unformatted Trip Summary'!F768</f>
        <v>1.5121176313</v>
      </c>
      <c r="G770" s="1">
        <f>'Unformatted Trip Summary'!G768</f>
        <v>0</v>
      </c>
      <c r="H770" s="1">
        <f>'Unformatted Trip Summary'!H768</f>
        <v>0.51573438640000002</v>
      </c>
    </row>
    <row r="771" spans="1:8" x14ac:dyDescent="0.25">
      <c r="A771" t="str">
        <f>'Unformatted Trip Summary'!A769</f>
        <v>10 NELS-MARLB-TAS</v>
      </c>
      <c r="B771" t="str">
        <f>'Unformatted Trip Summary'!J769</f>
        <v>2032/33</v>
      </c>
      <c r="C771" t="str">
        <f>'Unformatted Trip Summary'!I769</f>
        <v>Other Household Travel</v>
      </c>
      <c r="D771">
        <f>'Unformatted Trip Summary'!D769</f>
        <v>24</v>
      </c>
      <c r="E771">
        <f>'Unformatted Trip Summary'!E769</f>
        <v>56</v>
      </c>
      <c r="F771" s="1">
        <f>'Unformatted Trip Summary'!F769</f>
        <v>1.5299452587</v>
      </c>
      <c r="G771" s="1">
        <f>'Unformatted Trip Summary'!G769</f>
        <v>0</v>
      </c>
      <c r="H771" s="1">
        <f>'Unformatted Trip Summary'!H769</f>
        <v>0.51974025000000001</v>
      </c>
    </row>
    <row r="772" spans="1:8" x14ac:dyDescent="0.25">
      <c r="A772" t="str">
        <f>'Unformatted Trip Summary'!A770</f>
        <v>10 NELS-MARLB-TAS</v>
      </c>
      <c r="B772" t="str">
        <f>'Unformatted Trip Summary'!J770</f>
        <v>2037/38</v>
      </c>
      <c r="C772" t="str">
        <f>'Unformatted Trip Summary'!I770</f>
        <v>Other Household Travel</v>
      </c>
      <c r="D772">
        <f>'Unformatted Trip Summary'!D770</f>
        <v>24</v>
      </c>
      <c r="E772">
        <f>'Unformatted Trip Summary'!E770</f>
        <v>56</v>
      </c>
      <c r="F772" s="1">
        <f>'Unformatted Trip Summary'!F770</f>
        <v>1.5753644444999999</v>
      </c>
      <c r="G772" s="1">
        <f>'Unformatted Trip Summary'!G770</f>
        <v>0</v>
      </c>
      <c r="H772" s="1">
        <f>'Unformatted Trip Summary'!H770</f>
        <v>0.53604662540000003</v>
      </c>
    </row>
    <row r="773" spans="1:8" x14ac:dyDescent="0.25">
      <c r="A773" t="str">
        <f>'Unformatted Trip Summary'!A771</f>
        <v>10 NELS-MARLB-TAS</v>
      </c>
      <c r="B773" t="str">
        <f>'Unformatted Trip Summary'!J771</f>
        <v>2042/43</v>
      </c>
      <c r="C773" t="str">
        <f>'Unformatted Trip Summary'!I771</f>
        <v>Other Household Travel</v>
      </c>
      <c r="D773">
        <f>'Unformatted Trip Summary'!D771</f>
        <v>24</v>
      </c>
      <c r="E773">
        <f>'Unformatted Trip Summary'!E771</f>
        <v>56</v>
      </c>
      <c r="F773" s="1">
        <f>'Unformatted Trip Summary'!F771</f>
        <v>1.6032982712999999</v>
      </c>
      <c r="G773" s="1">
        <f>'Unformatted Trip Summary'!G771</f>
        <v>0</v>
      </c>
      <c r="H773" s="1">
        <f>'Unformatted Trip Summary'!H771</f>
        <v>0.54695967249999999</v>
      </c>
    </row>
    <row r="774" spans="1:8" x14ac:dyDescent="0.25">
      <c r="A774" t="str">
        <f>'Unformatted Trip Summary'!A772</f>
        <v>10 NELS-MARLB-TAS</v>
      </c>
      <c r="B774" t="str">
        <f>'Unformatted Trip Summary'!J772</f>
        <v>2012/13</v>
      </c>
      <c r="C774" t="str">
        <f>'Unformatted Trip Summary'!I772</f>
        <v>Air/Non-Local PT</v>
      </c>
      <c r="D774">
        <f>'Unformatted Trip Summary'!D772</f>
        <v>11</v>
      </c>
      <c r="E774">
        <f>'Unformatted Trip Summary'!E772</f>
        <v>13</v>
      </c>
      <c r="F774" s="1">
        <f>'Unformatted Trip Summary'!F772</f>
        <v>0.38277994659999998</v>
      </c>
      <c r="G774" s="1">
        <f>'Unformatted Trip Summary'!G772</f>
        <v>0</v>
      </c>
      <c r="H774" s="1">
        <f>'Unformatted Trip Summary'!H772</f>
        <v>0.45211944030000001</v>
      </c>
    </row>
    <row r="775" spans="1:8" x14ac:dyDescent="0.25">
      <c r="A775" t="str">
        <f>'Unformatted Trip Summary'!A773</f>
        <v>10 NELS-MARLB-TAS</v>
      </c>
      <c r="B775" t="str">
        <f>'Unformatted Trip Summary'!J773</f>
        <v>2017/18</v>
      </c>
      <c r="C775" t="str">
        <f>'Unformatted Trip Summary'!I773</f>
        <v>Air/Non-Local PT</v>
      </c>
      <c r="D775">
        <f>'Unformatted Trip Summary'!D773</f>
        <v>11</v>
      </c>
      <c r="E775">
        <f>'Unformatted Trip Summary'!E773</f>
        <v>13</v>
      </c>
      <c r="F775" s="1">
        <f>'Unformatted Trip Summary'!F773</f>
        <v>0.40264213589999998</v>
      </c>
      <c r="G775" s="1">
        <f>'Unformatted Trip Summary'!G773</f>
        <v>0</v>
      </c>
      <c r="H775" s="1">
        <f>'Unformatted Trip Summary'!H773</f>
        <v>0.46613795159999999</v>
      </c>
    </row>
    <row r="776" spans="1:8" x14ac:dyDescent="0.25">
      <c r="A776" t="str">
        <f>'Unformatted Trip Summary'!A774</f>
        <v>10 NELS-MARLB-TAS</v>
      </c>
      <c r="B776" t="str">
        <f>'Unformatted Trip Summary'!J774</f>
        <v>2022/23</v>
      </c>
      <c r="C776" t="str">
        <f>'Unformatted Trip Summary'!I774</f>
        <v>Air/Non-Local PT</v>
      </c>
      <c r="D776">
        <f>'Unformatted Trip Summary'!D774</f>
        <v>11</v>
      </c>
      <c r="E776">
        <f>'Unformatted Trip Summary'!E774</f>
        <v>13</v>
      </c>
      <c r="F776" s="1">
        <f>'Unformatted Trip Summary'!F774</f>
        <v>0.41210854740000002</v>
      </c>
      <c r="G776" s="1">
        <f>'Unformatted Trip Summary'!G774</f>
        <v>0</v>
      </c>
      <c r="H776" s="1">
        <f>'Unformatted Trip Summary'!H774</f>
        <v>0.47248051590000001</v>
      </c>
    </row>
    <row r="777" spans="1:8" x14ac:dyDescent="0.25">
      <c r="A777" t="str">
        <f>'Unformatted Trip Summary'!A775</f>
        <v>10 NELS-MARLB-TAS</v>
      </c>
      <c r="B777" t="str">
        <f>'Unformatted Trip Summary'!J775</f>
        <v>2027/28</v>
      </c>
      <c r="C777" t="str">
        <f>'Unformatted Trip Summary'!I775</f>
        <v>Air/Non-Local PT</v>
      </c>
      <c r="D777">
        <f>'Unformatted Trip Summary'!D775</f>
        <v>11</v>
      </c>
      <c r="E777">
        <f>'Unformatted Trip Summary'!E775</f>
        <v>13</v>
      </c>
      <c r="F777" s="1">
        <f>'Unformatted Trip Summary'!F775</f>
        <v>0.420189374</v>
      </c>
      <c r="G777" s="1">
        <f>'Unformatted Trip Summary'!G775</f>
        <v>0</v>
      </c>
      <c r="H777" s="1">
        <f>'Unformatted Trip Summary'!H775</f>
        <v>0.46967324049999998</v>
      </c>
    </row>
    <row r="778" spans="1:8" x14ac:dyDescent="0.25">
      <c r="A778" t="str">
        <f>'Unformatted Trip Summary'!A776</f>
        <v>10 NELS-MARLB-TAS</v>
      </c>
      <c r="B778" t="str">
        <f>'Unformatted Trip Summary'!J776</f>
        <v>2032/33</v>
      </c>
      <c r="C778" t="str">
        <f>'Unformatted Trip Summary'!I776</f>
        <v>Air/Non-Local PT</v>
      </c>
      <c r="D778">
        <f>'Unformatted Trip Summary'!D776</f>
        <v>11</v>
      </c>
      <c r="E778">
        <f>'Unformatted Trip Summary'!E776</f>
        <v>13</v>
      </c>
      <c r="F778" s="1">
        <f>'Unformatted Trip Summary'!F776</f>
        <v>0.42658861529999997</v>
      </c>
      <c r="G778" s="1">
        <f>'Unformatted Trip Summary'!G776</f>
        <v>0</v>
      </c>
      <c r="H778" s="1">
        <f>'Unformatted Trip Summary'!H776</f>
        <v>0.44801607710000002</v>
      </c>
    </row>
    <row r="779" spans="1:8" x14ac:dyDescent="0.25">
      <c r="A779" t="str">
        <f>'Unformatted Trip Summary'!A777</f>
        <v>10 NELS-MARLB-TAS</v>
      </c>
      <c r="B779" t="str">
        <f>'Unformatted Trip Summary'!J777</f>
        <v>2037/38</v>
      </c>
      <c r="C779" t="str">
        <f>'Unformatted Trip Summary'!I777</f>
        <v>Air/Non-Local PT</v>
      </c>
      <c r="D779">
        <f>'Unformatted Trip Summary'!D777</f>
        <v>11</v>
      </c>
      <c r="E779">
        <f>'Unformatted Trip Summary'!E777</f>
        <v>13</v>
      </c>
      <c r="F779" s="1">
        <f>'Unformatted Trip Summary'!F777</f>
        <v>0.42670529540000002</v>
      </c>
      <c r="G779" s="1">
        <f>'Unformatted Trip Summary'!G777</f>
        <v>0</v>
      </c>
      <c r="H779" s="1">
        <f>'Unformatted Trip Summary'!H777</f>
        <v>0.41285278710000001</v>
      </c>
    </row>
    <row r="780" spans="1:8" x14ac:dyDescent="0.25">
      <c r="A780" t="str">
        <f>'Unformatted Trip Summary'!A778</f>
        <v>10 NELS-MARLB-TAS</v>
      </c>
      <c r="B780" t="str">
        <f>'Unformatted Trip Summary'!J778</f>
        <v>2042/43</v>
      </c>
      <c r="C780" t="str">
        <f>'Unformatted Trip Summary'!I778</f>
        <v>Air/Non-Local PT</v>
      </c>
      <c r="D780">
        <f>'Unformatted Trip Summary'!D778</f>
        <v>11</v>
      </c>
      <c r="E780">
        <f>'Unformatted Trip Summary'!E778</f>
        <v>13</v>
      </c>
      <c r="F780" s="1">
        <f>'Unformatted Trip Summary'!F778</f>
        <v>0.4257004311</v>
      </c>
      <c r="G780" s="1">
        <f>'Unformatted Trip Summary'!G778</f>
        <v>0</v>
      </c>
      <c r="H780" s="1">
        <f>'Unformatted Trip Summary'!H778</f>
        <v>0.38090082199999997</v>
      </c>
    </row>
    <row r="781" spans="1:8" x14ac:dyDescent="0.25">
      <c r="A781" t="str">
        <f>'Unformatted Trip Summary'!A779</f>
        <v>10 NELS-MARLB-TAS</v>
      </c>
      <c r="B781" t="str">
        <f>'Unformatted Trip Summary'!J779</f>
        <v>2012/13</v>
      </c>
      <c r="C781" t="str">
        <f>'Unformatted Trip Summary'!I779</f>
        <v>Non-Household Travel</v>
      </c>
      <c r="D781">
        <f>'Unformatted Trip Summary'!D779</f>
        <v>10</v>
      </c>
      <c r="E781">
        <f>'Unformatted Trip Summary'!E779</f>
        <v>59</v>
      </c>
      <c r="F781" s="1">
        <f>'Unformatted Trip Summary'!F779</f>
        <v>1.9294573958000001</v>
      </c>
      <c r="G781" s="1">
        <f>'Unformatted Trip Summary'!G779</f>
        <v>30.128221894999999</v>
      </c>
      <c r="H781" s="1">
        <f>'Unformatted Trip Summary'!H779</f>
        <v>0.79809006319999998</v>
      </c>
    </row>
    <row r="782" spans="1:8" x14ac:dyDescent="0.25">
      <c r="A782" t="str">
        <f>'Unformatted Trip Summary'!A780</f>
        <v>10 NELS-MARLB-TAS</v>
      </c>
      <c r="B782" t="str">
        <f>'Unformatted Trip Summary'!J780</f>
        <v>2017/18</v>
      </c>
      <c r="C782" t="str">
        <f>'Unformatted Trip Summary'!I780</f>
        <v>Non-Household Travel</v>
      </c>
      <c r="D782">
        <f>'Unformatted Trip Summary'!D780</f>
        <v>10</v>
      </c>
      <c r="E782">
        <f>'Unformatted Trip Summary'!E780</f>
        <v>59</v>
      </c>
      <c r="F782" s="1">
        <f>'Unformatted Trip Summary'!F780</f>
        <v>1.7953095885999999</v>
      </c>
      <c r="G782" s="1">
        <f>'Unformatted Trip Summary'!G780</f>
        <v>30.770294766999999</v>
      </c>
      <c r="H782" s="1">
        <f>'Unformatted Trip Summary'!H780</f>
        <v>0.80546878879999995</v>
      </c>
    </row>
    <row r="783" spans="1:8" x14ac:dyDescent="0.25">
      <c r="A783" t="str">
        <f>'Unformatted Trip Summary'!A781</f>
        <v>10 NELS-MARLB-TAS</v>
      </c>
      <c r="B783" t="str">
        <f>'Unformatted Trip Summary'!J781</f>
        <v>2022/23</v>
      </c>
      <c r="C783" t="str">
        <f>'Unformatted Trip Summary'!I781</f>
        <v>Non-Household Travel</v>
      </c>
      <c r="D783">
        <f>'Unformatted Trip Summary'!D781</f>
        <v>10</v>
      </c>
      <c r="E783">
        <f>'Unformatted Trip Summary'!E781</f>
        <v>59</v>
      </c>
      <c r="F783" s="1">
        <f>'Unformatted Trip Summary'!F781</f>
        <v>1.6252712969000001</v>
      </c>
      <c r="G783" s="1">
        <f>'Unformatted Trip Summary'!G781</f>
        <v>30.20281211</v>
      </c>
      <c r="H783" s="1">
        <f>'Unformatted Trip Summary'!H781</f>
        <v>0.77744629170000001</v>
      </c>
    </row>
    <row r="784" spans="1:8" x14ac:dyDescent="0.25">
      <c r="A784" t="str">
        <f>'Unformatted Trip Summary'!A782</f>
        <v>10 NELS-MARLB-TAS</v>
      </c>
      <c r="B784" t="str">
        <f>'Unformatted Trip Summary'!J782</f>
        <v>2027/28</v>
      </c>
      <c r="C784" t="str">
        <f>'Unformatted Trip Summary'!I782</f>
        <v>Non-Household Travel</v>
      </c>
      <c r="D784">
        <f>'Unformatted Trip Summary'!D782</f>
        <v>10</v>
      </c>
      <c r="E784">
        <f>'Unformatted Trip Summary'!E782</f>
        <v>59</v>
      </c>
      <c r="F784" s="1">
        <f>'Unformatted Trip Summary'!F782</f>
        <v>1.5107051443999999</v>
      </c>
      <c r="G784" s="1">
        <f>'Unformatted Trip Summary'!G782</f>
        <v>28.420698623</v>
      </c>
      <c r="H784" s="1">
        <f>'Unformatted Trip Summary'!H782</f>
        <v>0.72626302809999999</v>
      </c>
    </row>
    <row r="785" spans="1:8" x14ac:dyDescent="0.25">
      <c r="A785" t="str">
        <f>'Unformatted Trip Summary'!A783</f>
        <v>10 NELS-MARLB-TAS</v>
      </c>
      <c r="B785" t="str">
        <f>'Unformatted Trip Summary'!J783</f>
        <v>2032/33</v>
      </c>
      <c r="C785" t="str">
        <f>'Unformatted Trip Summary'!I783</f>
        <v>Non-Household Travel</v>
      </c>
      <c r="D785">
        <f>'Unformatted Trip Summary'!D783</f>
        <v>10</v>
      </c>
      <c r="E785">
        <f>'Unformatted Trip Summary'!E783</f>
        <v>59</v>
      </c>
      <c r="F785" s="1">
        <f>'Unformatted Trip Summary'!F783</f>
        <v>1.4709145977</v>
      </c>
      <c r="G785" s="1">
        <f>'Unformatted Trip Summary'!G783</f>
        <v>26.117119672000001</v>
      </c>
      <c r="H785" s="1">
        <f>'Unformatted Trip Summary'!H783</f>
        <v>0.67269017769999995</v>
      </c>
    </row>
    <row r="786" spans="1:8" x14ac:dyDescent="0.25">
      <c r="A786" t="str">
        <f>'Unformatted Trip Summary'!A784</f>
        <v>10 NELS-MARLB-TAS</v>
      </c>
      <c r="B786" t="str">
        <f>'Unformatted Trip Summary'!J784</f>
        <v>2037/38</v>
      </c>
      <c r="C786" t="str">
        <f>'Unformatted Trip Summary'!I784</f>
        <v>Non-Household Travel</v>
      </c>
      <c r="D786">
        <f>'Unformatted Trip Summary'!D784</f>
        <v>10</v>
      </c>
      <c r="E786">
        <f>'Unformatted Trip Summary'!E784</f>
        <v>59</v>
      </c>
      <c r="F786" s="1">
        <f>'Unformatted Trip Summary'!F784</f>
        <v>1.5200622892</v>
      </c>
      <c r="G786" s="1">
        <f>'Unformatted Trip Summary'!G784</f>
        <v>23.797450974</v>
      </c>
      <c r="H786" s="1">
        <f>'Unformatted Trip Summary'!H784</f>
        <v>0.62744499050000002</v>
      </c>
    </row>
    <row r="787" spans="1:8" x14ac:dyDescent="0.25">
      <c r="A787" t="str">
        <f>'Unformatted Trip Summary'!A785</f>
        <v>10 NELS-MARLB-TAS</v>
      </c>
      <c r="B787" t="str">
        <f>'Unformatted Trip Summary'!J785</f>
        <v>2042/43</v>
      </c>
      <c r="C787" t="str">
        <f>'Unformatted Trip Summary'!I785</f>
        <v>Non-Household Travel</v>
      </c>
      <c r="D787">
        <f>'Unformatted Trip Summary'!D785</f>
        <v>10</v>
      </c>
      <c r="E787">
        <f>'Unformatted Trip Summary'!E785</f>
        <v>59</v>
      </c>
      <c r="F787" s="1">
        <f>'Unformatted Trip Summary'!F785</f>
        <v>1.5480158654</v>
      </c>
      <c r="G787" s="1">
        <f>'Unformatted Trip Summary'!G785</f>
        <v>21.549968978999999</v>
      </c>
      <c r="H787" s="1">
        <f>'Unformatted Trip Summary'!H785</f>
        <v>0.58120924210000002</v>
      </c>
    </row>
    <row r="788" spans="1:8" x14ac:dyDescent="0.25">
      <c r="A788" t="str">
        <f>'Unformatted Trip Summary'!A786</f>
        <v>12 WEST COAST</v>
      </c>
      <c r="B788" t="str">
        <f>'Unformatted Trip Summary'!J786</f>
        <v>2012/13</v>
      </c>
      <c r="C788" t="str">
        <f>'Unformatted Trip Summary'!I786</f>
        <v>Pedestrian</v>
      </c>
      <c r="D788">
        <f>'Unformatted Trip Summary'!D786</f>
        <v>145</v>
      </c>
      <c r="E788">
        <f>'Unformatted Trip Summary'!E786</f>
        <v>451</v>
      </c>
      <c r="F788" s="1">
        <f>'Unformatted Trip Summary'!F786</f>
        <v>5.2699511529</v>
      </c>
      <c r="G788" s="1">
        <f>'Unformatted Trip Summary'!G786</f>
        <v>4.6474841125999999</v>
      </c>
      <c r="H788" s="1">
        <f>'Unformatted Trip Summary'!H786</f>
        <v>1.1518220776999999</v>
      </c>
    </row>
    <row r="789" spans="1:8" x14ac:dyDescent="0.25">
      <c r="A789" t="str">
        <f>'Unformatted Trip Summary'!A787</f>
        <v>12 WEST COAST</v>
      </c>
      <c r="B789" t="str">
        <f>'Unformatted Trip Summary'!J787</f>
        <v>2017/18</v>
      </c>
      <c r="C789" t="str">
        <f>'Unformatted Trip Summary'!I787</f>
        <v>Pedestrian</v>
      </c>
      <c r="D789">
        <f>'Unformatted Trip Summary'!D787</f>
        <v>145</v>
      </c>
      <c r="E789">
        <f>'Unformatted Trip Summary'!E787</f>
        <v>451</v>
      </c>
      <c r="F789" s="1">
        <f>'Unformatted Trip Summary'!F787</f>
        <v>4.8971719419999999</v>
      </c>
      <c r="G789" s="1">
        <f>'Unformatted Trip Summary'!G787</f>
        <v>4.4036516173000004</v>
      </c>
      <c r="H789" s="1">
        <f>'Unformatted Trip Summary'!H787</f>
        <v>1.1045135034</v>
      </c>
    </row>
    <row r="790" spans="1:8" x14ac:dyDescent="0.25">
      <c r="A790" t="str">
        <f>'Unformatted Trip Summary'!A788</f>
        <v>12 WEST COAST</v>
      </c>
      <c r="B790" t="str">
        <f>'Unformatted Trip Summary'!J788</f>
        <v>2022/23</v>
      </c>
      <c r="C790" t="str">
        <f>'Unformatted Trip Summary'!I788</f>
        <v>Pedestrian</v>
      </c>
      <c r="D790">
        <f>'Unformatted Trip Summary'!D788</f>
        <v>145</v>
      </c>
      <c r="E790">
        <f>'Unformatted Trip Summary'!E788</f>
        <v>451</v>
      </c>
      <c r="F790" s="1">
        <f>'Unformatted Trip Summary'!F788</f>
        <v>4.4243053725000001</v>
      </c>
      <c r="G790" s="1">
        <f>'Unformatted Trip Summary'!G788</f>
        <v>4.0114813512999996</v>
      </c>
      <c r="H790" s="1">
        <f>'Unformatted Trip Summary'!H788</f>
        <v>1.0206355013999999</v>
      </c>
    </row>
    <row r="791" spans="1:8" x14ac:dyDescent="0.25">
      <c r="A791" t="str">
        <f>'Unformatted Trip Summary'!A789</f>
        <v>12 WEST COAST</v>
      </c>
      <c r="B791" t="str">
        <f>'Unformatted Trip Summary'!J789</f>
        <v>2027/28</v>
      </c>
      <c r="C791" t="str">
        <f>'Unformatted Trip Summary'!I789</f>
        <v>Pedestrian</v>
      </c>
      <c r="D791">
        <f>'Unformatted Trip Summary'!D789</f>
        <v>145</v>
      </c>
      <c r="E791">
        <f>'Unformatted Trip Summary'!E789</f>
        <v>451</v>
      </c>
      <c r="F791" s="1">
        <f>'Unformatted Trip Summary'!F789</f>
        <v>4.0880509228999999</v>
      </c>
      <c r="G791" s="1">
        <f>'Unformatted Trip Summary'!G789</f>
        <v>3.797880492</v>
      </c>
      <c r="H791" s="1">
        <f>'Unformatted Trip Summary'!H789</f>
        <v>0.97248027240000001</v>
      </c>
    </row>
    <row r="792" spans="1:8" x14ac:dyDescent="0.25">
      <c r="A792" t="str">
        <f>'Unformatted Trip Summary'!A790</f>
        <v>12 WEST COAST</v>
      </c>
      <c r="B792" t="str">
        <f>'Unformatted Trip Summary'!J790</f>
        <v>2032/33</v>
      </c>
      <c r="C792" t="str">
        <f>'Unformatted Trip Summary'!I790</f>
        <v>Pedestrian</v>
      </c>
      <c r="D792">
        <f>'Unformatted Trip Summary'!D790</f>
        <v>145</v>
      </c>
      <c r="E792">
        <f>'Unformatted Trip Summary'!E790</f>
        <v>451</v>
      </c>
      <c r="F792" s="1">
        <f>'Unformatted Trip Summary'!F790</f>
        <v>3.7489539073999998</v>
      </c>
      <c r="G792" s="1">
        <f>'Unformatted Trip Summary'!G790</f>
        <v>3.5674526892</v>
      </c>
      <c r="H792" s="1">
        <f>'Unformatted Trip Summary'!H790</f>
        <v>0.91566530140000002</v>
      </c>
    </row>
    <row r="793" spans="1:8" x14ac:dyDescent="0.25">
      <c r="A793" t="str">
        <f>'Unformatted Trip Summary'!A791</f>
        <v>12 WEST COAST</v>
      </c>
      <c r="B793" t="str">
        <f>'Unformatted Trip Summary'!J791</f>
        <v>2037/38</v>
      </c>
      <c r="C793" t="str">
        <f>'Unformatted Trip Summary'!I791</f>
        <v>Pedestrian</v>
      </c>
      <c r="D793">
        <f>'Unformatted Trip Summary'!D791</f>
        <v>145</v>
      </c>
      <c r="E793">
        <f>'Unformatted Trip Summary'!E791</f>
        <v>451</v>
      </c>
      <c r="F793" s="1">
        <f>'Unformatted Trip Summary'!F791</f>
        <v>3.4247532602000001</v>
      </c>
      <c r="G793" s="1">
        <f>'Unformatted Trip Summary'!G791</f>
        <v>3.3447319767999999</v>
      </c>
      <c r="H793" s="1">
        <f>'Unformatted Trip Summary'!H791</f>
        <v>0.85890678330000003</v>
      </c>
    </row>
    <row r="794" spans="1:8" x14ac:dyDescent="0.25">
      <c r="A794" t="str">
        <f>'Unformatted Trip Summary'!A792</f>
        <v>12 WEST COAST</v>
      </c>
      <c r="B794" t="str">
        <f>'Unformatted Trip Summary'!J792</f>
        <v>2042/43</v>
      </c>
      <c r="C794" t="str">
        <f>'Unformatted Trip Summary'!I792</f>
        <v>Pedestrian</v>
      </c>
      <c r="D794">
        <f>'Unformatted Trip Summary'!D792</f>
        <v>145</v>
      </c>
      <c r="E794">
        <f>'Unformatted Trip Summary'!E792</f>
        <v>451</v>
      </c>
      <c r="F794" s="1">
        <f>'Unformatted Trip Summary'!F792</f>
        <v>3.1530552308000002</v>
      </c>
      <c r="G794" s="1">
        <f>'Unformatted Trip Summary'!G792</f>
        <v>3.1620964855000002</v>
      </c>
      <c r="H794" s="1">
        <f>'Unformatted Trip Summary'!H792</f>
        <v>0.81030989580000001</v>
      </c>
    </row>
    <row r="795" spans="1:8" x14ac:dyDescent="0.25">
      <c r="A795" t="str">
        <f>'Unformatted Trip Summary'!A793</f>
        <v>12 WEST COAST</v>
      </c>
      <c r="B795" t="str">
        <f>'Unformatted Trip Summary'!J793</f>
        <v>2012/13</v>
      </c>
      <c r="C795" t="str">
        <f>'Unformatted Trip Summary'!I793</f>
        <v>Cyclist</v>
      </c>
      <c r="D795">
        <f>'Unformatted Trip Summary'!D793</f>
        <v>23</v>
      </c>
      <c r="E795">
        <f>'Unformatted Trip Summary'!E793</f>
        <v>75</v>
      </c>
      <c r="F795" s="1">
        <f>'Unformatted Trip Summary'!F793</f>
        <v>0.73381292249999996</v>
      </c>
      <c r="G795" s="1">
        <f>'Unformatted Trip Summary'!G793</f>
        <v>1.9571055828999999</v>
      </c>
      <c r="H795" s="1">
        <f>'Unformatted Trip Summary'!H793</f>
        <v>0.17528853950000001</v>
      </c>
    </row>
    <row r="796" spans="1:8" x14ac:dyDescent="0.25">
      <c r="A796" t="str">
        <f>'Unformatted Trip Summary'!A794</f>
        <v>12 WEST COAST</v>
      </c>
      <c r="B796" t="str">
        <f>'Unformatted Trip Summary'!J794</f>
        <v>2017/18</v>
      </c>
      <c r="C796" t="str">
        <f>'Unformatted Trip Summary'!I794</f>
        <v>Cyclist</v>
      </c>
      <c r="D796">
        <f>'Unformatted Trip Summary'!D794</f>
        <v>23</v>
      </c>
      <c r="E796">
        <f>'Unformatted Trip Summary'!E794</f>
        <v>75</v>
      </c>
      <c r="F796" s="1">
        <f>'Unformatted Trip Summary'!F794</f>
        <v>0.7045123807</v>
      </c>
      <c r="G796" s="1">
        <f>'Unformatted Trip Summary'!G794</f>
        <v>1.9602378965</v>
      </c>
      <c r="H796" s="1">
        <f>'Unformatted Trip Summary'!H794</f>
        <v>0.16907585429999999</v>
      </c>
    </row>
    <row r="797" spans="1:8" x14ac:dyDescent="0.25">
      <c r="A797" t="str">
        <f>'Unformatted Trip Summary'!A795</f>
        <v>12 WEST COAST</v>
      </c>
      <c r="B797" t="str">
        <f>'Unformatted Trip Summary'!J795</f>
        <v>2022/23</v>
      </c>
      <c r="C797" t="str">
        <f>'Unformatted Trip Summary'!I795</f>
        <v>Cyclist</v>
      </c>
      <c r="D797">
        <f>'Unformatted Trip Summary'!D795</f>
        <v>23</v>
      </c>
      <c r="E797">
        <f>'Unformatted Trip Summary'!E795</f>
        <v>75</v>
      </c>
      <c r="F797" s="1">
        <f>'Unformatted Trip Summary'!F795</f>
        <v>0.65592883639999999</v>
      </c>
      <c r="G797" s="1">
        <f>'Unformatted Trip Summary'!G795</f>
        <v>1.8980732244</v>
      </c>
      <c r="H797" s="1">
        <f>'Unformatted Trip Summary'!H795</f>
        <v>0.1587344114</v>
      </c>
    </row>
    <row r="798" spans="1:8" x14ac:dyDescent="0.25">
      <c r="A798" t="str">
        <f>'Unformatted Trip Summary'!A796</f>
        <v>12 WEST COAST</v>
      </c>
      <c r="B798" t="str">
        <f>'Unformatted Trip Summary'!J796</f>
        <v>2027/28</v>
      </c>
      <c r="C798" t="str">
        <f>'Unformatted Trip Summary'!I796</f>
        <v>Cyclist</v>
      </c>
      <c r="D798">
        <f>'Unformatted Trip Summary'!D796</f>
        <v>23</v>
      </c>
      <c r="E798">
        <f>'Unformatted Trip Summary'!E796</f>
        <v>75</v>
      </c>
      <c r="F798" s="1">
        <f>'Unformatted Trip Summary'!F796</f>
        <v>0.6304516885</v>
      </c>
      <c r="G798" s="1">
        <f>'Unformatted Trip Summary'!G796</f>
        <v>1.8096679818000001</v>
      </c>
      <c r="H798" s="1">
        <f>'Unformatted Trip Summary'!H796</f>
        <v>0.14992278340000001</v>
      </c>
    </row>
    <row r="799" spans="1:8" x14ac:dyDescent="0.25">
      <c r="A799" t="str">
        <f>'Unformatted Trip Summary'!A797</f>
        <v>12 WEST COAST</v>
      </c>
      <c r="B799" t="str">
        <f>'Unformatted Trip Summary'!J797</f>
        <v>2032/33</v>
      </c>
      <c r="C799" t="str">
        <f>'Unformatted Trip Summary'!I797</f>
        <v>Cyclist</v>
      </c>
      <c r="D799">
        <f>'Unformatted Trip Summary'!D797</f>
        <v>23</v>
      </c>
      <c r="E799">
        <f>'Unformatted Trip Summary'!E797</f>
        <v>75</v>
      </c>
      <c r="F799" s="1">
        <f>'Unformatted Trip Summary'!F797</f>
        <v>0.581820051</v>
      </c>
      <c r="G799" s="1">
        <f>'Unformatted Trip Summary'!G797</f>
        <v>1.7304941193000001</v>
      </c>
      <c r="H799" s="1">
        <f>'Unformatted Trip Summary'!H797</f>
        <v>0.13901431689999999</v>
      </c>
    </row>
    <row r="800" spans="1:8" x14ac:dyDescent="0.25">
      <c r="A800" t="str">
        <f>'Unformatted Trip Summary'!A798</f>
        <v>12 WEST COAST</v>
      </c>
      <c r="B800" t="str">
        <f>'Unformatted Trip Summary'!J798</f>
        <v>2037/38</v>
      </c>
      <c r="C800" t="str">
        <f>'Unformatted Trip Summary'!I798</f>
        <v>Cyclist</v>
      </c>
      <c r="D800">
        <f>'Unformatted Trip Summary'!D798</f>
        <v>23</v>
      </c>
      <c r="E800">
        <f>'Unformatted Trip Summary'!E798</f>
        <v>75</v>
      </c>
      <c r="F800" s="1">
        <f>'Unformatted Trip Summary'!F798</f>
        <v>0.5422196105</v>
      </c>
      <c r="G800" s="1">
        <f>'Unformatted Trip Summary'!G798</f>
        <v>1.7589072611000001</v>
      </c>
      <c r="H800" s="1">
        <f>'Unformatted Trip Summary'!H798</f>
        <v>0.1324652861</v>
      </c>
    </row>
    <row r="801" spans="1:8" x14ac:dyDescent="0.25">
      <c r="A801" t="str">
        <f>'Unformatted Trip Summary'!A799</f>
        <v>12 WEST COAST</v>
      </c>
      <c r="B801" t="str">
        <f>'Unformatted Trip Summary'!J799</f>
        <v>2042/43</v>
      </c>
      <c r="C801" t="str">
        <f>'Unformatted Trip Summary'!I799</f>
        <v>Cyclist</v>
      </c>
      <c r="D801">
        <f>'Unformatted Trip Summary'!D799</f>
        <v>23</v>
      </c>
      <c r="E801">
        <f>'Unformatted Trip Summary'!E799</f>
        <v>75</v>
      </c>
      <c r="F801" s="1">
        <f>'Unformatted Trip Summary'!F799</f>
        <v>0.50170419190000004</v>
      </c>
      <c r="G801" s="1">
        <f>'Unformatted Trip Summary'!G799</f>
        <v>1.7744572251999999</v>
      </c>
      <c r="H801" s="1">
        <f>'Unformatted Trip Summary'!H799</f>
        <v>0.12561356639999999</v>
      </c>
    </row>
    <row r="802" spans="1:8" x14ac:dyDescent="0.25">
      <c r="A802" t="str">
        <f>'Unformatted Trip Summary'!A800</f>
        <v>12 WEST COAST</v>
      </c>
      <c r="B802" t="str">
        <f>'Unformatted Trip Summary'!J800</f>
        <v>2012/13</v>
      </c>
      <c r="C802" t="str">
        <f>'Unformatted Trip Summary'!I800</f>
        <v>Light Vehicle Driver</v>
      </c>
      <c r="D802">
        <f>'Unformatted Trip Summary'!D800</f>
        <v>269</v>
      </c>
      <c r="E802">
        <f>'Unformatted Trip Summary'!E800</f>
        <v>1828</v>
      </c>
      <c r="F802" s="1">
        <f>'Unformatted Trip Summary'!F800</f>
        <v>21.329902885999999</v>
      </c>
      <c r="G802" s="1">
        <f>'Unformatted Trip Summary'!G800</f>
        <v>226.22434741999999</v>
      </c>
      <c r="H802" s="1">
        <f>'Unformatted Trip Summary'!H800</f>
        <v>5.0852916584000001</v>
      </c>
    </row>
    <row r="803" spans="1:8" x14ac:dyDescent="0.25">
      <c r="A803" t="str">
        <f>'Unformatted Trip Summary'!A801</f>
        <v>12 WEST COAST</v>
      </c>
      <c r="B803" t="str">
        <f>'Unformatted Trip Summary'!J801</f>
        <v>2017/18</v>
      </c>
      <c r="C803" t="str">
        <f>'Unformatted Trip Summary'!I801</f>
        <v>Light Vehicle Driver</v>
      </c>
      <c r="D803">
        <f>'Unformatted Trip Summary'!D801</f>
        <v>269</v>
      </c>
      <c r="E803">
        <f>'Unformatted Trip Summary'!E801</f>
        <v>1828</v>
      </c>
      <c r="F803" s="1">
        <f>'Unformatted Trip Summary'!F801</f>
        <v>20.953896258</v>
      </c>
      <c r="G803" s="1">
        <f>'Unformatted Trip Summary'!G801</f>
        <v>226.76919437999999</v>
      </c>
      <c r="H803" s="1">
        <f>'Unformatted Trip Summary'!H801</f>
        <v>5.0606306735000004</v>
      </c>
    </row>
    <row r="804" spans="1:8" x14ac:dyDescent="0.25">
      <c r="A804" t="str">
        <f>'Unformatted Trip Summary'!A802</f>
        <v>12 WEST COAST</v>
      </c>
      <c r="B804" t="str">
        <f>'Unformatted Trip Summary'!J802</f>
        <v>2022/23</v>
      </c>
      <c r="C804" t="str">
        <f>'Unformatted Trip Summary'!I802</f>
        <v>Light Vehicle Driver</v>
      </c>
      <c r="D804">
        <f>'Unformatted Trip Summary'!D802</f>
        <v>269</v>
      </c>
      <c r="E804">
        <f>'Unformatted Trip Summary'!E802</f>
        <v>1828</v>
      </c>
      <c r="F804" s="1">
        <f>'Unformatted Trip Summary'!F802</f>
        <v>19.757387843</v>
      </c>
      <c r="G804" s="1">
        <f>'Unformatted Trip Summary'!G802</f>
        <v>218.47035701999999</v>
      </c>
      <c r="H804" s="1">
        <f>'Unformatted Trip Summary'!H802</f>
        <v>4.8319052183000002</v>
      </c>
    </row>
    <row r="805" spans="1:8" x14ac:dyDescent="0.25">
      <c r="A805" t="str">
        <f>'Unformatted Trip Summary'!A803</f>
        <v>12 WEST COAST</v>
      </c>
      <c r="B805" t="str">
        <f>'Unformatted Trip Summary'!J803</f>
        <v>2027/28</v>
      </c>
      <c r="C805" t="str">
        <f>'Unformatted Trip Summary'!I803</f>
        <v>Light Vehicle Driver</v>
      </c>
      <c r="D805">
        <f>'Unformatted Trip Summary'!D803</f>
        <v>269</v>
      </c>
      <c r="E805">
        <f>'Unformatted Trip Summary'!E803</f>
        <v>1828</v>
      </c>
      <c r="F805" s="1">
        <f>'Unformatted Trip Summary'!F803</f>
        <v>19.190715725</v>
      </c>
      <c r="G805" s="1">
        <f>'Unformatted Trip Summary'!G803</f>
        <v>214.79120030000001</v>
      </c>
      <c r="H805" s="1">
        <f>'Unformatted Trip Summary'!H803</f>
        <v>4.7289966861000003</v>
      </c>
    </row>
    <row r="806" spans="1:8" x14ac:dyDescent="0.25">
      <c r="A806" t="str">
        <f>'Unformatted Trip Summary'!A804</f>
        <v>12 WEST COAST</v>
      </c>
      <c r="B806" t="str">
        <f>'Unformatted Trip Summary'!J804</f>
        <v>2032/33</v>
      </c>
      <c r="C806" t="str">
        <f>'Unformatted Trip Summary'!I804</f>
        <v>Light Vehicle Driver</v>
      </c>
      <c r="D806">
        <f>'Unformatted Trip Summary'!D804</f>
        <v>269</v>
      </c>
      <c r="E806">
        <f>'Unformatted Trip Summary'!E804</f>
        <v>1828</v>
      </c>
      <c r="F806" s="1">
        <f>'Unformatted Trip Summary'!F804</f>
        <v>18.305491980999999</v>
      </c>
      <c r="G806" s="1">
        <f>'Unformatted Trip Summary'!G804</f>
        <v>206.90045739999999</v>
      </c>
      <c r="H806" s="1">
        <f>'Unformatted Trip Summary'!H804</f>
        <v>4.5356870396</v>
      </c>
    </row>
    <row r="807" spans="1:8" x14ac:dyDescent="0.25">
      <c r="A807" t="str">
        <f>'Unformatted Trip Summary'!A805</f>
        <v>12 WEST COAST</v>
      </c>
      <c r="B807" t="str">
        <f>'Unformatted Trip Summary'!J805</f>
        <v>2037/38</v>
      </c>
      <c r="C807" t="str">
        <f>'Unformatted Trip Summary'!I805</f>
        <v>Light Vehicle Driver</v>
      </c>
      <c r="D807">
        <f>'Unformatted Trip Summary'!D805</f>
        <v>269</v>
      </c>
      <c r="E807">
        <f>'Unformatted Trip Summary'!E805</f>
        <v>1828</v>
      </c>
      <c r="F807" s="1">
        <f>'Unformatted Trip Summary'!F805</f>
        <v>17.691253008</v>
      </c>
      <c r="G807" s="1">
        <f>'Unformatted Trip Summary'!G805</f>
        <v>202.86250271</v>
      </c>
      <c r="H807" s="1">
        <f>'Unformatted Trip Summary'!H805</f>
        <v>4.4185398068000001</v>
      </c>
    </row>
    <row r="808" spans="1:8" x14ac:dyDescent="0.25">
      <c r="A808" t="str">
        <f>'Unformatted Trip Summary'!A806</f>
        <v>12 WEST COAST</v>
      </c>
      <c r="B808" t="str">
        <f>'Unformatted Trip Summary'!J806</f>
        <v>2042/43</v>
      </c>
      <c r="C808" t="str">
        <f>'Unformatted Trip Summary'!I806</f>
        <v>Light Vehicle Driver</v>
      </c>
      <c r="D808">
        <f>'Unformatted Trip Summary'!D806</f>
        <v>269</v>
      </c>
      <c r="E808">
        <f>'Unformatted Trip Summary'!E806</f>
        <v>1828</v>
      </c>
      <c r="F808" s="1">
        <f>'Unformatted Trip Summary'!F806</f>
        <v>17.053718071999999</v>
      </c>
      <c r="G808" s="1">
        <f>'Unformatted Trip Summary'!G806</f>
        <v>198.86366161999999</v>
      </c>
      <c r="H808" s="1">
        <f>'Unformatted Trip Summary'!H806</f>
        <v>4.2975288203000002</v>
      </c>
    </row>
    <row r="809" spans="1:8" x14ac:dyDescent="0.25">
      <c r="A809" t="str">
        <f>'Unformatted Trip Summary'!A807</f>
        <v>12 WEST COAST</v>
      </c>
      <c r="B809" t="str">
        <f>'Unformatted Trip Summary'!J807</f>
        <v>2012/13</v>
      </c>
      <c r="C809" t="str">
        <f>'Unformatted Trip Summary'!I807</f>
        <v>Light Vehicle Passenger</v>
      </c>
      <c r="D809">
        <f>'Unformatted Trip Summary'!D807</f>
        <v>210</v>
      </c>
      <c r="E809">
        <f>'Unformatted Trip Summary'!E807</f>
        <v>1017</v>
      </c>
      <c r="F809" s="1">
        <f>'Unformatted Trip Summary'!F807</f>
        <v>11.090105214999999</v>
      </c>
      <c r="G809" s="1">
        <f>'Unformatted Trip Summary'!G807</f>
        <v>160.37072223999999</v>
      </c>
      <c r="H809" s="1">
        <f>'Unformatted Trip Summary'!H807</f>
        <v>3.4140139011000001</v>
      </c>
    </row>
    <row r="810" spans="1:8" x14ac:dyDescent="0.25">
      <c r="A810" t="str">
        <f>'Unformatted Trip Summary'!A808</f>
        <v>12 WEST COAST</v>
      </c>
      <c r="B810" t="str">
        <f>'Unformatted Trip Summary'!J808</f>
        <v>2017/18</v>
      </c>
      <c r="C810" t="str">
        <f>'Unformatted Trip Summary'!I808</f>
        <v>Light Vehicle Passenger</v>
      </c>
      <c r="D810">
        <f>'Unformatted Trip Summary'!D808</f>
        <v>210</v>
      </c>
      <c r="E810">
        <f>'Unformatted Trip Summary'!E808</f>
        <v>1017</v>
      </c>
      <c r="F810" s="1">
        <f>'Unformatted Trip Summary'!F808</f>
        <v>10.306065443</v>
      </c>
      <c r="G810" s="1">
        <f>'Unformatted Trip Summary'!G808</f>
        <v>157.36112613</v>
      </c>
      <c r="H810" s="1">
        <f>'Unformatted Trip Summary'!H808</f>
        <v>3.3375342696999999</v>
      </c>
    </row>
    <row r="811" spans="1:8" x14ac:dyDescent="0.25">
      <c r="A811" t="str">
        <f>'Unformatted Trip Summary'!A809</f>
        <v>12 WEST COAST</v>
      </c>
      <c r="B811" t="str">
        <f>'Unformatted Trip Summary'!J809</f>
        <v>2022/23</v>
      </c>
      <c r="C811" t="str">
        <f>'Unformatted Trip Summary'!I809</f>
        <v>Light Vehicle Passenger</v>
      </c>
      <c r="D811">
        <f>'Unformatted Trip Summary'!D809</f>
        <v>210</v>
      </c>
      <c r="E811">
        <f>'Unformatted Trip Summary'!E809</f>
        <v>1017</v>
      </c>
      <c r="F811" s="1">
        <f>'Unformatted Trip Summary'!F809</f>
        <v>9.3868131552000005</v>
      </c>
      <c r="G811" s="1">
        <f>'Unformatted Trip Summary'!G809</f>
        <v>147.81246711</v>
      </c>
      <c r="H811" s="1">
        <f>'Unformatted Trip Summary'!H809</f>
        <v>3.1416209746999999</v>
      </c>
    </row>
    <row r="812" spans="1:8" x14ac:dyDescent="0.25">
      <c r="A812" t="str">
        <f>'Unformatted Trip Summary'!A810</f>
        <v>12 WEST COAST</v>
      </c>
      <c r="B812" t="str">
        <f>'Unformatted Trip Summary'!J810</f>
        <v>2027/28</v>
      </c>
      <c r="C812" t="str">
        <f>'Unformatted Trip Summary'!I810</f>
        <v>Light Vehicle Passenger</v>
      </c>
      <c r="D812">
        <f>'Unformatted Trip Summary'!D810</f>
        <v>210</v>
      </c>
      <c r="E812">
        <f>'Unformatted Trip Summary'!E810</f>
        <v>1017</v>
      </c>
      <c r="F812" s="1">
        <f>'Unformatted Trip Summary'!F810</f>
        <v>8.8977334607999996</v>
      </c>
      <c r="G812" s="1">
        <f>'Unformatted Trip Summary'!G810</f>
        <v>144.20808851000001</v>
      </c>
      <c r="H812" s="1">
        <f>'Unformatted Trip Summary'!H810</f>
        <v>3.0709438500999999</v>
      </c>
    </row>
    <row r="813" spans="1:8" x14ac:dyDescent="0.25">
      <c r="A813" t="str">
        <f>'Unformatted Trip Summary'!A811</f>
        <v>12 WEST COAST</v>
      </c>
      <c r="B813" t="str">
        <f>'Unformatted Trip Summary'!J811</f>
        <v>2032/33</v>
      </c>
      <c r="C813" t="str">
        <f>'Unformatted Trip Summary'!I811</f>
        <v>Light Vehicle Passenger</v>
      </c>
      <c r="D813">
        <f>'Unformatted Trip Summary'!D811</f>
        <v>210</v>
      </c>
      <c r="E813">
        <f>'Unformatted Trip Summary'!E811</f>
        <v>1017</v>
      </c>
      <c r="F813" s="1">
        <f>'Unformatted Trip Summary'!F811</f>
        <v>8.2339480200999997</v>
      </c>
      <c r="G813" s="1">
        <f>'Unformatted Trip Summary'!G811</f>
        <v>134.6900292</v>
      </c>
      <c r="H813" s="1">
        <f>'Unformatted Trip Summary'!H811</f>
        <v>2.8936343896999999</v>
      </c>
    </row>
    <row r="814" spans="1:8" x14ac:dyDescent="0.25">
      <c r="A814" t="str">
        <f>'Unformatted Trip Summary'!A812</f>
        <v>12 WEST COAST</v>
      </c>
      <c r="B814" t="str">
        <f>'Unformatted Trip Summary'!J812</f>
        <v>2037/38</v>
      </c>
      <c r="C814" t="str">
        <f>'Unformatted Trip Summary'!I812</f>
        <v>Light Vehicle Passenger</v>
      </c>
      <c r="D814">
        <f>'Unformatted Trip Summary'!D812</f>
        <v>210</v>
      </c>
      <c r="E814">
        <f>'Unformatted Trip Summary'!E812</f>
        <v>1017</v>
      </c>
      <c r="F814" s="1">
        <f>'Unformatted Trip Summary'!F812</f>
        <v>7.5332235138000003</v>
      </c>
      <c r="G814" s="1">
        <f>'Unformatted Trip Summary'!G812</f>
        <v>125.30941117</v>
      </c>
      <c r="H814" s="1">
        <f>'Unformatted Trip Summary'!H812</f>
        <v>2.6930939808000001</v>
      </c>
    </row>
    <row r="815" spans="1:8" x14ac:dyDescent="0.25">
      <c r="A815" t="str">
        <f>'Unformatted Trip Summary'!A813</f>
        <v>12 WEST COAST</v>
      </c>
      <c r="B815" t="str">
        <f>'Unformatted Trip Summary'!J813</f>
        <v>2042/43</v>
      </c>
      <c r="C815" t="str">
        <f>'Unformatted Trip Summary'!I813</f>
        <v>Light Vehicle Passenger</v>
      </c>
      <c r="D815">
        <f>'Unformatted Trip Summary'!D813</f>
        <v>210</v>
      </c>
      <c r="E815">
        <f>'Unformatted Trip Summary'!E813</f>
        <v>1017</v>
      </c>
      <c r="F815" s="1">
        <f>'Unformatted Trip Summary'!F813</f>
        <v>6.8546224590999998</v>
      </c>
      <c r="G815" s="1">
        <f>'Unformatted Trip Summary'!G813</f>
        <v>116.32395984</v>
      </c>
      <c r="H815" s="1">
        <f>'Unformatted Trip Summary'!H813</f>
        <v>2.4948878249000002</v>
      </c>
    </row>
    <row r="816" spans="1:8" x14ac:dyDescent="0.25">
      <c r="A816" t="str">
        <f>'Unformatted Trip Summary'!A814</f>
        <v>12 WEST COAST</v>
      </c>
      <c r="B816" t="str">
        <f>'Unformatted Trip Summary'!J814</f>
        <v>2012/13</v>
      </c>
      <c r="C816" t="str">
        <f>'Unformatted Trip Summary'!I814</f>
        <v>Taxi/Vehicle Share</v>
      </c>
      <c r="D816">
        <f>'Unformatted Trip Summary'!D814</f>
        <v>12</v>
      </c>
      <c r="E816">
        <f>'Unformatted Trip Summary'!E814</f>
        <v>23</v>
      </c>
      <c r="F816" s="1">
        <f>'Unformatted Trip Summary'!F814</f>
        <v>0.29973375209999997</v>
      </c>
      <c r="G816" s="1">
        <f>'Unformatted Trip Summary'!G814</f>
        <v>1.6916956777000001</v>
      </c>
      <c r="H816" s="1">
        <f>'Unformatted Trip Summary'!H814</f>
        <v>6.5507808299999998E-2</v>
      </c>
    </row>
    <row r="817" spans="1:8" x14ac:dyDescent="0.25">
      <c r="A817" t="str">
        <f>'Unformatted Trip Summary'!A815</f>
        <v>12 WEST COAST</v>
      </c>
      <c r="B817" t="str">
        <f>'Unformatted Trip Summary'!J815</f>
        <v>2017/18</v>
      </c>
      <c r="C817" t="str">
        <f>'Unformatted Trip Summary'!I815</f>
        <v>Taxi/Vehicle Share</v>
      </c>
      <c r="D817">
        <f>'Unformatted Trip Summary'!D815</f>
        <v>12</v>
      </c>
      <c r="E817">
        <f>'Unformatted Trip Summary'!E815</f>
        <v>23</v>
      </c>
      <c r="F817" s="1">
        <f>'Unformatted Trip Summary'!F815</f>
        <v>0.34684764379999999</v>
      </c>
      <c r="G817" s="1">
        <f>'Unformatted Trip Summary'!G815</f>
        <v>1.9145078357</v>
      </c>
      <c r="H817" s="1">
        <f>'Unformatted Trip Summary'!H815</f>
        <v>7.6289899699999997E-2</v>
      </c>
    </row>
    <row r="818" spans="1:8" x14ac:dyDescent="0.25">
      <c r="A818" t="str">
        <f>'Unformatted Trip Summary'!A816</f>
        <v>12 WEST COAST</v>
      </c>
      <c r="B818" t="str">
        <f>'Unformatted Trip Summary'!J816</f>
        <v>2022/23</v>
      </c>
      <c r="C818" t="str">
        <f>'Unformatted Trip Summary'!I816</f>
        <v>Taxi/Vehicle Share</v>
      </c>
      <c r="D818">
        <f>'Unformatted Trip Summary'!D816</f>
        <v>12</v>
      </c>
      <c r="E818">
        <f>'Unformatted Trip Summary'!E816</f>
        <v>23</v>
      </c>
      <c r="F818" s="1">
        <f>'Unformatted Trip Summary'!F816</f>
        <v>0.37321370780000002</v>
      </c>
      <c r="G818" s="1">
        <f>'Unformatted Trip Summary'!G816</f>
        <v>2.009976531</v>
      </c>
      <c r="H818" s="1">
        <f>'Unformatted Trip Summary'!H816</f>
        <v>8.2384308200000006E-2</v>
      </c>
    </row>
    <row r="819" spans="1:8" x14ac:dyDescent="0.25">
      <c r="A819" t="str">
        <f>'Unformatted Trip Summary'!A817</f>
        <v>12 WEST COAST</v>
      </c>
      <c r="B819" t="str">
        <f>'Unformatted Trip Summary'!J817</f>
        <v>2027/28</v>
      </c>
      <c r="C819" t="str">
        <f>'Unformatted Trip Summary'!I817</f>
        <v>Taxi/Vehicle Share</v>
      </c>
      <c r="D819">
        <f>'Unformatted Trip Summary'!D817</f>
        <v>12</v>
      </c>
      <c r="E819">
        <f>'Unformatted Trip Summary'!E817</f>
        <v>23</v>
      </c>
      <c r="F819" s="1">
        <f>'Unformatted Trip Summary'!F817</f>
        <v>0.37145374310000001</v>
      </c>
      <c r="G819" s="1">
        <f>'Unformatted Trip Summary'!G817</f>
        <v>2.1367417183000001</v>
      </c>
      <c r="H819" s="1">
        <f>'Unformatted Trip Summary'!H817</f>
        <v>8.3902759300000004E-2</v>
      </c>
    </row>
    <row r="820" spans="1:8" x14ac:dyDescent="0.25">
      <c r="A820" t="str">
        <f>'Unformatted Trip Summary'!A818</f>
        <v>12 WEST COAST</v>
      </c>
      <c r="B820" t="str">
        <f>'Unformatted Trip Summary'!J818</f>
        <v>2032/33</v>
      </c>
      <c r="C820" t="str">
        <f>'Unformatted Trip Summary'!I818</f>
        <v>Taxi/Vehicle Share</v>
      </c>
      <c r="D820">
        <f>'Unformatted Trip Summary'!D818</f>
        <v>12</v>
      </c>
      <c r="E820">
        <f>'Unformatted Trip Summary'!E818</f>
        <v>23</v>
      </c>
      <c r="F820" s="1">
        <f>'Unformatted Trip Summary'!F818</f>
        <v>0.35109570880000002</v>
      </c>
      <c r="G820" s="1">
        <f>'Unformatted Trip Summary'!G818</f>
        <v>2.0424660099</v>
      </c>
      <c r="H820" s="1">
        <f>'Unformatted Trip Summary'!H818</f>
        <v>7.9800362E-2</v>
      </c>
    </row>
    <row r="821" spans="1:8" x14ac:dyDescent="0.25">
      <c r="A821" t="str">
        <f>'Unformatted Trip Summary'!A819</f>
        <v>12 WEST COAST</v>
      </c>
      <c r="B821" t="str">
        <f>'Unformatted Trip Summary'!J819</f>
        <v>2037/38</v>
      </c>
      <c r="C821" t="str">
        <f>'Unformatted Trip Summary'!I819</f>
        <v>Taxi/Vehicle Share</v>
      </c>
      <c r="D821">
        <f>'Unformatted Trip Summary'!D819</f>
        <v>12</v>
      </c>
      <c r="E821">
        <f>'Unformatted Trip Summary'!E819</f>
        <v>23</v>
      </c>
      <c r="F821" s="1">
        <f>'Unformatted Trip Summary'!F819</f>
        <v>0.33488629180000001</v>
      </c>
      <c r="G821" s="1">
        <f>'Unformatted Trip Summary'!G819</f>
        <v>1.9979538278</v>
      </c>
      <c r="H821" s="1">
        <f>'Unformatted Trip Summary'!H819</f>
        <v>7.6957602700000002E-2</v>
      </c>
    </row>
    <row r="822" spans="1:8" x14ac:dyDescent="0.25">
      <c r="A822" t="str">
        <f>'Unformatted Trip Summary'!A820</f>
        <v>12 WEST COAST</v>
      </c>
      <c r="B822" t="str">
        <f>'Unformatted Trip Summary'!J820</f>
        <v>2042/43</v>
      </c>
      <c r="C822" t="str">
        <f>'Unformatted Trip Summary'!I820</f>
        <v>Taxi/Vehicle Share</v>
      </c>
      <c r="D822">
        <f>'Unformatted Trip Summary'!D820</f>
        <v>12</v>
      </c>
      <c r="E822">
        <f>'Unformatted Trip Summary'!E820</f>
        <v>23</v>
      </c>
      <c r="F822" s="1">
        <f>'Unformatted Trip Summary'!F820</f>
        <v>0.31544404500000001</v>
      </c>
      <c r="G822" s="1">
        <f>'Unformatted Trip Summary'!G820</f>
        <v>1.9184308257</v>
      </c>
      <c r="H822" s="1">
        <f>'Unformatted Trip Summary'!H820</f>
        <v>7.3297641299999994E-2</v>
      </c>
    </row>
    <row r="823" spans="1:8" x14ac:dyDescent="0.25">
      <c r="A823" t="str">
        <f>'Unformatted Trip Summary'!A821</f>
        <v>12 WEST COAST</v>
      </c>
      <c r="B823" t="str">
        <f>'Unformatted Trip Summary'!J821</f>
        <v>2012/13</v>
      </c>
      <c r="C823" t="str">
        <f>'Unformatted Trip Summary'!I821</f>
        <v>Motorcyclist</v>
      </c>
      <c r="D823">
        <f>'Unformatted Trip Summary'!D821</f>
        <v>2</v>
      </c>
      <c r="E823">
        <f>'Unformatted Trip Summary'!E821</f>
        <v>5</v>
      </c>
      <c r="F823" s="1">
        <f>'Unformatted Trip Summary'!F821</f>
        <v>6.1723256599999998E-2</v>
      </c>
      <c r="G823" s="1">
        <f>'Unformatted Trip Summary'!G821</f>
        <v>0.29466348679999999</v>
      </c>
      <c r="H823" s="1">
        <f>'Unformatted Trip Summary'!H821</f>
        <v>9.7989774000000005E-3</v>
      </c>
    </row>
    <row r="824" spans="1:8" x14ac:dyDescent="0.25">
      <c r="A824" t="str">
        <f>'Unformatted Trip Summary'!A822</f>
        <v>12 WEST COAST</v>
      </c>
      <c r="B824" t="str">
        <f>'Unformatted Trip Summary'!J822</f>
        <v>2017/18</v>
      </c>
      <c r="C824" t="str">
        <f>'Unformatted Trip Summary'!I822</f>
        <v>Motorcyclist</v>
      </c>
      <c r="D824">
        <f>'Unformatted Trip Summary'!D822</f>
        <v>2</v>
      </c>
      <c r="E824">
        <f>'Unformatted Trip Summary'!E822</f>
        <v>5</v>
      </c>
      <c r="F824" s="1">
        <f>'Unformatted Trip Summary'!F822</f>
        <v>6.9650529799999999E-2</v>
      </c>
      <c r="G824" s="1">
        <f>'Unformatted Trip Summary'!G822</f>
        <v>0.33492242290000002</v>
      </c>
      <c r="H824" s="1">
        <f>'Unformatted Trip Summary'!H822</f>
        <v>1.1118691199999999E-2</v>
      </c>
    </row>
    <row r="825" spans="1:8" x14ac:dyDescent="0.25">
      <c r="A825" t="str">
        <f>'Unformatted Trip Summary'!A823</f>
        <v>12 WEST COAST</v>
      </c>
      <c r="B825" t="str">
        <f>'Unformatted Trip Summary'!J823</f>
        <v>2022/23</v>
      </c>
      <c r="C825" t="str">
        <f>'Unformatted Trip Summary'!I823</f>
        <v>Motorcyclist</v>
      </c>
      <c r="D825">
        <f>'Unformatted Trip Summary'!D823</f>
        <v>2</v>
      </c>
      <c r="E825">
        <f>'Unformatted Trip Summary'!E823</f>
        <v>5</v>
      </c>
      <c r="F825" s="1">
        <f>'Unformatted Trip Summary'!F823</f>
        <v>7.3824414899999996E-2</v>
      </c>
      <c r="G825" s="1">
        <f>'Unformatted Trip Summary'!G823</f>
        <v>0.33415798930000001</v>
      </c>
      <c r="H825" s="1">
        <f>'Unformatted Trip Summary'!H823</f>
        <v>1.1256846500000001E-2</v>
      </c>
    </row>
    <row r="826" spans="1:8" x14ac:dyDescent="0.25">
      <c r="A826" t="str">
        <f>'Unformatted Trip Summary'!A824</f>
        <v>12 WEST COAST</v>
      </c>
      <c r="B826" t="str">
        <f>'Unformatted Trip Summary'!J824</f>
        <v>2027/28</v>
      </c>
      <c r="C826" t="str">
        <f>'Unformatted Trip Summary'!I824</f>
        <v>Motorcyclist</v>
      </c>
      <c r="D826">
        <f>'Unformatted Trip Summary'!D824</f>
        <v>2</v>
      </c>
      <c r="E826">
        <f>'Unformatted Trip Summary'!E824</f>
        <v>5</v>
      </c>
      <c r="F826" s="1">
        <f>'Unformatted Trip Summary'!F824</f>
        <v>8.0306246900000003E-2</v>
      </c>
      <c r="G826" s="1">
        <f>'Unformatted Trip Summary'!G824</f>
        <v>0.3502175729</v>
      </c>
      <c r="H826" s="1">
        <f>'Unformatted Trip Summary'!H824</f>
        <v>1.1908579399999999E-2</v>
      </c>
    </row>
    <row r="827" spans="1:8" x14ac:dyDescent="0.25">
      <c r="A827" t="str">
        <f>'Unformatted Trip Summary'!A825</f>
        <v>12 WEST COAST</v>
      </c>
      <c r="B827" t="str">
        <f>'Unformatted Trip Summary'!J825</f>
        <v>2032/33</v>
      </c>
      <c r="C827" t="str">
        <f>'Unformatted Trip Summary'!I825</f>
        <v>Motorcyclist</v>
      </c>
      <c r="D827">
        <f>'Unformatted Trip Summary'!D825</f>
        <v>2</v>
      </c>
      <c r="E827">
        <f>'Unformatted Trip Summary'!E825</f>
        <v>5</v>
      </c>
      <c r="F827" s="1">
        <f>'Unformatted Trip Summary'!F825</f>
        <v>8.6941624199999998E-2</v>
      </c>
      <c r="G827" s="1">
        <f>'Unformatted Trip Summary'!G825</f>
        <v>0.37979788660000002</v>
      </c>
      <c r="H827" s="1">
        <f>'Unformatted Trip Summary'!H825</f>
        <v>1.2908842699999999E-2</v>
      </c>
    </row>
    <row r="828" spans="1:8" x14ac:dyDescent="0.25">
      <c r="A828" t="str">
        <f>'Unformatted Trip Summary'!A826</f>
        <v>12 WEST COAST</v>
      </c>
      <c r="B828" t="str">
        <f>'Unformatted Trip Summary'!J826</f>
        <v>2037/38</v>
      </c>
      <c r="C828" t="str">
        <f>'Unformatted Trip Summary'!I826</f>
        <v>Motorcyclist</v>
      </c>
      <c r="D828">
        <f>'Unformatted Trip Summary'!D826</f>
        <v>2</v>
      </c>
      <c r="E828">
        <f>'Unformatted Trip Summary'!E826</f>
        <v>5</v>
      </c>
      <c r="F828" s="1">
        <f>'Unformatted Trip Summary'!F826</f>
        <v>9.6624051599999997E-2</v>
      </c>
      <c r="G828" s="1">
        <f>'Unformatted Trip Summary'!G826</f>
        <v>0.4189990952</v>
      </c>
      <c r="H828" s="1">
        <f>'Unformatted Trip Summary'!H826</f>
        <v>1.42679882E-2</v>
      </c>
    </row>
    <row r="829" spans="1:8" x14ac:dyDescent="0.25">
      <c r="A829" t="str">
        <f>'Unformatted Trip Summary'!A827</f>
        <v>12 WEST COAST</v>
      </c>
      <c r="B829" t="str">
        <f>'Unformatted Trip Summary'!J827</f>
        <v>2042/43</v>
      </c>
      <c r="C829" t="str">
        <f>'Unformatted Trip Summary'!I827</f>
        <v>Motorcyclist</v>
      </c>
      <c r="D829">
        <f>'Unformatted Trip Summary'!D827</f>
        <v>2</v>
      </c>
      <c r="E829">
        <f>'Unformatted Trip Summary'!E827</f>
        <v>5</v>
      </c>
      <c r="F829" s="1">
        <f>'Unformatted Trip Summary'!F827</f>
        <v>0.1033886827</v>
      </c>
      <c r="G829" s="1">
        <f>'Unformatted Trip Summary'!G827</f>
        <v>0.44477333499999999</v>
      </c>
      <c r="H829" s="1">
        <f>'Unformatted Trip Summary'!H827</f>
        <v>1.5176650200000001E-2</v>
      </c>
    </row>
    <row r="830" spans="1:8" x14ac:dyDescent="0.25">
      <c r="A830" t="str">
        <f>'Unformatted Trip Summary'!A828</f>
        <v>12 WEST COAST</v>
      </c>
      <c r="B830" t="str">
        <f>'Unformatted Trip Summary'!J828</f>
        <v>2012/13</v>
      </c>
      <c r="C830" t="str">
        <f>'Unformatted Trip Summary'!I828</f>
        <v>Local Bus</v>
      </c>
      <c r="D830">
        <f>'Unformatted Trip Summary'!D828</f>
        <v>15</v>
      </c>
      <c r="E830">
        <f>'Unformatted Trip Summary'!E828</f>
        <v>42</v>
      </c>
      <c r="F830" s="1">
        <f>'Unformatted Trip Summary'!F828</f>
        <v>0.50805546800000001</v>
      </c>
      <c r="G830" s="1">
        <f>'Unformatted Trip Summary'!G828</f>
        <v>6.0600083682000001</v>
      </c>
      <c r="H830" s="1">
        <f>'Unformatted Trip Summary'!H828</f>
        <v>0.18249519829999999</v>
      </c>
    </row>
    <row r="831" spans="1:8" x14ac:dyDescent="0.25">
      <c r="A831" t="str">
        <f>'Unformatted Trip Summary'!A829</f>
        <v>12 WEST COAST</v>
      </c>
      <c r="B831" t="str">
        <f>'Unformatted Trip Summary'!J829</f>
        <v>2017/18</v>
      </c>
      <c r="C831" t="str">
        <f>'Unformatted Trip Summary'!I829</f>
        <v>Local Bus</v>
      </c>
      <c r="D831">
        <f>'Unformatted Trip Summary'!D829</f>
        <v>15</v>
      </c>
      <c r="E831">
        <f>'Unformatted Trip Summary'!E829</f>
        <v>42</v>
      </c>
      <c r="F831" s="1">
        <f>'Unformatted Trip Summary'!F829</f>
        <v>0.4780004658</v>
      </c>
      <c r="G831" s="1">
        <f>'Unformatted Trip Summary'!G829</f>
        <v>5.7075676608999997</v>
      </c>
      <c r="H831" s="1">
        <f>'Unformatted Trip Summary'!H829</f>
        <v>0.1708121444</v>
      </c>
    </row>
    <row r="832" spans="1:8" x14ac:dyDescent="0.25">
      <c r="A832" t="str">
        <f>'Unformatted Trip Summary'!A830</f>
        <v>12 WEST COAST</v>
      </c>
      <c r="B832" t="str">
        <f>'Unformatted Trip Summary'!J830</f>
        <v>2022/23</v>
      </c>
      <c r="C832" t="str">
        <f>'Unformatted Trip Summary'!I830</f>
        <v>Local Bus</v>
      </c>
      <c r="D832">
        <f>'Unformatted Trip Summary'!D830</f>
        <v>15</v>
      </c>
      <c r="E832">
        <f>'Unformatted Trip Summary'!E830</f>
        <v>42</v>
      </c>
      <c r="F832" s="1">
        <f>'Unformatted Trip Summary'!F830</f>
        <v>0.4300318273</v>
      </c>
      <c r="G832" s="1">
        <f>'Unformatted Trip Summary'!G830</f>
        <v>5.1667210223</v>
      </c>
      <c r="H832" s="1">
        <f>'Unformatted Trip Summary'!H830</f>
        <v>0.15341595820000001</v>
      </c>
    </row>
    <row r="833" spans="1:8" x14ac:dyDescent="0.25">
      <c r="A833" t="str">
        <f>'Unformatted Trip Summary'!A831</f>
        <v>12 WEST COAST</v>
      </c>
      <c r="B833" t="str">
        <f>'Unformatted Trip Summary'!J831</f>
        <v>2027/28</v>
      </c>
      <c r="C833" t="str">
        <f>'Unformatted Trip Summary'!I831</f>
        <v>Local Bus</v>
      </c>
      <c r="D833">
        <f>'Unformatted Trip Summary'!D831</f>
        <v>15</v>
      </c>
      <c r="E833">
        <f>'Unformatted Trip Summary'!E831</f>
        <v>42</v>
      </c>
      <c r="F833" s="1">
        <f>'Unformatted Trip Summary'!F831</f>
        <v>0.40924305290000002</v>
      </c>
      <c r="G833" s="1">
        <f>'Unformatted Trip Summary'!G831</f>
        <v>4.8212451188000003</v>
      </c>
      <c r="H833" s="1">
        <f>'Unformatted Trip Summary'!H831</f>
        <v>0.14486248400000001</v>
      </c>
    </row>
    <row r="834" spans="1:8" x14ac:dyDescent="0.25">
      <c r="A834" t="str">
        <f>'Unformatted Trip Summary'!A832</f>
        <v>12 WEST COAST</v>
      </c>
      <c r="B834" t="str">
        <f>'Unformatted Trip Summary'!J832</f>
        <v>2032/33</v>
      </c>
      <c r="C834" t="str">
        <f>'Unformatted Trip Summary'!I832</f>
        <v>Local Bus</v>
      </c>
      <c r="D834">
        <f>'Unformatted Trip Summary'!D832</f>
        <v>15</v>
      </c>
      <c r="E834">
        <f>'Unformatted Trip Summary'!E832</f>
        <v>42</v>
      </c>
      <c r="F834" s="1">
        <f>'Unformatted Trip Summary'!F832</f>
        <v>0.37875555150000001</v>
      </c>
      <c r="G834" s="1">
        <f>'Unformatted Trip Summary'!G832</f>
        <v>4.4856052052999997</v>
      </c>
      <c r="H834" s="1">
        <f>'Unformatted Trip Summary'!H832</f>
        <v>0.1344948923</v>
      </c>
    </row>
    <row r="835" spans="1:8" x14ac:dyDescent="0.25">
      <c r="A835" t="str">
        <f>'Unformatted Trip Summary'!A833</f>
        <v>12 WEST COAST</v>
      </c>
      <c r="B835" t="str">
        <f>'Unformatted Trip Summary'!J833</f>
        <v>2037/38</v>
      </c>
      <c r="C835" t="str">
        <f>'Unformatted Trip Summary'!I833</f>
        <v>Local Bus</v>
      </c>
      <c r="D835">
        <f>'Unformatted Trip Summary'!D833</f>
        <v>15</v>
      </c>
      <c r="E835">
        <f>'Unformatted Trip Summary'!E833</f>
        <v>42</v>
      </c>
      <c r="F835" s="1">
        <f>'Unformatted Trip Summary'!F833</f>
        <v>0.34372816350000002</v>
      </c>
      <c r="G835" s="1">
        <f>'Unformatted Trip Summary'!G833</f>
        <v>4.1877024437000001</v>
      </c>
      <c r="H835" s="1">
        <f>'Unformatted Trip Summary'!H833</f>
        <v>0.1235634905</v>
      </c>
    </row>
    <row r="836" spans="1:8" x14ac:dyDescent="0.25">
      <c r="A836" t="str">
        <f>'Unformatted Trip Summary'!A834</f>
        <v>12 WEST COAST</v>
      </c>
      <c r="B836" t="str">
        <f>'Unformatted Trip Summary'!J834</f>
        <v>2042/43</v>
      </c>
      <c r="C836" t="str">
        <f>'Unformatted Trip Summary'!I834</f>
        <v>Local Bus</v>
      </c>
      <c r="D836">
        <f>'Unformatted Trip Summary'!D834</f>
        <v>15</v>
      </c>
      <c r="E836">
        <f>'Unformatted Trip Summary'!E834</f>
        <v>42</v>
      </c>
      <c r="F836" s="1">
        <f>'Unformatted Trip Summary'!F834</f>
        <v>0.31013663540000003</v>
      </c>
      <c r="G836" s="1">
        <f>'Unformatted Trip Summary'!G834</f>
        <v>3.9458011989999999</v>
      </c>
      <c r="H836" s="1">
        <f>'Unformatted Trip Summary'!H834</f>
        <v>0.113677634</v>
      </c>
    </row>
    <row r="837" spans="1:8" x14ac:dyDescent="0.25">
      <c r="A837" t="str">
        <f>'Unformatted Trip Summary'!A835</f>
        <v>12 WEST COAST</v>
      </c>
      <c r="B837" t="str">
        <f>'Unformatted Trip Summary'!J835</f>
        <v>2012/13</v>
      </c>
      <c r="C837" t="str">
        <f>'Unformatted Trip Summary'!I835</f>
        <v>Other Household Travel</v>
      </c>
      <c r="D837">
        <f>'Unformatted Trip Summary'!D835</f>
        <v>3</v>
      </c>
      <c r="E837">
        <f>'Unformatted Trip Summary'!E835</f>
        <v>3</v>
      </c>
      <c r="F837" s="1">
        <f>'Unformatted Trip Summary'!F835</f>
        <v>2.77012627E-2</v>
      </c>
      <c r="G837" s="1">
        <f>'Unformatted Trip Summary'!G835</f>
        <v>0</v>
      </c>
      <c r="H837" s="1">
        <f>'Unformatted Trip Summary'!H835</f>
        <v>3.6766106000000001E-3</v>
      </c>
    </row>
    <row r="838" spans="1:8" x14ac:dyDescent="0.25">
      <c r="A838" t="str">
        <f>'Unformatted Trip Summary'!A836</f>
        <v>12 WEST COAST</v>
      </c>
      <c r="B838" t="str">
        <f>'Unformatted Trip Summary'!J836</f>
        <v>2017/18</v>
      </c>
      <c r="C838" t="str">
        <f>'Unformatted Trip Summary'!I836</f>
        <v>Other Household Travel</v>
      </c>
      <c r="D838">
        <f>'Unformatted Trip Summary'!D836</f>
        <v>3</v>
      </c>
      <c r="E838">
        <f>'Unformatted Trip Summary'!E836</f>
        <v>3</v>
      </c>
      <c r="F838" s="1">
        <f>'Unformatted Trip Summary'!F836</f>
        <v>2.6985750499999999E-2</v>
      </c>
      <c r="G838" s="1">
        <f>'Unformatted Trip Summary'!G836</f>
        <v>0</v>
      </c>
      <c r="H838" s="1">
        <f>'Unformatted Trip Summary'!H836</f>
        <v>3.5103360999999998E-3</v>
      </c>
    </row>
    <row r="839" spans="1:8" x14ac:dyDescent="0.25">
      <c r="A839" t="str">
        <f>'Unformatted Trip Summary'!A837</f>
        <v>12 WEST COAST</v>
      </c>
      <c r="B839" t="str">
        <f>'Unformatted Trip Summary'!J837</f>
        <v>2022/23</v>
      </c>
      <c r="C839" t="str">
        <f>'Unformatted Trip Summary'!I837</f>
        <v>Other Household Travel</v>
      </c>
      <c r="D839">
        <f>'Unformatted Trip Summary'!D837</f>
        <v>3</v>
      </c>
      <c r="E839">
        <f>'Unformatted Trip Summary'!E837</f>
        <v>3</v>
      </c>
      <c r="F839" s="1">
        <f>'Unformatted Trip Summary'!F837</f>
        <v>2.5017010100000001E-2</v>
      </c>
      <c r="G839" s="1">
        <f>'Unformatted Trip Summary'!G837</f>
        <v>0</v>
      </c>
      <c r="H839" s="1">
        <f>'Unformatted Trip Summary'!H837</f>
        <v>3.2047709999999999E-3</v>
      </c>
    </row>
    <row r="840" spans="1:8" x14ac:dyDescent="0.25">
      <c r="A840" t="str">
        <f>'Unformatted Trip Summary'!A838</f>
        <v>12 WEST COAST</v>
      </c>
      <c r="B840" t="str">
        <f>'Unformatted Trip Summary'!J838</f>
        <v>2027/28</v>
      </c>
      <c r="C840" t="str">
        <f>'Unformatted Trip Summary'!I838</f>
        <v>Other Household Travel</v>
      </c>
      <c r="D840">
        <f>'Unformatted Trip Summary'!D838</f>
        <v>3</v>
      </c>
      <c r="E840">
        <f>'Unformatted Trip Summary'!E838</f>
        <v>3</v>
      </c>
      <c r="F840" s="1">
        <f>'Unformatted Trip Summary'!F838</f>
        <v>2.1808722400000001E-2</v>
      </c>
      <c r="G840" s="1">
        <f>'Unformatted Trip Summary'!G838</f>
        <v>0</v>
      </c>
      <c r="H840" s="1">
        <f>'Unformatted Trip Summary'!H838</f>
        <v>2.7431955000000001E-3</v>
      </c>
    </row>
    <row r="841" spans="1:8" x14ac:dyDescent="0.25">
      <c r="A841" t="str">
        <f>'Unformatted Trip Summary'!A839</f>
        <v>12 WEST COAST</v>
      </c>
      <c r="B841" t="str">
        <f>'Unformatted Trip Summary'!J839</f>
        <v>2032/33</v>
      </c>
      <c r="C841" t="str">
        <f>'Unformatted Trip Summary'!I839</f>
        <v>Other Household Travel</v>
      </c>
      <c r="D841">
        <f>'Unformatted Trip Summary'!D839</f>
        <v>3</v>
      </c>
      <c r="E841">
        <f>'Unformatted Trip Summary'!E839</f>
        <v>3</v>
      </c>
      <c r="F841" s="1">
        <f>'Unformatted Trip Summary'!F839</f>
        <v>1.9668801100000001E-2</v>
      </c>
      <c r="G841" s="1">
        <f>'Unformatted Trip Summary'!G839</f>
        <v>0</v>
      </c>
      <c r="H841" s="1">
        <f>'Unformatted Trip Summary'!H839</f>
        <v>2.4925037999999999E-3</v>
      </c>
    </row>
    <row r="842" spans="1:8" x14ac:dyDescent="0.25">
      <c r="A842" t="str">
        <f>'Unformatted Trip Summary'!A840</f>
        <v>12 WEST COAST</v>
      </c>
      <c r="B842" t="str">
        <f>'Unformatted Trip Summary'!J840</f>
        <v>2037/38</v>
      </c>
      <c r="C842" t="str">
        <f>'Unformatted Trip Summary'!I840</f>
        <v>Other Household Travel</v>
      </c>
      <c r="D842">
        <f>'Unformatted Trip Summary'!D840</f>
        <v>3</v>
      </c>
      <c r="E842">
        <f>'Unformatted Trip Summary'!E840</f>
        <v>3</v>
      </c>
      <c r="F842" s="1">
        <f>'Unformatted Trip Summary'!F840</f>
        <v>1.9387709100000001E-2</v>
      </c>
      <c r="G842" s="1">
        <f>'Unformatted Trip Summary'!G840</f>
        <v>0</v>
      </c>
      <c r="H842" s="1">
        <f>'Unformatted Trip Summary'!H840</f>
        <v>2.5155822999999998E-3</v>
      </c>
    </row>
    <row r="843" spans="1:8" x14ac:dyDescent="0.25">
      <c r="A843" t="str">
        <f>'Unformatted Trip Summary'!A841</f>
        <v>12 WEST COAST</v>
      </c>
      <c r="B843" t="str">
        <f>'Unformatted Trip Summary'!J841</f>
        <v>2042/43</v>
      </c>
      <c r="C843" t="str">
        <f>'Unformatted Trip Summary'!I841</f>
        <v>Other Household Travel</v>
      </c>
      <c r="D843">
        <f>'Unformatted Trip Summary'!D841</f>
        <v>3</v>
      </c>
      <c r="E843">
        <f>'Unformatted Trip Summary'!E841</f>
        <v>3</v>
      </c>
      <c r="F843" s="1">
        <f>'Unformatted Trip Summary'!F841</f>
        <v>1.8943876799999999E-2</v>
      </c>
      <c r="G843" s="1">
        <f>'Unformatted Trip Summary'!G841</f>
        <v>0</v>
      </c>
      <c r="H843" s="1">
        <f>'Unformatted Trip Summary'!H841</f>
        <v>2.5123369999999999E-3</v>
      </c>
    </row>
    <row r="844" spans="1:8" x14ac:dyDescent="0.25">
      <c r="A844" t="str">
        <f>'Unformatted Trip Summary'!A842</f>
        <v>12 WEST COAST</v>
      </c>
      <c r="B844" t="str">
        <f>'Unformatted Trip Summary'!J842</f>
        <v>2012/13</v>
      </c>
      <c r="C844" t="str">
        <f>'Unformatted Trip Summary'!I842</f>
        <v>Air/Non-Local PT</v>
      </c>
      <c r="D844">
        <f>'Unformatted Trip Summary'!D842</f>
        <v>4</v>
      </c>
      <c r="E844">
        <f>'Unformatted Trip Summary'!E842</f>
        <v>8</v>
      </c>
      <c r="F844" s="1">
        <f>'Unformatted Trip Summary'!F842</f>
        <v>0.10084271459999999</v>
      </c>
      <c r="G844" s="1">
        <f>'Unformatted Trip Summary'!G842</f>
        <v>10.387194593</v>
      </c>
      <c r="H844" s="1">
        <f>'Unformatted Trip Summary'!H842</f>
        <v>0.1870167032</v>
      </c>
    </row>
    <row r="845" spans="1:8" x14ac:dyDescent="0.25">
      <c r="A845" t="str">
        <f>'Unformatted Trip Summary'!A843</f>
        <v>12 WEST COAST</v>
      </c>
      <c r="B845" t="str">
        <f>'Unformatted Trip Summary'!J843</f>
        <v>2017/18</v>
      </c>
      <c r="C845" t="str">
        <f>'Unformatted Trip Summary'!I843</f>
        <v>Air/Non-Local PT</v>
      </c>
      <c r="D845">
        <f>'Unformatted Trip Summary'!D843</f>
        <v>4</v>
      </c>
      <c r="E845">
        <f>'Unformatted Trip Summary'!E843</f>
        <v>8</v>
      </c>
      <c r="F845" s="1">
        <f>'Unformatted Trip Summary'!F843</f>
        <v>0.1072802224</v>
      </c>
      <c r="G845" s="1">
        <f>'Unformatted Trip Summary'!G843</f>
        <v>10.913065719</v>
      </c>
      <c r="H845" s="1">
        <f>'Unformatted Trip Summary'!H843</f>
        <v>0.1997039531</v>
      </c>
    </row>
    <row r="846" spans="1:8" x14ac:dyDescent="0.25">
      <c r="A846" t="str">
        <f>'Unformatted Trip Summary'!A844</f>
        <v>12 WEST COAST</v>
      </c>
      <c r="B846" t="str">
        <f>'Unformatted Trip Summary'!J844</f>
        <v>2022/23</v>
      </c>
      <c r="C846" t="str">
        <f>'Unformatted Trip Summary'!I844</f>
        <v>Air/Non-Local PT</v>
      </c>
      <c r="D846">
        <f>'Unformatted Trip Summary'!D844</f>
        <v>4</v>
      </c>
      <c r="E846">
        <f>'Unformatted Trip Summary'!E844</f>
        <v>8</v>
      </c>
      <c r="F846" s="1">
        <f>'Unformatted Trip Summary'!F844</f>
        <v>0.10689401010000001</v>
      </c>
      <c r="G846" s="1">
        <f>'Unformatted Trip Summary'!G844</f>
        <v>10.740368633999999</v>
      </c>
      <c r="H846" s="1">
        <f>'Unformatted Trip Summary'!H844</f>
        <v>0.19971302939999999</v>
      </c>
    </row>
    <row r="847" spans="1:8" x14ac:dyDescent="0.25">
      <c r="A847" t="str">
        <f>'Unformatted Trip Summary'!A845</f>
        <v>12 WEST COAST</v>
      </c>
      <c r="B847" t="str">
        <f>'Unformatted Trip Summary'!J845</f>
        <v>2027/28</v>
      </c>
      <c r="C847" t="str">
        <f>'Unformatted Trip Summary'!I845</f>
        <v>Air/Non-Local PT</v>
      </c>
      <c r="D847">
        <f>'Unformatted Trip Summary'!D845</f>
        <v>4</v>
      </c>
      <c r="E847">
        <f>'Unformatted Trip Summary'!E845</f>
        <v>8</v>
      </c>
      <c r="F847" s="1">
        <f>'Unformatted Trip Summary'!F845</f>
        <v>0.1013212436</v>
      </c>
      <c r="G847" s="1">
        <f>'Unformatted Trip Summary'!G845</f>
        <v>9.9110779793999999</v>
      </c>
      <c r="H847" s="1">
        <f>'Unformatted Trip Summary'!H845</f>
        <v>0.19077122939999999</v>
      </c>
    </row>
    <row r="848" spans="1:8" x14ac:dyDescent="0.25">
      <c r="A848" t="str">
        <f>'Unformatted Trip Summary'!A846</f>
        <v>12 WEST COAST</v>
      </c>
      <c r="B848" t="str">
        <f>'Unformatted Trip Summary'!J846</f>
        <v>2032/33</v>
      </c>
      <c r="C848" t="str">
        <f>'Unformatted Trip Summary'!I846</f>
        <v>Air/Non-Local PT</v>
      </c>
      <c r="D848">
        <f>'Unformatted Trip Summary'!D846</f>
        <v>4</v>
      </c>
      <c r="E848">
        <f>'Unformatted Trip Summary'!E846</f>
        <v>8</v>
      </c>
      <c r="F848" s="1">
        <f>'Unformatted Trip Summary'!F846</f>
        <v>9.3593470999999998E-2</v>
      </c>
      <c r="G848" s="1">
        <f>'Unformatted Trip Summary'!G846</f>
        <v>8.9943139670000001</v>
      </c>
      <c r="H848" s="1">
        <f>'Unformatted Trip Summary'!H846</f>
        <v>0.1770988912</v>
      </c>
    </row>
    <row r="849" spans="1:8" x14ac:dyDescent="0.25">
      <c r="A849" t="str">
        <f>'Unformatted Trip Summary'!A847</f>
        <v>12 WEST COAST</v>
      </c>
      <c r="B849" t="str">
        <f>'Unformatted Trip Summary'!J847</f>
        <v>2037/38</v>
      </c>
      <c r="C849" t="str">
        <f>'Unformatted Trip Summary'!I847</f>
        <v>Air/Non-Local PT</v>
      </c>
      <c r="D849">
        <f>'Unformatted Trip Summary'!D847</f>
        <v>4</v>
      </c>
      <c r="E849">
        <f>'Unformatted Trip Summary'!E847</f>
        <v>8</v>
      </c>
      <c r="F849" s="1">
        <f>'Unformatted Trip Summary'!F847</f>
        <v>9.0932409800000003E-2</v>
      </c>
      <c r="G849" s="1">
        <f>'Unformatted Trip Summary'!G847</f>
        <v>8.6864565925000008</v>
      </c>
      <c r="H849" s="1">
        <f>'Unformatted Trip Summary'!H847</f>
        <v>0.17234806929999999</v>
      </c>
    </row>
    <row r="850" spans="1:8" x14ac:dyDescent="0.25">
      <c r="A850" t="str">
        <f>'Unformatted Trip Summary'!A848</f>
        <v>12 WEST COAST</v>
      </c>
      <c r="B850" t="str">
        <f>'Unformatted Trip Summary'!J848</f>
        <v>2042/43</v>
      </c>
      <c r="C850" t="str">
        <f>'Unformatted Trip Summary'!I848</f>
        <v>Air/Non-Local PT</v>
      </c>
      <c r="D850">
        <f>'Unformatted Trip Summary'!D848</f>
        <v>4</v>
      </c>
      <c r="E850">
        <f>'Unformatted Trip Summary'!E848</f>
        <v>8</v>
      </c>
      <c r="F850" s="1">
        <f>'Unformatted Trip Summary'!F848</f>
        <v>8.7466363300000002E-2</v>
      </c>
      <c r="G850" s="1">
        <f>'Unformatted Trip Summary'!G848</f>
        <v>8.2978942915000005</v>
      </c>
      <c r="H850" s="1">
        <f>'Unformatted Trip Summary'!H848</f>
        <v>0.16609230720000001</v>
      </c>
    </row>
    <row r="851" spans="1:8" x14ac:dyDescent="0.25">
      <c r="A851" t="str">
        <f>'Unformatted Trip Summary'!A849</f>
        <v>12 WEST COAST</v>
      </c>
      <c r="B851" t="str">
        <f>'Unformatted Trip Summary'!J849</f>
        <v>2012/13</v>
      </c>
      <c r="C851" t="str">
        <f>'Unformatted Trip Summary'!I849</f>
        <v>Non-Household Travel</v>
      </c>
      <c r="D851">
        <f>'Unformatted Trip Summary'!D849</f>
        <v>9</v>
      </c>
      <c r="E851">
        <f>'Unformatted Trip Summary'!E849</f>
        <v>44</v>
      </c>
      <c r="F851" s="1">
        <f>'Unformatted Trip Summary'!F849</f>
        <v>0.57649160089999996</v>
      </c>
      <c r="G851" s="1">
        <f>'Unformatted Trip Summary'!G849</f>
        <v>20.958164275000001</v>
      </c>
      <c r="H851" s="1">
        <f>'Unformatted Trip Summary'!H849</f>
        <v>0.34686230169999999</v>
      </c>
    </row>
    <row r="852" spans="1:8" x14ac:dyDescent="0.25">
      <c r="A852" t="str">
        <f>'Unformatted Trip Summary'!A850</f>
        <v>12 WEST COAST</v>
      </c>
      <c r="B852" t="str">
        <f>'Unformatted Trip Summary'!J850</f>
        <v>2017/18</v>
      </c>
      <c r="C852" t="str">
        <f>'Unformatted Trip Summary'!I850</f>
        <v>Non-Household Travel</v>
      </c>
      <c r="D852">
        <f>'Unformatted Trip Summary'!D850</f>
        <v>9</v>
      </c>
      <c r="E852">
        <f>'Unformatted Trip Summary'!E850</f>
        <v>44</v>
      </c>
      <c r="F852" s="1">
        <f>'Unformatted Trip Summary'!F850</f>
        <v>0.6091139941</v>
      </c>
      <c r="G852" s="1">
        <f>'Unformatted Trip Summary'!G850</f>
        <v>21.937485677000002</v>
      </c>
      <c r="H852" s="1">
        <f>'Unformatted Trip Summary'!H850</f>
        <v>0.36383033149999999</v>
      </c>
    </row>
    <row r="853" spans="1:8" x14ac:dyDescent="0.25">
      <c r="A853" t="str">
        <f>'Unformatted Trip Summary'!A851</f>
        <v>12 WEST COAST</v>
      </c>
      <c r="B853" t="str">
        <f>'Unformatted Trip Summary'!J851</f>
        <v>2022/23</v>
      </c>
      <c r="C853" t="str">
        <f>'Unformatted Trip Summary'!I851</f>
        <v>Non-Household Travel</v>
      </c>
      <c r="D853">
        <f>'Unformatted Trip Summary'!D851</f>
        <v>9</v>
      </c>
      <c r="E853">
        <f>'Unformatted Trip Summary'!E851</f>
        <v>44</v>
      </c>
      <c r="F853" s="1">
        <f>'Unformatted Trip Summary'!F851</f>
        <v>0.58672225349999996</v>
      </c>
      <c r="G853" s="1">
        <f>'Unformatted Trip Summary'!G851</f>
        <v>21.450941844999999</v>
      </c>
      <c r="H853" s="1">
        <f>'Unformatted Trip Summary'!H851</f>
        <v>0.3559482699</v>
      </c>
    </row>
    <row r="854" spans="1:8" x14ac:dyDescent="0.25">
      <c r="A854" t="str">
        <f>'Unformatted Trip Summary'!A852</f>
        <v>12 WEST COAST</v>
      </c>
      <c r="B854" t="str">
        <f>'Unformatted Trip Summary'!J852</f>
        <v>2027/28</v>
      </c>
      <c r="C854" t="str">
        <f>'Unformatted Trip Summary'!I852</f>
        <v>Non-Household Travel</v>
      </c>
      <c r="D854">
        <f>'Unformatted Trip Summary'!D852</f>
        <v>9</v>
      </c>
      <c r="E854">
        <f>'Unformatted Trip Summary'!E852</f>
        <v>44</v>
      </c>
      <c r="F854" s="1">
        <f>'Unformatted Trip Summary'!F852</f>
        <v>0.5880424192</v>
      </c>
      <c r="G854" s="1">
        <f>'Unformatted Trip Summary'!G852</f>
        <v>21.165219260000001</v>
      </c>
      <c r="H854" s="1">
        <f>'Unformatted Trip Summary'!H852</f>
        <v>0.35150454370000001</v>
      </c>
    </row>
    <row r="855" spans="1:8" x14ac:dyDescent="0.25">
      <c r="A855" t="str">
        <f>'Unformatted Trip Summary'!A853</f>
        <v>12 WEST COAST</v>
      </c>
      <c r="B855" t="str">
        <f>'Unformatted Trip Summary'!J853</f>
        <v>2032/33</v>
      </c>
      <c r="C855" t="str">
        <f>'Unformatted Trip Summary'!I853</f>
        <v>Non-Household Travel</v>
      </c>
      <c r="D855">
        <f>'Unformatted Trip Summary'!D853</f>
        <v>9</v>
      </c>
      <c r="E855">
        <f>'Unformatted Trip Summary'!E853</f>
        <v>44</v>
      </c>
      <c r="F855" s="1">
        <f>'Unformatted Trip Summary'!F853</f>
        <v>0.57162476880000002</v>
      </c>
      <c r="G855" s="1">
        <f>'Unformatted Trip Summary'!G853</f>
        <v>20.232531360999999</v>
      </c>
      <c r="H855" s="1">
        <f>'Unformatted Trip Summary'!H853</f>
        <v>0.33652477520000001</v>
      </c>
    </row>
    <row r="856" spans="1:8" x14ac:dyDescent="0.25">
      <c r="A856" t="str">
        <f>'Unformatted Trip Summary'!A854</f>
        <v>12 WEST COAST</v>
      </c>
      <c r="B856" t="str">
        <f>'Unformatted Trip Summary'!J854</f>
        <v>2037/38</v>
      </c>
      <c r="C856" t="str">
        <f>'Unformatted Trip Summary'!I854</f>
        <v>Non-Household Travel</v>
      </c>
      <c r="D856">
        <f>'Unformatted Trip Summary'!D854</f>
        <v>9</v>
      </c>
      <c r="E856">
        <f>'Unformatted Trip Summary'!E854</f>
        <v>44</v>
      </c>
      <c r="F856" s="1">
        <f>'Unformatted Trip Summary'!F854</f>
        <v>0.55645920010000005</v>
      </c>
      <c r="G856" s="1">
        <f>'Unformatted Trip Summary'!G854</f>
        <v>19.469928998</v>
      </c>
      <c r="H856" s="1">
        <f>'Unformatted Trip Summary'!H854</f>
        <v>0.32433173809999999</v>
      </c>
    </row>
    <row r="857" spans="1:8" x14ac:dyDescent="0.25">
      <c r="A857" t="str">
        <f>'Unformatted Trip Summary'!A855</f>
        <v>12 WEST COAST</v>
      </c>
      <c r="B857" t="str">
        <f>'Unformatted Trip Summary'!J855</f>
        <v>2042/43</v>
      </c>
      <c r="C857" t="str">
        <f>'Unformatted Trip Summary'!I855</f>
        <v>Non-Household Travel</v>
      </c>
      <c r="D857">
        <f>'Unformatted Trip Summary'!D855</f>
        <v>9</v>
      </c>
      <c r="E857">
        <f>'Unformatted Trip Summary'!E855</f>
        <v>44</v>
      </c>
      <c r="F857" s="1">
        <f>'Unformatted Trip Summary'!F855</f>
        <v>0.53251747670000005</v>
      </c>
      <c r="G857" s="1">
        <f>'Unformatted Trip Summary'!G855</f>
        <v>18.494143017999999</v>
      </c>
      <c r="H857" s="1">
        <f>'Unformatted Trip Summary'!H855</f>
        <v>0.30863035859999999</v>
      </c>
    </row>
    <row r="858" spans="1:8" x14ac:dyDescent="0.25">
      <c r="A858" t="str">
        <f>'Unformatted Trip Summary'!A856</f>
        <v>13 CANTERBURY</v>
      </c>
      <c r="B858" t="str">
        <f>'Unformatted Trip Summary'!J856</f>
        <v>2012/13</v>
      </c>
      <c r="C858" t="str">
        <f>'Unformatted Trip Summary'!I856</f>
        <v>Pedestrian</v>
      </c>
      <c r="D858">
        <f>'Unformatted Trip Summary'!D856</f>
        <v>2073</v>
      </c>
      <c r="E858">
        <f>'Unformatted Trip Summary'!E856</f>
        <v>7645</v>
      </c>
      <c r="F858" s="1">
        <f>'Unformatted Trip Summary'!F856</f>
        <v>131.04676542000001</v>
      </c>
      <c r="G858" s="1">
        <f>'Unformatted Trip Summary'!G856</f>
        <v>113.37513976</v>
      </c>
      <c r="H858" s="1">
        <f>'Unformatted Trip Summary'!H856</f>
        <v>27.07651954</v>
      </c>
    </row>
    <row r="859" spans="1:8" x14ac:dyDescent="0.25">
      <c r="A859" t="str">
        <f>'Unformatted Trip Summary'!A857</f>
        <v>13 CANTERBURY</v>
      </c>
      <c r="B859" t="str">
        <f>'Unformatted Trip Summary'!J857</f>
        <v>2017/18</v>
      </c>
      <c r="C859" t="str">
        <f>'Unformatted Trip Summary'!I857</f>
        <v>Pedestrian</v>
      </c>
      <c r="D859">
        <f>'Unformatted Trip Summary'!D857</f>
        <v>2073</v>
      </c>
      <c r="E859">
        <f>'Unformatted Trip Summary'!E857</f>
        <v>7645</v>
      </c>
      <c r="F859" s="1">
        <f>'Unformatted Trip Summary'!F857</f>
        <v>137.62234237000001</v>
      </c>
      <c r="G859" s="1">
        <f>'Unformatted Trip Summary'!G857</f>
        <v>118.90758648000001</v>
      </c>
      <c r="H859" s="1">
        <f>'Unformatted Trip Summary'!H857</f>
        <v>28.254144254</v>
      </c>
    </row>
    <row r="860" spans="1:8" x14ac:dyDescent="0.25">
      <c r="A860" t="str">
        <f>'Unformatted Trip Summary'!A858</f>
        <v>13 CANTERBURY</v>
      </c>
      <c r="B860" t="str">
        <f>'Unformatted Trip Summary'!J858</f>
        <v>2022/23</v>
      </c>
      <c r="C860" t="str">
        <f>'Unformatted Trip Summary'!I858</f>
        <v>Pedestrian</v>
      </c>
      <c r="D860">
        <f>'Unformatted Trip Summary'!D858</f>
        <v>2073</v>
      </c>
      <c r="E860">
        <f>'Unformatted Trip Summary'!E858</f>
        <v>7645</v>
      </c>
      <c r="F860" s="1">
        <f>'Unformatted Trip Summary'!F858</f>
        <v>139.85934610000001</v>
      </c>
      <c r="G860" s="1">
        <f>'Unformatted Trip Summary'!G858</f>
        <v>119.99817864000001</v>
      </c>
      <c r="H860" s="1">
        <f>'Unformatted Trip Summary'!H858</f>
        <v>28.463007369</v>
      </c>
    </row>
    <row r="861" spans="1:8" x14ac:dyDescent="0.25">
      <c r="A861" t="str">
        <f>'Unformatted Trip Summary'!A859</f>
        <v>13 CANTERBURY</v>
      </c>
      <c r="B861" t="str">
        <f>'Unformatted Trip Summary'!J859</f>
        <v>2027/28</v>
      </c>
      <c r="C861" t="str">
        <f>'Unformatted Trip Summary'!I859</f>
        <v>Pedestrian</v>
      </c>
      <c r="D861">
        <f>'Unformatted Trip Summary'!D859</f>
        <v>2073</v>
      </c>
      <c r="E861">
        <f>'Unformatted Trip Summary'!E859</f>
        <v>7645</v>
      </c>
      <c r="F861" s="1">
        <f>'Unformatted Trip Summary'!F859</f>
        <v>141.32226632999999</v>
      </c>
      <c r="G861" s="1">
        <f>'Unformatted Trip Summary'!G859</f>
        <v>120.58137821</v>
      </c>
      <c r="H861" s="1">
        <f>'Unformatted Trip Summary'!H859</f>
        <v>28.51192416</v>
      </c>
    </row>
    <row r="862" spans="1:8" x14ac:dyDescent="0.25">
      <c r="A862" t="str">
        <f>'Unformatted Trip Summary'!A860</f>
        <v>13 CANTERBURY</v>
      </c>
      <c r="B862" t="str">
        <f>'Unformatted Trip Summary'!J860</f>
        <v>2032/33</v>
      </c>
      <c r="C862" t="str">
        <f>'Unformatted Trip Summary'!I860</f>
        <v>Pedestrian</v>
      </c>
      <c r="D862">
        <f>'Unformatted Trip Summary'!D860</f>
        <v>2073</v>
      </c>
      <c r="E862">
        <f>'Unformatted Trip Summary'!E860</f>
        <v>7645</v>
      </c>
      <c r="F862" s="1">
        <f>'Unformatted Trip Summary'!F860</f>
        <v>140.92750760999999</v>
      </c>
      <c r="G862" s="1">
        <f>'Unformatted Trip Summary'!G860</f>
        <v>119.55818336999999</v>
      </c>
      <c r="H862" s="1">
        <f>'Unformatted Trip Summary'!H860</f>
        <v>28.247148519</v>
      </c>
    </row>
    <row r="863" spans="1:8" x14ac:dyDescent="0.25">
      <c r="A863" t="str">
        <f>'Unformatted Trip Summary'!A861</f>
        <v>13 CANTERBURY</v>
      </c>
      <c r="B863" t="str">
        <f>'Unformatted Trip Summary'!J861</f>
        <v>2037/38</v>
      </c>
      <c r="C863" t="str">
        <f>'Unformatted Trip Summary'!I861</f>
        <v>Pedestrian</v>
      </c>
      <c r="D863">
        <f>'Unformatted Trip Summary'!D861</f>
        <v>2073</v>
      </c>
      <c r="E863">
        <f>'Unformatted Trip Summary'!E861</f>
        <v>7645</v>
      </c>
      <c r="F863" s="1">
        <f>'Unformatted Trip Summary'!F861</f>
        <v>139.69566753000001</v>
      </c>
      <c r="G863" s="1">
        <f>'Unformatted Trip Summary'!G861</f>
        <v>117.95824456</v>
      </c>
      <c r="H863" s="1">
        <f>'Unformatted Trip Summary'!H861</f>
        <v>27.789374018</v>
      </c>
    </row>
    <row r="864" spans="1:8" x14ac:dyDescent="0.25">
      <c r="A864" t="str">
        <f>'Unformatted Trip Summary'!A862</f>
        <v>13 CANTERBURY</v>
      </c>
      <c r="B864" t="str">
        <f>'Unformatted Trip Summary'!J862</f>
        <v>2042/43</v>
      </c>
      <c r="C864" t="str">
        <f>'Unformatted Trip Summary'!I862</f>
        <v>Pedestrian</v>
      </c>
      <c r="D864">
        <f>'Unformatted Trip Summary'!D862</f>
        <v>2073</v>
      </c>
      <c r="E864">
        <f>'Unformatted Trip Summary'!E862</f>
        <v>7645</v>
      </c>
      <c r="F864" s="1">
        <f>'Unformatted Trip Summary'!F862</f>
        <v>138.14709187</v>
      </c>
      <c r="G864" s="1">
        <f>'Unformatted Trip Summary'!G862</f>
        <v>116.13972198</v>
      </c>
      <c r="H864" s="1">
        <f>'Unformatted Trip Summary'!H862</f>
        <v>27.290085767000001</v>
      </c>
    </row>
    <row r="865" spans="1:8" x14ac:dyDescent="0.25">
      <c r="A865" t="str">
        <f>'Unformatted Trip Summary'!A863</f>
        <v>13 CANTERBURY</v>
      </c>
      <c r="B865" t="str">
        <f>'Unformatted Trip Summary'!J863</f>
        <v>2012/13</v>
      </c>
      <c r="C865" t="str">
        <f>'Unformatted Trip Summary'!I863</f>
        <v>Cyclist</v>
      </c>
      <c r="D865">
        <f>'Unformatted Trip Summary'!D863</f>
        <v>335</v>
      </c>
      <c r="E865">
        <f>'Unformatted Trip Summary'!E863</f>
        <v>1282</v>
      </c>
      <c r="F865" s="1">
        <f>'Unformatted Trip Summary'!F863</f>
        <v>23.740018446000001</v>
      </c>
      <c r="G865" s="1">
        <f>'Unformatted Trip Summary'!G863</f>
        <v>97.023488555</v>
      </c>
      <c r="H865" s="1">
        <f>'Unformatted Trip Summary'!H863</f>
        <v>7.2445897615000003</v>
      </c>
    </row>
    <row r="866" spans="1:8" x14ac:dyDescent="0.25">
      <c r="A866" t="str">
        <f>'Unformatted Trip Summary'!A864</f>
        <v>13 CANTERBURY</v>
      </c>
      <c r="B866" t="str">
        <f>'Unformatted Trip Summary'!J864</f>
        <v>2017/18</v>
      </c>
      <c r="C866" t="str">
        <f>'Unformatted Trip Summary'!I864</f>
        <v>Cyclist</v>
      </c>
      <c r="D866">
        <f>'Unformatted Trip Summary'!D864</f>
        <v>335</v>
      </c>
      <c r="E866">
        <f>'Unformatted Trip Summary'!E864</f>
        <v>1282</v>
      </c>
      <c r="F866" s="1">
        <f>'Unformatted Trip Summary'!F864</f>
        <v>25.417578553999999</v>
      </c>
      <c r="G866" s="1">
        <f>'Unformatted Trip Summary'!G864</f>
        <v>106.46325953</v>
      </c>
      <c r="H866" s="1">
        <f>'Unformatted Trip Summary'!H864</f>
        <v>7.8378756414000001</v>
      </c>
    </row>
    <row r="867" spans="1:8" x14ac:dyDescent="0.25">
      <c r="A867" t="str">
        <f>'Unformatted Trip Summary'!A865</f>
        <v>13 CANTERBURY</v>
      </c>
      <c r="B867" t="str">
        <f>'Unformatted Trip Summary'!J865</f>
        <v>2022/23</v>
      </c>
      <c r="C867" t="str">
        <f>'Unformatted Trip Summary'!I865</f>
        <v>Cyclist</v>
      </c>
      <c r="D867">
        <f>'Unformatted Trip Summary'!D865</f>
        <v>335</v>
      </c>
      <c r="E867">
        <f>'Unformatted Trip Summary'!E865</f>
        <v>1282</v>
      </c>
      <c r="F867" s="1">
        <f>'Unformatted Trip Summary'!F865</f>
        <v>25.42587597</v>
      </c>
      <c r="G867" s="1">
        <f>'Unformatted Trip Summary'!G865</f>
        <v>108.69247494</v>
      </c>
      <c r="H867" s="1">
        <f>'Unformatted Trip Summary'!H865</f>
        <v>7.9296589745999997</v>
      </c>
    </row>
    <row r="868" spans="1:8" x14ac:dyDescent="0.25">
      <c r="A868" t="str">
        <f>'Unformatted Trip Summary'!A866</f>
        <v>13 CANTERBURY</v>
      </c>
      <c r="B868" t="str">
        <f>'Unformatted Trip Summary'!J866</f>
        <v>2027/28</v>
      </c>
      <c r="C868" t="str">
        <f>'Unformatted Trip Summary'!I866</f>
        <v>Cyclist</v>
      </c>
      <c r="D868">
        <f>'Unformatted Trip Summary'!D866</f>
        <v>335</v>
      </c>
      <c r="E868">
        <f>'Unformatted Trip Summary'!E866</f>
        <v>1282</v>
      </c>
      <c r="F868" s="1">
        <f>'Unformatted Trip Summary'!F866</f>
        <v>25.220827229000001</v>
      </c>
      <c r="G868" s="1">
        <f>'Unformatted Trip Summary'!G866</f>
        <v>109.40569431999999</v>
      </c>
      <c r="H868" s="1">
        <f>'Unformatted Trip Summary'!H866</f>
        <v>7.9263498508000003</v>
      </c>
    </row>
    <row r="869" spans="1:8" x14ac:dyDescent="0.25">
      <c r="A869" t="str">
        <f>'Unformatted Trip Summary'!A867</f>
        <v>13 CANTERBURY</v>
      </c>
      <c r="B869" t="str">
        <f>'Unformatted Trip Summary'!J867</f>
        <v>2032/33</v>
      </c>
      <c r="C869" t="str">
        <f>'Unformatted Trip Summary'!I867</f>
        <v>Cyclist</v>
      </c>
      <c r="D869">
        <f>'Unformatted Trip Summary'!D867</f>
        <v>335</v>
      </c>
      <c r="E869">
        <f>'Unformatted Trip Summary'!E867</f>
        <v>1282</v>
      </c>
      <c r="F869" s="1">
        <f>'Unformatted Trip Summary'!F867</f>
        <v>25.083951463999998</v>
      </c>
      <c r="G869" s="1">
        <f>'Unformatted Trip Summary'!G867</f>
        <v>111.35267871000001</v>
      </c>
      <c r="H869" s="1">
        <f>'Unformatted Trip Summary'!H867</f>
        <v>7.9811847995000003</v>
      </c>
    </row>
    <row r="870" spans="1:8" x14ac:dyDescent="0.25">
      <c r="A870" t="str">
        <f>'Unformatted Trip Summary'!A868</f>
        <v>13 CANTERBURY</v>
      </c>
      <c r="B870" t="str">
        <f>'Unformatted Trip Summary'!J868</f>
        <v>2037/38</v>
      </c>
      <c r="C870" t="str">
        <f>'Unformatted Trip Summary'!I868</f>
        <v>Cyclist</v>
      </c>
      <c r="D870">
        <f>'Unformatted Trip Summary'!D868</f>
        <v>335</v>
      </c>
      <c r="E870">
        <f>'Unformatted Trip Summary'!E868</f>
        <v>1282</v>
      </c>
      <c r="F870" s="1">
        <f>'Unformatted Trip Summary'!F868</f>
        <v>24.806932477</v>
      </c>
      <c r="G870" s="1">
        <f>'Unformatted Trip Summary'!G868</f>
        <v>114.47612672</v>
      </c>
      <c r="H870" s="1">
        <f>'Unformatted Trip Summary'!H868</f>
        <v>8.0739824757999994</v>
      </c>
    </row>
    <row r="871" spans="1:8" x14ac:dyDescent="0.25">
      <c r="A871" t="str">
        <f>'Unformatted Trip Summary'!A869</f>
        <v>13 CANTERBURY</v>
      </c>
      <c r="B871" t="str">
        <f>'Unformatted Trip Summary'!J869</f>
        <v>2042/43</v>
      </c>
      <c r="C871" t="str">
        <f>'Unformatted Trip Summary'!I869</f>
        <v>Cyclist</v>
      </c>
      <c r="D871">
        <f>'Unformatted Trip Summary'!D869</f>
        <v>335</v>
      </c>
      <c r="E871">
        <f>'Unformatted Trip Summary'!E869</f>
        <v>1282</v>
      </c>
      <c r="F871" s="1">
        <f>'Unformatted Trip Summary'!F869</f>
        <v>24.561853533000001</v>
      </c>
      <c r="G871" s="1">
        <f>'Unformatted Trip Summary'!G869</f>
        <v>117.86646498</v>
      </c>
      <c r="H871" s="1">
        <f>'Unformatted Trip Summary'!H869</f>
        <v>8.1826118609999998</v>
      </c>
    </row>
    <row r="872" spans="1:8" x14ac:dyDescent="0.25">
      <c r="A872" t="str">
        <f>'Unformatted Trip Summary'!A870</f>
        <v>13 CANTERBURY</v>
      </c>
      <c r="B872" t="str">
        <f>'Unformatted Trip Summary'!J870</f>
        <v>2012/13</v>
      </c>
      <c r="C872" t="str">
        <f>'Unformatted Trip Summary'!I870</f>
        <v>Light Vehicle Driver</v>
      </c>
      <c r="D872">
        <f>'Unformatted Trip Summary'!D870</f>
        <v>3326</v>
      </c>
      <c r="E872">
        <f>'Unformatted Trip Summary'!E870</f>
        <v>23816</v>
      </c>
      <c r="F872" s="1">
        <f>'Unformatted Trip Summary'!F870</f>
        <v>417.41567177000002</v>
      </c>
      <c r="G872" s="1">
        <f>'Unformatted Trip Summary'!G870</f>
        <v>3777.041205</v>
      </c>
      <c r="H872" s="1">
        <f>'Unformatted Trip Summary'!H870</f>
        <v>111.06814274</v>
      </c>
    </row>
    <row r="873" spans="1:8" x14ac:dyDescent="0.25">
      <c r="A873" t="str">
        <f>'Unformatted Trip Summary'!A871</f>
        <v>13 CANTERBURY</v>
      </c>
      <c r="B873" t="str">
        <f>'Unformatted Trip Summary'!J871</f>
        <v>2017/18</v>
      </c>
      <c r="C873" t="str">
        <f>'Unformatted Trip Summary'!I871</f>
        <v>Light Vehicle Driver</v>
      </c>
      <c r="D873">
        <f>'Unformatted Trip Summary'!D871</f>
        <v>3326</v>
      </c>
      <c r="E873">
        <f>'Unformatted Trip Summary'!E871</f>
        <v>23816</v>
      </c>
      <c r="F873" s="1">
        <f>'Unformatted Trip Summary'!F871</f>
        <v>456.88618625999999</v>
      </c>
      <c r="G873" s="1">
        <f>'Unformatted Trip Summary'!G871</f>
        <v>4183.1327351</v>
      </c>
      <c r="H873" s="1">
        <f>'Unformatted Trip Summary'!H871</f>
        <v>122.72302619</v>
      </c>
    </row>
    <row r="874" spans="1:8" x14ac:dyDescent="0.25">
      <c r="A874" t="str">
        <f>'Unformatted Trip Summary'!A872</f>
        <v>13 CANTERBURY</v>
      </c>
      <c r="B874" t="str">
        <f>'Unformatted Trip Summary'!J872</f>
        <v>2022/23</v>
      </c>
      <c r="C874" t="str">
        <f>'Unformatted Trip Summary'!I872</f>
        <v>Light Vehicle Driver</v>
      </c>
      <c r="D874">
        <f>'Unformatted Trip Summary'!D872</f>
        <v>3326</v>
      </c>
      <c r="E874">
        <f>'Unformatted Trip Summary'!E872</f>
        <v>23816</v>
      </c>
      <c r="F874" s="1">
        <f>'Unformatted Trip Summary'!F872</f>
        <v>476.23280511000002</v>
      </c>
      <c r="G874" s="1">
        <f>'Unformatted Trip Summary'!G872</f>
        <v>4373.4417552000004</v>
      </c>
      <c r="H874" s="1">
        <f>'Unformatted Trip Summary'!H872</f>
        <v>128.30051982000001</v>
      </c>
    </row>
    <row r="875" spans="1:8" x14ac:dyDescent="0.25">
      <c r="A875" t="str">
        <f>'Unformatted Trip Summary'!A873</f>
        <v>13 CANTERBURY</v>
      </c>
      <c r="B875" t="str">
        <f>'Unformatted Trip Summary'!J873</f>
        <v>2027/28</v>
      </c>
      <c r="C875" t="str">
        <f>'Unformatted Trip Summary'!I873</f>
        <v>Light Vehicle Driver</v>
      </c>
      <c r="D875">
        <f>'Unformatted Trip Summary'!D873</f>
        <v>3326</v>
      </c>
      <c r="E875">
        <f>'Unformatted Trip Summary'!E873</f>
        <v>23816</v>
      </c>
      <c r="F875" s="1">
        <f>'Unformatted Trip Summary'!F873</f>
        <v>499.14627985999999</v>
      </c>
      <c r="G875" s="1">
        <f>'Unformatted Trip Summary'!G873</f>
        <v>4590.1699712999998</v>
      </c>
      <c r="H875" s="1">
        <f>'Unformatted Trip Summary'!H873</f>
        <v>134.54109561999999</v>
      </c>
    </row>
    <row r="876" spans="1:8" x14ac:dyDescent="0.25">
      <c r="A876" t="str">
        <f>'Unformatted Trip Summary'!A874</f>
        <v>13 CANTERBURY</v>
      </c>
      <c r="B876" t="str">
        <f>'Unformatted Trip Summary'!J874</f>
        <v>2032/33</v>
      </c>
      <c r="C876" t="str">
        <f>'Unformatted Trip Summary'!I874</f>
        <v>Light Vehicle Driver</v>
      </c>
      <c r="D876">
        <f>'Unformatted Trip Summary'!D874</f>
        <v>3326</v>
      </c>
      <c r="E876">
        <f>'Unformatted Trip Summary'!E874</f>
        <v>23816</v>
      </c>
      <c r="F876" s="1">
        <f>'Unformatted Trip Summary'!F874</f>
        <v>519.51235643999996</v>
      </c>
      <c r="G876" s="1">
        <f>'Unformatted Trip Summary'!G874</f>
        <v>4788.8704564999998</v>
      </c>
      <c r="H876" s="1">
        <f>'Unformatted Trip Summary'!H874</f>
        <v>140.26407354</v>
      </c>
    </row>
    <row r="877" spans="1:8" x14ac:dyDescent="0.25">
      <c r="A877" t="str">
        <f>'Unformatted Trip Summary'!A875</f>
        <v>13 CANTERBURY</v>
      </c>
      <c r="B877" t="str">
        <f>'Unformatted Trip Summary'!J875</f>
        <v>2037/38</v>
      </c>
      <c r="C877" t="str">
        <f>'Unformatted Trip Summary'!I875</f>
        <v>Light Vehicle Driver</v>
      </c>
      <c r="D877">
        <f>'Unformatted Trip Summary'!D875</f>
        <v>3326</v>
      </c>
      <c r="E877">
        <f>'Unformatted Trip Summary'!E875</f>
        <v>23816</v>
      </c>
      <c r="F877" s="1">
        <f>'Unformatted Trip Summary'!F875</f>
        <v>532.90488145999996</v>
      </c>
      <c r="G877" s="1">
        <f>'Unformatted Trip Summary'!G875</f>
        <v>4927.6012693000002</v>
      </c>
      <c r="H877" s="1">
        <f>'Unformatted Trip Summary'!H875</f>
        <v>144.25808574000001</v>
      </c>
    </row>
    <row r="878" spans="1:8" x14ac:dyDescent="0.25">
      <c r="A878" t="str">
        <f>'Unformatted Trip Summary'!A876</f>
        <v>13 CANTERBURY</v>
      </c>
      <c r="B878" t="str">
        <f>'Unformatted Trip Summary'!J876</f>
        <v>2042/43</v>
      </c>
      <c r="C878" t="str">
        <f>'Unformatted Trip Summary'!I876</f>
        <v>Light Vehicle Driver</v>
      </c>
      <c r="D878">
        <f>'Unformatted Trip Summary'!D876</f>
        <v>3326</v>
      </c>
      <c r="E878">
        <f>'Unformatted Trip Summary'!E876</f>
        <v>23816</v>
      </c>
      <c r="F878" s="1">
        <f>'Unformatted Trip Summary'!F876</f>
        <v>544.09149822999996</v>
      </c>
      <c r="G878" s="1">
        <f>'Unformatted Trip Summary'!G876</f>
        <v>5047.0858925000002</v>
      </c>
      <c r="H878" s="1">
        <f>'Unformatted Trip Summary'!H876</f>
        <v>147.69919095</v>
      </c>
    </row>
    <row r="879" spans="1:8" x14ac:dyDescent="0.25">
      <c r="A879" t="str">
        <f>'Unformatted Trip Summary'!A877</f>
        <v>13 CANTERBURY</v>
      </c>
      <c r="B879" t="str">
        <f>'Unformatted Trip Summary'!J877</f>
        <v>2012/13</v>
      </c>
      <c r="C879" t="str">
        <f>'Unformatted Trip Summary'!I877</f>
        <v>Light Vehicle Passenger</v>
      </c>
      <c r="D879">
        <f>'Unformatted Trip Summary'!D877</f>
        <v>2416</v>
      </c>
      <c r="E879">
        <f>'Unformatted Trip Summary'!E877</f>
        <v>11025</v>
      </c>
      <c r="F879" s="1">
        <f>'Unformatted Trip Summary'!F877</f>
        <v>189.77500577999999</v>
      </c>
      <c r="G879" s="1">
        <f>'Unformatted Trip Summary'!G877</f>
        <v>2033.7115475000001</v>
      </c>
      <c r="H879" s="1">
        <f>'Unformatted Trip Summary'!H877</f>
        <v>53.544276449999998</v>
      </c>
    </row>
    <row r="880" spans="1:8" x14ac:dyDescent="0.25">
      <c r="A880" t="str">
        <f>'Unformatted Trip Summary'!A878</f>
        <v>13 CANTERBURY</v>
      </c>
      <c r="B880" t="str">
        <f>'Unformatted Trip Summary'!J878</f>
        <v>2017/18</v>
      </c>
      <c r="C880" t="str">
        <f>'Unformatted Trip Summary'!I878</f>
        <v>Light Vehicle Passenger</v>
      </c>
      <c r="D880">
        <f>'Unformatted Trip Summary'!D878</f>
        <v>2416</v>
      </c>
      <c r="E880">
        <f>'Unformatted Trip Summary'!E878</f>
        <v>11025</v>
      </c>
      <c r="F880" s="1">
        <f>'Unformatted Trip Summary'!F878</f>
        <v>196.69660003000001</v>
      </c>
      <c r="G880" s="1">
        <f>'Unformatted Trip Summary'!G878</f>
        <v>2140.1258689000001</v>
      </c>
      <c r="H880" s="1">
        <f>'Unformatted Trip Summary'!H878</f>
        <v>56.016323798000002</v>
      </c>
    </row>
    <row r="881" spans="1:8" x14ac:dyDescent="0.25">
      <c r="A881" t="str">
        <f>'Unformatted Trip Summary'!A879</f>
        <v>13 CANTERBURY</v>
      </c>
      <c r="B881" t="str">
        <f>'Unformatted Trip Summary'!J879</f>
        <v>2022/23</v>
      </c>
      <c r="C881" t="str">
        <f>'Unformatted Trip Summary'!I879</f>
        <v>Light Vehicle Passenger</v>
      </c>
      <c r="D881">
        <f>'Unformatted Trip Summary'!D879</f>
        <v>2416</v>
      </c>
      <c r="E881">
        <f>'Unformatted Trip Summary'!E879</f>
        <v>11025</v>
      </c>
      <c r="F881" s="1">
        <f>'Unformatted Trip Summary'!F879</f>
        <v>197.82385070000001</v>
      </c>
      <c r="G881" s="1">
        <f>'Unformatted Trip Summary'!G879</f>
        <v>2176.4917810000002</v>
      </c>
      <c r="H881" s="1">
        <f>'Unformatted Trip Summary'!H879</f>
        <v>56.70104044</v>
      </c>
    </row>
    <row r="882" spans="1:8" x14ac:dyDescent="0.25">
      <c r="A882" t="str">
        <f>'Unformatted Trip Summary'!A880</f>
        <v>13 CANTERBURY</v>
      </c>
      <c r="B882" t="str">
        <f>'Unformatted Trip Summary'!J880</f>
        <v>2027/28</v>
      </c>
      <c r="C882" t="str">
        <f>'Unformatted Trip Summary'!I880</f>
        <v>Light Vehicle Passenger</v>
      </c>
      <c r="D882">
        <f>'Unformatted Trip Summary'!D880</f>
        <v>2416</v>
      </c>
      <c r="E882">
        <f>'Unformatted Trip Summary'!E880</f>
        <v>11025</v>
      </c>
      <c r="F882" s="1">
        <f>'Unformatted Trip Summary'!F880</f>
        <v>200.41244144000001</v>
      </c>
      <c r="G882" s="1">
        <f>'Unformatted Trip Summary'!G880</f>
        <v>2237.9710503000001</v>
      </c>
      <c r="H882" s="1">
        <f>'Unformatted Trip Summary'!H880</f>
        <v>57.862792802000001</v>
      </c>
    </row>
    <row r="883" spans="1:8" x14ac:dyDescent="0.25">
      <c r="A883" t="str">
        <f>'Unformatted Trip Summary'!A881</f>
        <v>13 CANTERBURY</v>
      </c>
      <c r="B883" t="str">
        <f>'Unformatted Trip Summary'!J881</f>
        <v>2032/33</v>
      </c>
      <c r="C883" t="str">
        <f>'Unformatted Trip Summary'!I881</f>
        <v>Light Vehicle Passenger</v>
      </c>
      <c r="D883">
        <f>'Unformatted Trip Summary'!D881</f>
        <v>2416</v>
      </c>
      <c r="E883">
        <f>'Unformatted Trip Summary'!E881</f>
        <v>11025</v>
      </c>
      <c r="F883" s="1">
        <f>'Unformatted Trip Summary'!F881</f>
        <v>202.04019518000001</v>
      </c>
      <c r="G883" s="1">
        <f>'Unformatted Trip Summary'!G881</f>
        <v>2286.4231782000002</v>
      </c>
      <c r="H883" s="1">
        <f>'Unformatted Trip Summary'!H881</f>
        <v>58.729080967000002</v>
      </c>
    </row>
    <row r="884" spans="1:8" x14ac:dyDescent="0.25">
      <c r="A884" t="str">
        <f>'Unformatted Trip Summary'!A882</f>
        <v>13 CANTERBURY</v>
      </c>
      <c r="B884" t="str">
        <f>'Unformatted Trip Summary'!J882</f>
        <v>2037/38</v>
      </c>
      <c r="C884" t="str">
        <f>'Unformatted Trip Summary'!I882</f>
        <v>Light Vehicle Passenger</v>
      </c>
      <c r="D884">
        <f>'Unformatted Trip Summary'!D882</f>
        <v>2416</v>
      </c>
      <c r="E884">
        <f>'Unformatted Trip Summary'!E882</f>
        <v>11025</v>
      </c>
      <c r="F884" s="1">
        <f>'Unformatted Trip Summary'!F882</f>
        <v>203.03009499999999</v>
      </c>
      <c r="G884" s="1">
        <f>'Unformatted Trip Summary'!G882</f>
        <v>2323.0310897999998</v>
      </c>
      <c r="H884" s="1">
        <f>'Unformatted Trip Summary'!H882</f>
        <v>59.387033621</v>
      </c>
    </row>
    <row r="885" spans="1:8" x14ac:dyDescent="0.25">
      <c r="A885" t="str">
        <f>'Unformatted Trip Summary'!A883</f>
        <v>13 CANTERBURY</v>
      </c>
      <c r="B885" t="str">
        <f>'Unformatted Trip Summary'!J883</f>
        <v>2042/43</v>
      </c>
      <c r="C885" t="str">
        <f>'Unformatted Trip Summary'!I883</f>
        <v>Light Vehicle Passenger</v>
      </c>
      <c r="D885">
        <f>'Unformatted Trip Summary'!D883</f>
        <v>2416</v>
      </c>
      <c r="E885">
        <f>'Unformatted Trip Summary'!E883</f>
        <v>11025</v>
      </c>
      <c r="F885" s="1">
        <f>'Unformatted Trip Summary'!F883</f>
        <v>203.08168089</v>
      </c>
      <c r="G885" s="1">
        <f>'Unformatted Trip Summary'!G883</f>
        <v>2349.2401129</v>
      </c>
      <c r="H885" s="1">
        <f>'Unformatted Trip Summary'!H883</f>
        <v>59.785038673999999</v>
      </c>
    </row>
    <row r="886" spans="1:8" x14ac:dyDescent="0.25">
      <c r="A886" t="str">
        <f>'Unformatted Trip Summary'!A884</f>
        <v>13 CANTERBURY</v>
      </c>
      <c r="B886" t="str">
        <f>'Unformatted Trip Summary'!J884</f>
        <v>2012/13</v>
      </c>
      <c r="C886" t="str">
        <f>'Unformatted Trip Summary'!I884</f>
        <v>Taxi/Vehicle Share</v>
      </c>
      <c r="D886">
        <f>'Unformatted Trip Summary'!D884</f>
        <v>68</v>
      </c>
      <c r="E886">
        <f>'Unformatted Trip Summary'!E884</f>
        <v>116</v>
      </c>
      <c r="F886" s="1">
        <f>'Unformatted Trip Summary'!F884</f>
        <v>2.2446435044999999</v>
      </c>
      <c r="G886" s="1">
        <f>'Unformatted Trip Summary'!G884</f>
        <v>16.530142167000001</v>
      </c>
      <c r="H886" s="1">
        <f>'Unformatted Trip Summary'!H884</f>
        <v>0.86554787379999998</v>
      </c>
    </row>
    <row r="887" spans="1:8" x14ac:dyDescent="0.25">
      <c r="A887" t="str">
        <f>'Unformatted Trip Summary'!A885</f>
        <v>13 CANTERBURY</v>
      </c>
      <c r="B887" t="str">
        <f>'Unformatted Trip Summary'!J885</f>
        <v>2017/18</v>
      </c>
      <c r="C887" t="str">
        <f>'Unformatted Trip Summary'!I885</f>
        <v>Taxi/Vehicle Share</v>
      </c>
      <c r="D887">
        <f>'Unformatted Trip Summary'!D885</f>
        <v>68</v>
      </c>
      <c r="E887">
        <f>'Unformatted Trip Summary'!E885</f>
        <v>116</v>
      </c>
      <c r="F887" s="1">
        <f>'Unformatted Trip Summary'!F885</f>
        <v>2.4513720858000001</v>
      </c>
      <c r="G887" s="1">
        <f>'Unformatted Trip Summary'!G885</f>
        <v>18.72563229</v>
      </c>
      <c r="H887" s="1">
        <f>'Unformatted Trip Summary'!H885</f>
        <v>0.95403280580000005</v>
      </c>
    </row>
    <row r="888" spans="1:8" x14ac:dyDescent="0.25">
      <c r="A888" t="str">
        <f>'Unformatted Trip Summary'!A886</f>
        <v>13 CANTERBURY</v>
      </c>
      <c r="B888" t="str">
        <f>'Unformatted Trip Summary'!J886</f>
        <v>2022/23</v>
      </c>
      <c r="C888" t="str">
        <f>'Unformatted Trip Summary'!I886</f>
        <v>Taxi/Vehicle Share</v>
      </c>
      <c r="D888">
        <f>'Unformatted Trip Summary'!D886</f>
        <v>68</v>
      </c>
      <c r="E888">
        <f>'Unformatted Trip Summary'!E886</f>
        <v>116</v>
      </c>
      <c r="F888" s="1">
        <f>'Unformatted Trip Summary'!F886</f>
        <v>2.5487065212000002</v>
      </c>
      <c r="G888" s="1">
        <f>'Unformatted Trip Summary'!G886</f>
        <v>19.857974495000001</v>
      </c>
      <c r="H888" s="1">
        <f>'Unformatted Trip Summary'!H886</f>
        <v>0.99633355749999997</v>
      </c>
    </row>
    <row r="889" spans="1:8" x14ac:dyDescent="0.25">
      <c r="A889" t="str">
        <f>'Unformatted Trip Summary'!A887</f>
        <v>13 CANTERBURY</v>
      </c>
      <c r="B889" t="str">
        <f>'Unformatted Trip Summary'!J887</f>
        <v>2027/28</v>
      </c>
      <c r="C889" t="str">
        <f>'Unformatted Trip Summary'!I887</f>
        <v>Taxi/Vehicle Share</v>
      </c>
      <c r="D889">
        <f>'Unformatted Trip Summary'!D887</f>
        <v>68</v>
      </c>
      <c r="E889">
        <f>'Unformatted Trip Summary'!E887</f>
        <v>116</v>
      </c>
      <c r="F889" s="1">
        <f>'Unformatted Trip Summary'!F887</f>
        <v>2.6171188869000002</v>
      </c>
      <c r="G889" s="1">
        <f>'Unformatted Trip Summary'!G887</f>
        <v>20.595019342000001</v>
      </c>
      <c r="H889" s="1">
        <f>'Unformatted Trip Summary'!H887</f>
        <v>1.0318682409</v>
      </c>
    </row>
    <row r="890" spans="1:8" x14ac:dyDescent="0.25">
      <c r="A890" t="str">
        <f>'Unformatted Trip Summary'!A888</f>
        <v>13 CANTERBURY</v>
      </c>
      <c r="B890" t="str">
        <f>'Unformatted Trip Summary'!J888</f>
        <v>2032/33</v>
      </c>
      <c r="C890" t="str">
        <f>'Unformatted Trip Summary'!I888</f>
        <v>Taxi/Vehicle Share</v>
      </c>
      <c r="D890">
        <f>'Unformatted Trip Summary'!D888</f>
        <v>68</v>
      </c>
      <c r="E890">
        <f>'Unformatted Trip Summary'!E888</f>
        <v>116</v>
      </c>
      <c r="F890" s="1">
        <f>'Unformatted Trip Summary'!F888</f>
        <v>2.6804354780000001</v>
      </c>
      <c r="G890" s="1">
        <f>'Unformatted Trip Summary'!G888</f>
        <v>21.343412953000001</v>
      </c>
      <c r="H890" s="1">
        <f>'Unformatted Trip Summary'!H888</f>
        <v>1.0695799653</v>
      </c>
    </row>
    <row r="891" spans="1:8" x14ac:dyDescent="0.25">
      <c r="A891" t="str">
        <f>'Unformatted Trip Summary'!A889</f>
        <v>13 CANTERBURY</v>
      </c>
      <c r="B891" t="str">
        <f>'Unformatted Trip Summary'!J889</f>
        <v>2037/38</v>
      </c>
      <c r="C891" t="str">
        <f>'Unformatted Trip Summary'!I889</f>
        <v>Taxi/Vehicle Share</v>
      </c>
      <c r="D891">
        <f>'Unformatted Trip Summary'!D889</f>
        <v>68</v>
      </c>
      <c r="E891">
        <f>'Unformatted Trip Summary'!E889</f>
        <v>116</v>
      </c>
      <c r="F891" s="1">
        <f>'Unformatted Trip Summary'!F889</f>
        <v>2.6883079357000002</v>
      </c>
      <c r="G891" s="1">
        <f>'Unformatted Trip Summary'!G889</f>
        <v>21.799716954000001</v>
      </c>
      <c r="H891" s="1">
        <f>'Unformatted Trip Summary'!H889</f>
        <v>1.0783943313</v>
      </c>
    </row>
    <row r="892" spans="1:8" x14ac:dyDescent="0.25">
      <c r="A892" t="str">
        <f>'Unformatted Trip Summary'!A890</f>
        <v>13 CANTERBURY</v>
      </c>
      <c r="B892" t="str">
        <f>'Unformatted Trip Summary'!J890</f>
        <v>2042/43</v>
      </c>
      <c r="C892" t="str">
        <f>'Unformatted Trip Summary'!I890</f>
        <v>Taxi/Vehicle Share</v>
      </c>
      <c r="D892">
        <f>'Unformatted Trip Summary'!D890</f>
        <v>68</v>
      </c>
      <c r="E892">
        <f>'Unformatted Trip Summary'!E890</f>
        <v>116</v>
      </c>
      <c r="F892" s="1">
        <f>'Unformatted Trip Summary'!F890</f>
        <v>2.6795537845999999</v>
      </c>
      <c r="G892" s="1">
        <f>'Unformatted Trip Summary'!G890</f>
        <v>22.132784133000001</v>
      </c>
      <c r="H892" s="1">
        <f>'Unformatted Trip Summary'!H890</f>
        <v>1.0758449926</v>
      </c>
    </row>
    <row r="893" spans="1:8" x14ac:dyDescent="0.25">
      <c r="A893" t="str">
        <f>'Unformatted Trip Summary'!A891</f>
        <v>13 CANTERBURY</v>
      </c>
      <c r="B893" t="str">
        <f>'Unformatted Trip Summary'!J891</f>
        <v>2012/13</v>
      </c>
      <c r="C893" t="str">
        <f>'Unformatted Trip Summary'!I891</f>
        <v>Motorcyclist</v>
      </c>
      <c r="D893">
        <f>'Unformatted Trip Summary'!D891</f>
        <v>29</v>
      </c>
      <c r="E893">
        <f>'Unformatted Trip Summary'!E891</f>
        <v>91</v>
      </c>
      <c r="F893" s="1">
        <f>'Unformatted Trip Summary'!F891</f>
        <v>1.4451657518000001</v>
      </c>
      <c r="G893" s="1">
        <f>'Unformatted Trip Summary'!G891</f>
        <v>12.048552727000001</v>
      </c>
      <c r="H893" s="1">
        <f>'Unformatted Trip Summary'!H891</f>
        <v>0.39288238580000001</v>
      </c>
    </row>
    <row r="894" spans="1:8" x14ac:dyDescent="0.25">
      <c r="A894" t="str">
        <f>'Unformatted Trip Summary'!A892</f>
        <v>13 CANTERBURY</v>
      </c>
      <c r="B894" t="str">
        <f>'Unformatted Trip Summary'!J892</f>
        <v>2017/18</v>
      </c>
      <c r="C894" t="str">
        <f>'Unformatted Trip Summary'!I892</f>
        <v>Motorcyclist</v>
      </c>
      <c r="D894">
        <f>'Unformatted Trip Summary'!D892</f>
        <v>29</v>
      </c>
      <c r="E894">
        <f>'Unformatted Trip Summary'!E892</f>
        <v>91</v>
      </c>
      <c r="F894" s="1">
        <f>'Unformatted Trip Summary'!F892</f>
        <v>1.5664429900000001</v>
      </c>
      <c r="G894" s="1">
        <f>'Unformatted Trip Summary'!G892</f>
        <v>12.746930331</v>
      </c>
      <c r="H894" s="1">
        <f>'Unformatted Trip Summary'!H892</f>
        <v>0.42296851670000002</v>
      </c>
    </row>
    <row r="895" spans="1:8" x14ac:dyDescent="0.25">
      <c r="A895" t="str">
        <f>'Unformatted Trip Summary'!A893</f>
        <v>13 CANTERBURY</v>
      </c>
      <c r="B895" t="str">
        <f>'Unformatted Trip Summary'!J893</f>
        <v>2022/23</v>
      </c>
      <c r="C895" t="str">
        <f>'Unformatted Trip Summary'!I893</f>
        <v>Motorcyclist</v>
      </c>
      <c r="D895">
        <f>'Unformatted Trip Summary'!D893</f>
        <v>29</v>
      </c>
      <c r="E895">
        <f>'Unformatted Trip Summary'!E893</f>
        <v>91</v>
      </c>
      <c r="F895" s="1">
        <f>'Unformatted Trip Summary'!F893</f>
        <v>1.5804710229000001</v>
      </c>
      <c r="G895" s="1">
        <f>'Unformatted Trip Summary'!G893</f>
        <v>12.75056536</v>
      </c>
      <c r="H895" s="1">
        <f>'Unformatted Trip Summary'!H893</f>
        <v>0.4291402554</v>
      </c>
    </row>
    <row r="896" spans="1:8" x14ac:dyDescent="0.25">
      <c r="A896" t="str">
        <f>'Unformatted Trip Summary'!A894</f>
        <v>13 CANTERBURY</v>
      </c>
      <c r="B896" t="str">
        <f>'Unformatted Trip Summary'!J894</f>
        <v>2027/28</v>
      </c>
      <c r="C896" t="str">
        <f>'Unformatted Trip Summary'!I894</f>
        <v>Motorcyclist</v>
      </c>
      <c r="D896">
        <f>'Unformatted Trip Summary'!D894</f>
        <v>29</v>
      </c>
      <c r="E896">
        <f>'Unformatted Trip Summary'!E894</f>
        <v>91</v>
      </c>
      <c r="F896" s="1">
        <f>'Unformatted Trip Summary'!F894</f>
        <v>1.5938945508</v>
      </c>
      <c r="G896" s="1">
        <f>'Unformatted Trip Summary'!G894</f>
        <v>12.782206131000001</v>
      </c>
      <c r="H896" s="1">
        <f>'Unformatted Trip Summary'!H894</f>
        <v>0.43696345250000002</v>
      </c>
    </row>
    <row r="897" spans="1:8" x14ac:dyDescent="0.25">
      <c r="A897" t="str">
        <f>'Unformatted Trip Summary'!A895</f>
        <v>13 CANTERBURY</v>
      </c>
      <c r="B897" t="str">
        <f>'Unformatted Trip Summary'!J895</f>
        <v>2032/33</v>
      </c>
      <c r="C897" t="str">
        <f>'Unformatted Trip Summary'!I895</f>
        <v>Motorcyclist</v>
      </c>
      <c r="D897">
        <f>'Unformatted Trip Summary'!D895</f>
        <v>29</v>
      </c>
      <c r="E897">
        <f>'Unformatted Trip Summary'!E895</f>
        <v>91</v>
      </c>
      <c r="F897" s="1">
        <f>'Unformatted Trip Summary'!F895</f>
        <v>1.6165467195000001</v>
      </c>
      <c r="G897" s="1">
        <f>'Unformatted Trip Summary'!G895</f>
        <v>13.153218643000001</v>
      </c>
      <c r="H897" s="1">
        <f>'Unformatted Trip Summary'!H895</f>
        <v>0.45144591319999999</v>
      </c>
    </row>
    <row r="898" spans="1:8" x14ac:dyDescent="0.25">
      <c r="A898" t="str">
        <f>'Unformatted Trip Summary'!A896</f>
        <v>13 CANTERBURY</v>
      </c>
      <c r="B898" t="str">
        <f>'Unformatted Trip Summary'!J896</f>
        <v>2037/38</v>
      </c>
      <c r="C898" t="str">
        <f>'Unformatted Trip Summary'!I896</f>
        <v>Motorcyclist</v>
      </c>
      <c r="D898">
        <f>'Unformatted Trip Summary'!D896</f>
        <v>29</v>
      </c>
      <c r="E898">
        <f>'Unformatted Trip Summary'!E896</f>
        <v>91</v>
      </c>
      <c r="F898" s="1">
        <f>'Unformatted Trip Summary'!F896</f>
        <v>1.67534143</v>
      </c>
      <c r="G898" s="1">
        <f>'Unformatted Trip Summary'!G896</f>
        <v>13.865822413</v>
      </c>
      <c r="H898" s="1">
        <f>'Unformatted Trip Summary'!H896</f>
        <v>0.47812873760000002</v>
      </c>
    </row>
    <row r="899" spans="1:8" x14ac:dyDescent="0.25">
      <c r="A899" t="str">
        <f>'Unformatted Trip Summary'!A897</f>
        <v>13 CANTERBURY</v>
      </c>
      <c r="B899" t="str">
        <f>'Unformatted Trip Summary'!J897</f>
        <v>2042/43</v>
      </c>
      <c r="C899" t="str">
        <f>'Unformatted Trip Summary'!I897</f>
        <v>Motorcyclist</v>
      </c>
      <c r="D899">
        <f>'Unformatted Trip Summary'!D897</f>
        <v>29</v>
      </c>
      <c r="E899">
        <f>'Unformatted Trip Summary'!E897</f>
        <v>91</v>
      </c>
      <c r="F899" s="1">
        <f>'Unformatted Trip Summary'!F897</f>
        <v>1.7244187016000001</v>
      </c>
      <c r="G899" s="1">
        <f>'Unformatted Trip Summary'!G897</f>
        <v>14.469892945</v>
      </c>
      <c r="H899" s="1">
        <f>'Unformatted Trip Summary'!H897</f>
        <v>0.50235576410000005</v>
      </c>
    </row>
    <row r="900" spans="1:8" x14ac:dyDescent="0.25">
      <c r="A900" t="str">
        <f>'Unformatted Trip Summary'!A898</f>
        <v>13 CANTERBURY</v>
      </c>
      <c r="B900" t="str">
        <f>'Unformatted Trip Summary'!J898</f>
        <v>2012/13</v>
      </c>
      <c r="C900" t="str">
        <f>'Unformatted Trip Summary'!I898</f>
        <v>Local Train</v>
      </c>
      <c r="D900">
        <f>'Unformatted Trip Summary'!D898</f>
        <v>1</v>
      </c>
      <c r="E900">
        <f>'Unformatted Trip Summary'!E898</f>
        <v>1</v>
      </c>
      <c r="F900" s="1">
        <f>'Unformatted Trip Summary'!F898</f>
        <v>2.1901243099999999E-2</v>
      </c>
      <c r="G900" s="1">
        <f>'Unformatted Trip Summary'!G898</f>
        <v>0</v>
      </c>
      <c r="H900" s="1">
        <f>'Unformatted Trip Summary'!H898</f>
        <v>7.3004144E-3</v>
      </c>
    </row>
    <row r="901" spans="1:8" x14ac:dyDescent="0.25">
      <c r="A901" t="str">
        <f>'Unformatted Trip Summary'!A899</f>
        <v>13 CANTERBURY</v>
      </c>
      <c r="B901" t="str">
        <f>'Unformatted Trip Summary'!J899</f>
        <v>2017/18</v>
      </c>
      <c r="C901" t="str">
        <f>'Unformatted Trip Summary'!I899</f>
        <v>Local Train</v>
      </c>
      <c r="D901">
        <f>'Unformatted Trip Summary'!D899</f>
        <v>1</v>
      </c>
      <c r="E901">
        <f>'Unformatted Trip Summary'!E899</f>
        <v>1</v>
      </c>
      <c r="F901" s="1">
        <f>'Unformatted Trip Summary'!F899</f>
        <v>2.1881727399999999E-2</v>
      </c>
      <c r="G901" s="1">
        <f>'Unformatted Trip Summary'!G899</f>
        <v>0</v>
      </c>
      <c r="H901" s="1">
        <f>'Unformatted Trip Summary'!H899</f>
        <v>7.2939090999999999E-3</v>
      </c>
    </row>
    <row r="902" spans="1:8" x14ac:dyDescent="0.25">
      <c r="A902" t="str">
        <f>'Unformatted Trip Summary'!A900</f>
        <v>13 CANTERBURY</v>
      </c>
      <c r="B902" t="str">
        <f>'Unformatted Trip Summary'!J900</f>
        <v>2022/23</v>
      </c>
      <c r="C902" t="str">
        <f>'Unformatted Trip Summary'!I900</f>
        <v>Local Train</v>
      </c>
      <c r="D902">
        <f>'Unformatted Trip Summary'!D900</f>
        <v>1</v>
      </c>
      <c r="E902">
        <f>'Unformatted Trip Summary'!E900</f>
        <v>1</v>
      </c>
      <c r="F902" s="1">
        <f>'Unformatted Trip Summary'!F900</f>
        <v>1.8407240299999999E-2</v>
      </c>
      <c r="G902" s="1">
        <f>'Unformatted Trip Summary'!G900</f>
        <v>0</v>
      </c>
      <c r="H902" s="1">
        <f>'Unformatted Trip Summary'!H900</f>
        <v>6.1357468000000004E-3</v>
      </c>
    </row>
    <row r="903" spans="1:8" x14ac:dyDescent="0.25">
      <c r="A903" t="str">
        <f>'Unformatted Trip Summary'!A901</f>
        <v>13 CANTERBURY</v>
      </c>
      <c r="B903" t="str">
        <f>'Unformatted Trip Summary'!J901</f>
        <v>2027/28</v>
      </c>
      <c r="C903" t="str">
        <f>'Unformatted Trip Summary'!I901</f>
        <v>Local Train</v>
      </c>
      <c r="D903">
        <f>'Unformatted Trip Summary'!D901</f>
        <v>1</v>
      </c>
      <c r="E903">
        <f>'Unformatted Trip Summary'!E901</f>
        <v>1</v>
      </c>
      <c r="F903" s="1">
        <f>'Unformatted Trip Summary'!F901</f>
        <v>1.69883797E-2</v>
      </c>
      <c r="G903" s="1">
        <f>'Unformatted Trip Summary'!G901</f>
        <v>0</v>
      </c>
      <c r="H903" s="1">
        <f>'Unformatted Trip Summary'!H901</f>
        <v>5.6627932000000002E-3</v>
      </c>
    </row>
    <row r="904" spans="1:8" x14ac:dyDescent="0.25">
      <c r="A904" t="str">
        <f>'Unformatted Trip Summary'!A902</f>
        <v>13 CANTERBURY</v>
      </c>
      <c r="B904" t="str">
        <f>'Unformatted Trip Summary'!J902</f>
        <v>2032/33</v>
      </c>
      <c r="C904" t="str">
        <f>'Unformatted Trip Summary'!I902</f>
        <v>Local Train</v>
      </c>
      <c r="D904">
        <f>'Unformatted Trip Summary'!D902</f>
        <v>1</v>
      </c>
      <c r="E904">
        <f>'Unformatted Trip Summary'!E902</f>
        <v>1</v>
      </c>
      <c r="F904" s="1">
        <f>'Unformatted Trip Summary'!F902</f>
        <v>1.5993343199999999E-2</v>
      </c>
      <c r="G904" s="1">
        <f>'Unformatted Trip Summary'!G902</f>
        <v>0</v>
      </c>
      <c r="H904" s="1">
        <f>'Unformatted Trip Summary'!H902</f>
        <v>5.3311143999999998E-3</v>
      </c>
    </row>
    <row r="905" spans="1:8" x14ac:dyDescent="0.25">
      <c r="A905" t="str">
        <f>'Unformatted Trip Summary'!A903</f>
        <v>13 CANTERBURY</v>
      </c>
      <c r="B905" t="str">
        <f>'Unformatted Trip Summary'!J903</f>
        <v>2037/38</v>
      </c>
      <c r="C905" t="str">
        <f>'Unformatted Trip Summary'!I903</f>
        <v>Local Train</v>
      </c>
      <c r="D905">
        <f>'Unformatted Trip Summary'!D903</f>
        <v>1</v>
      </c>
      <c r="E905">
        <f>'Unformatted Trip Summary'!E903</f>
        <v>1</v>
      </c>
      <c r="F905" s="1">
        <f>'Unformatted Trip Summary'!F903</f>
        <v>1.33864925E-2</v>
      </c>
      <c r="G905" s="1">
        <f>'Unformatted Trip Summary'!G903</f>
        <v>0</v>
      </c>
      <c r="H905" s="1">
        <f>'Unformatted Trip Summary'!H903</f>
        <v>4.4621642000000003E-3</v>
      </c>
    </row>
    <row r="906" spans="1:8" x14ac:dyDescent="0.25">
      <c r="A906" t="str">
        <f>'Unformatted Trip Summary'!A904</f>
        <v>13 CANTERBURY</v>
      </c>
      <c r="B906" t="str">
        <f>'Unformatted Trip Summary'!J904</f>
        <v>2042/43</v>
      </c>
      <c r="C906" t="str">
        <f>'Unformatted Trip Summary'!I904</f>
        <v>Local Train</v>
      </c>
      <c r="D906">
        <f>'Unformatted Trip Summary'!D904</f>
        <v>1</v>
      </c>
      <c r="E906">
        <f>'Unformatted Trip Summary'!E904</f>
        <v>1</v>
      </c>
      <c r="F906" s="1">
        <f>'Unformatted Trip Summary'!F904</f>
        <v>1.09840489E-2</v>
      </c>
      <c r="G906" s="1">
        <f>'Unformatted Trip Summary'!G904</f>
        <v>0</v>
      </c>
      <c r="H906" s="1">
        <f>'Unformatted Trip Summary'!H904</f>
        <v>3.6613496000000001E-3</v>
      </c>
    </row>
    <row r="907" spans="1:8" x14ac:dyDescent="0.25">
      <c r="A907" t="str">
        <f>'Unformatted Trip Summary'!A905</f>
        <v>13 CANTERBURY</v>
      </c>
      <c r="B907" t="str">
        <f>'Unformatted Trip Summary'!J905</f>
        <v>2012/13</v>
      </c>
      <c r="C907" t="str">
        <f>'Unformatted Trip Summary'!I905</f>
        <v>Local Bus</v>
      </c>
      <c r="D907">
        <f>'Unformatted Trip Summary'!D905</f>
        <v>384</v>
      </c>
      <c r="E907">
        <f>'Unformatted Trip Summary'!E905</f>
        <v>1120</v>
      </c>
      <c r="F907" s="1">
        <f>'Unformatted Trip Summary'!F905</f>
        <v>20.502079716000001</v>
      </c>
      <c r="G907" s="1">
        <f>'Unformatted Trip Summary'!G905</f>
        <v>174.53993166999999</v>
      </c>
      <c r="H907" s="1">
        <f>'Unformatted Trip Summary'!H905</f>
        <v>7.9805750329</v>
      </c>
    </row>
    <row r="908" spans="1:8" x14ac:dyDescent="0.25">
      <c r="A908" t="str">
        <f>'Unformatted Trip Summary'!A906</f>
        <v>13 CANTERBURY</v>
      </c>
      <c r="B908" t="str">
        <f>'Unformatted Trip Summary'!J906</f>
        <v>2017/18</v>
      </c>
      <c r="C908" t="str">
        <f>'Unformatted Trip Summary'!I906</f>
        <v>Local Bus</v>
      </c>
      <c r="D908">
        <f>'Unformatted Trip Summary'!D906</f>
        <v>384</v>
      </c>
      <c r="E908">
        <f>'Unformatted Trip Summary'!E906</f>
        <v>1120</v>
      </c>
      <c r="F908" s="1">
        <f>'Unformatted Trip Summary'!F906</f>
        <v>20.614719994000001</v>
      </c>
      <c r="G908" s="1">
        <f>'Unformatted Trip Summary'!G906</f>
        <v>175.21324804</v>
      </c>
      <c r="H908" s="1">
        <f>'Unformatted Trip Summary'!H906</f>
        <v>8.0130594146000007</v>
      </c>
    </row>
    <row r="909" spans="1:8" x14ac:dyDescent="0.25">
      <c r="A909" t="str">
        <f>'Unformatted Trip Summary'!A907</f>
        <v>13 CANTERBURY</v>
      </c>
      <c r="B909" t="str">
        <f>'Unformatted Trip Summary'!J907</f>
        <v>2022/23</v>
      </c>
      <c r="C909" t="str">
        <f>'Unformatted Trip Summary'!I907</f>
        <v>Local Bus</v>
      </c>
      <c r="D909">
        <f>'Unformatted Trip Summary'!D907</f>
        <v>384</v>
      </c>
      <c r="E909">
        <f>'Unformatted Trip Summary'!E907</f>
        <v>1120</v>
      </c>
      <c r="F909" s="1">
        <f>'Unformatted Trip Summary'!F907</f>
        <v>20.193307146999999</v>
      </c>
      <c r="G909" s="1">
        <f>'Unformatted Trip Summary'!G907</f>
        <v>170.81122178000001</v>
      </c>
      <c r="H909" s="1">
        <f>'Unformatted Trip Summary'!H907</f>
        <v>7.8205246438999998</v>
      </c>
    </row>
    <row r="910" spans="1:8" x14ac:dyDescent="0.25">
      <c r="A910" t="str">
        <f>'Unformatted Trip Summary'!A908</f>
        <v>13 CANTERBURY</v>
      </c>
      <c r="B910" t="str">
        <f>'Unformatted Trip Summary'!J908</f>
        <v>2027/28</v>
      </c>
      <c r="C910" t="str">
        <f>'Unformatted Trip Summary'!I908</f>
        <v>Local Bus</v>
      </c>
      <c r="D910">
        <f>'Unformatted Trip Summary'!D908</f>
        <v>384</v>
      </c>
      <c r="E910">
        <f>'Unformatted Trip Summary'!E908</f>
        <v>1120</v>
      </c>
      <c r="F910" s="1">
        <f>'Unformatted Trip Summary'!F908</f>
        <v>19.779883885</v>
      </c>
      <c r="G910" s="1">
        <f>'Unformatted Trip Summary'!G908</f>
        <v>168.83753199</v>
      </c>
      <c r="H910" s="1">
        <f>'Unformatted Trip Summary'!H908</f>
        <v>7.6642940755</v>
      </c>
    </row>
    <row r="911" spans="1:8" x14ac:dyDescent="0.25">
      <c r="A911" t="str">
        <f>'Unformatted Trip Summary'!A909</f>
        <v>13 CANTERBURY</v>
      </c>
      <c r="B911" t="str">
        <f>'Unformatted Trip Summary'!J909</f>
        <v>2032/33</v>
      </c>
      <c r="C911" t="str">
        <f>'Unformatted Trip Summary'!I909</f>
        <v>Local Bus</v>
      </c>
      <c r="D911">
        <f>'Unformatted Trip Summary'!D909</f>
        <v>384</v>
      </c>
      <c r="E911">
        <f>'Unformatted Trip Summary'!E909</f>
        <v>1120</v>
      </c>
      <c r="F911" s="1">
        <f>'Unformatted Trip Summary'!F909</f>
        <v>18.941076702</v>
      </c>
      <c r="G911" s="1">
        <f>'Unformatted Trip Summary'!G909</f>
        <v>163.14112513000001</v>
      </c>
      <c r="H911" s="1">
        <f>'Unformatted Trip Summary'!H909</f>
        <v>7.3520729450999998</v>
      </c>
    </row>
    <row r="912" spans="1:8" x14ac:dyDescent="0.25">
      <c r="A912" t="str">
        <f>'Unformatted Trip Summary'!A910</f>
        <v>13 CANTERBURY</v>
      </c>
      <c r="B912" t="str">
        <f>'Unformatted Trip Summary'!J910</f>
        <v>2037/38</v>
      </c>
      <c r="C912" t="str">
        <f>'Unformatted Trip Summary'!I910</f>
        <v>Local Bus</v>
      </c>
      <c r="D912">
        <f>'Unformatted Trip Summary'!D910</f>
        <v>384</v>
      </c>
      <c r="E912">
        <f>'Unformatted Trip Summary'!E910</f>
        <v>1120</v>
      </c>
      <c r="F912" s="1">
        <f>'Unformatted Trip Summary'!F910</f>
        <v>18.141836940000001</v>
      </c>
      <c r="G912" s="1">
        <f>'Unformatted Trip Summary'!G910</f>
        <v>157.35525977</v>
      </c>
      <c r="H912" s="1">
        <f>'Unformatted Trip Summary'!H910</f>
        <v>7.0564301036000003</v>
      </c>
    </row>
    <row r="913" spans="1:8" x14ac:dyDescent="0.25">
      <c r="A913" t="str">
        <f>'Unformatted Trip Summary'!A911</f>
        <v>13 CANTERBURY</v>
      </c>
      <c r="B913" t="str">
        <f>'Unformatted Trip Summary'!J911</f>
        <v>2042/43</v>
      </c>
      <c r="C913" t="str">
        <f>'Unformatted Trip Summary'!I911</f>
        <v>Local Bus</v>
      </c>
      <c r="D913">
        <f>'Unformatted Trip Summary'!D911</f>
        <v>384</v>
      </c>
      <c r="E913">
        <f>'Unformatted Trip Summary'!E911</f>
        <v>1120</v>
      </c>
      <c r="F913" s="1">
        <f>'Unformatted Trip Summary'!F911</f>
        <v>17.313158362999999</v>
      </c>
      <c r="G913" s="1">
        <f>'Unformatted Trip Summary'!G911</f>
        <v>151.17563518</v>
      </c>
      <c r="H913" s="1">
        <f>'Unformatted Trip Summary'!H911</f>
        <v>6.7467374597000003</v>
      </c>
    </row>
    <row r="914" spans="1:8" x14ac:dyDescent="0.25">
      <c r="A914" t="str">
        <f>'Unformatted Trip Summary'!A912</f>
        <v>13 CANTERBURY</v>
      </c>
      <c r="B914" t="str">
        <f>'Unformatted Trip Summary'!J912</f>
        <v>2012/13</v>
      </c>
      <c r="C914" t="str">
        <f>'Unformatted Trip Summary'!I912</f>
        <v>Other Household Travel</v>
      </c>
      <c r="D914">
        <f>'Unformatted Trip Summary'!D912</f>
        <v>31</v>
      </c>
      <c r="E914">
        <f>'Unformatted Trip Summary'!E912</f>
        <v>81</v>
      </c>
      <c r="F914" s="1">
        <f>'Unformatted Trip Summary'!F912</f>
        <v>1.5386198845000001</v>
      </c>
      <c r="G914" s="1">
        <f>'Unformatted Trip Summary'!G912</f>
        <v>0</v>
      </c>
      <c r="H914" s="1">
        <f>'Unformatted Trip Summary'!H912</f>
        <v>0.91635513570000005</v>
      </c>
    </row>
    <row r="915" spans="1:8" x14ac:dyDescent="0.25">
      <c r="A915" t="str">
        <f>'Unformatted Trip Summary'!A913</f>
        <v>13 CANTERBURY</v>
      </c>
      <c r="B915" t="str">
        <f>'Unformatted Trip Summary'!J913</f>
        <v>2017/18</v>
      </c>
      <c r="C915" t="str">
        <f>'Unformatted Trip Summary'!I913</f>
        <v>Other Household Travel</v>
      </c>
      <c r="D915">
        <f>'Unformatted Trip Summary'!D913</f>
        <v>31</v>
      </c>
      <c r="E915">
        <f>'Unformatted Trip Summary'!E913</f>
        <v>81</v>
      </c>
      <c r="F915" s="1">
        <f>'Unformatted Trip Summary'!F913</f>
        <v>1.6897531055999999</v>
      </c>
      <c r="G915" s="1">
        <f>'Unformatted Trip Summary'!G913</f>
        <v>0</v>
      </c>
      <c r="H915" s="1">
        <f>'Unformatted Trip Summary'!H913</f>
        <v>0.97577669160000002</v>
      </c>
    </row>
    <row r="916" spans="1:8" x14ac:dyDescent="0.25">
      <c r="A916" t="str">
        <f>'Unformatted Trip Summary'!A914</f>
        <v>13 CANTERBURY</v>
      </c>
      <c r="B916" t="str">
        <f>'Unformatted Trip Summary'!J914</f>
        <v>2022/23</v>
      </c>
      <c r="C916" t="str">
        <f>'Unformatted Trip Summary'!I914</f>
        <v>Other Household Travel</v>
      </c>
      <c r="D916">
        <f>'Unformatted Trip Summary'!D914</f>
        <v>31</v>
      </c>
      <c r="E916">
        <f>'Unformatted Trip Summary'!E914</f>
        <v>81</v>
      </c>
      <c r="F916" s="1">
        <f>'Unformatted Trip Summary'!F914</f>
        <v>1.8567256129</v>
      </c>
      <c r="G916" s="1">
        <f>'Unformatted Trip Summary'!G914</f>
        <v>0</v>
      </c>
      <c r="H916" s="1">
        <f>'Unformatted Trip Summary'!H914</f>
        <v>1.0437420708</v>
      </c>
    </row>
    <row r="917" spans="1:8" x14ac:dyDescent="0.25">
      <c r="A917" t="str">
        <f>'Unformatted Trip Summary'!A915</f>
        <v>13 CANTERBURY</v>
      </c>
      <c r="B917" t="str">
        <f>'Unformatted Trip Summary'!J915</f>
        <v>2027/28</v>
      </c>
      <c r="C917" t="str">
        <f>'Unformatted Trip Summary'!I915</f>
        <v>Other Household Travel</v>
      </c>
      <c r="D917">
        <f>'Unformatted Trip Summary'!D915</f>
        <v>31</v>
      </c>
      <c r="E917">
        <f>'Unformatted Trip Summary'!E915</f>
        <v>81</v>
      </c>
      <c r="F917" s="1">
        <f>'Unformatted Trip Summary'!F915</f>
        <v>2.0062104758000001</v>
      </c>
      <c r="G917" s="1">
        <f>'Unformatted Trip Summary'!G915</f>
        <v>0</v>
      </c>
      <c r="H917" s="1">
        <f>'Unformatted Trip Summary'!H915</f>
        <v>1.1187183241</v>
      </c>
    </row>
    <row r="918" spans="1:8" x14ac:dyDescent="0.25">
      <c r="A918" t="str">
        <f>'Unformatted Trip Summary'!A916</f>
        <v>13 CANTERBURY</v>
      </c>
      <c r="B918" t="str">
        <f>'Unformatted Trip Summary'!J916</f>
        <v>2032/33</v>
      </c>
      <c r="C918" t="str">
        <f>'Unformatted Trip Summary'!I916</f>
        <v>Other Household Travel</v>
      </c>
      <c r="D918">
        <f>'Unformatted Trip Summary'!D916</f>
        <v>31</v>
      </c>
      <c r="E918">
        <f>'Unformatted Trip Summary'!E916</f>
        <v>81</v>
      </c>
      <c r="F918" s="1">
        <f>'Unformatted Trip Summary'!F916</f>
        <v>2.0963955068</v>
      </c>
      <c r="G918" s="1">
        <f>'Unformatted Trip Summary'!G916</f>
        <v>0</v>
      </c>
      <c r="H918" s="1">
        <f>'Unformatted Trip Summary'!H916</f>
        <v>1.1602123471000001</v>
      </c>
    </row>
    <row r="919" spans="1:8" x14ac:dyDescent="0.25">
      <c r="A919" t="str">
        <f>'Unformatted Trip Summary'!A917</f>
        <v>13 CANTERBURY</v>
      </c>
      <c r="B919" t="str">
        <f>'Unformatted Trip Summary'!J917</f>
        <v>2037/38</v>
      </c>
      <c r="C919" t="str">
        <f>'Unformatted Trip Summary'!I917</f>
        <v>Other Household Travel</v>
      </c>
      <c r="D919">
        <f>'Unformatted Trip Summary'!D917</f>
        <v>31</v>
      </c>
      <c r="E919">
        <f>'Unformatted Trip Summary'!E917</f>
        <v>81</v>
      </c>
      <c r="F919" s="1">
        <f>'Unformatted Trip Summary'!F917</f>
        <v>2.1285409460000002</v>
      </c>
      <c r="G919" s="1">
        <f>'Unformatted Trip Summary'!G917</f>
        <v>0</v>
      </c>
      <c r="H919" s="1">
        <f>'Unformatted Trip Summary'!H917</f>
        <v>1.1771374241000001</v>
      </c>
    </row>
    <row r="920" spans="1:8" x14ac:dyDescent="0.25">
      <c r="A920" t="str">
        <f>'Unformatted Trip Summary'!A918</f>
        <v>13 CANTERBURY</v>
      </c>
      <c r="B920" t="str">
        <f>'Unformatted Trip Summary'!J918</f>
        <v>2042/43</v>
      </c>
      <c r="C920" t="str">
        <f>'Unformatted Trip Summary'!I918</f>
        <v>Other Household Travel</v>
      </c>
      <c r="D920">
        <f>'Unformatted Trip Summary'!D918</f>
        <v>31</v>
      </c>
      <c r="E920">
        <f>'Unformatted Trip Summary'!E918</f>
        <v>81</v>
      </c>
      <c r="F920" s="1">
        <f>'Unformatted Trip Summary'!F918</f>
        <v>2.1084795025999998</v>
      </c>
      <c r="G920" s="1">
        <f>'Unformatted Trip Summary'!G918</f>
        <v>0</v>
      </c>
      <c r="H920" s="1">
        <f>'Unformatted Trip Summary'!H918</f>
        <v>1.1728690889</v>
      </c>
    </row>
    <row r="921" spans="1:8" x14ac:dyDescent="0.25">
      <c r="A921" t="str">
        <f>'Unformatted Trip Summary'!A919</f>
        <v>13 CANTERBURY</v>
      </c>
      <c r="B921" t="str">
        <f>'Unformatted Trip Summary'!J919</f>
        <v>2012/13</v>
      </c>
      <c r="C921" t="str">
        <f>'Unformatted Trip Summary'!I919</f>
        <v>Air/Non-Local PT</v>
      </c>
      <c r="D921">
        <f>'Unformatted Trip Summary'!D919</f>
        <v>99</v>
      </c>
      <c r="E921">
        <f>'Unformatted Trip Summary'!E919</f>
        <v>124</v>
      </c>
      <c r="F921" s="1">
        <f>'Unformatted Trip Summary'!F919</f>
        <v>2.4822614922000001</v>
      </c>
      <c r="G921" s="1">
        <f>'Unformatted Trip Summary'!G919</f>
        <v>66.176348546</v>
      </c>
      <c r="H921" s="1">
        <f>'Unformatted Trip Summary'!H919</f>
        <v>3.9785271960999999</v>
      </c>
    </row>
    <row r="922" spans="1:8" x14ac:dyDescent="0.25">
      <c r="A922" t="str">
        <f>'Unformatted Trip Summary'!A920</f>
        <v>13 CANTERBURY</v>
      </c>
      <c r="B922" t="str">
        <f>'Unformatted Trip Summary'!J920</f>
        <v>2017/18</v>
      </c>
      <c r="C922" t="str">
        <f>'Unformatted Trip Summary'!I920</f>
        <v>Air/Non-Local PT</v>
      </c>
      <c r="D922">
        <f>'Unformatted Trip Summary'!D920</f>
        <v>99</v>
      </c>
      <c r="E922">
        <f>'Unformatted Trip Summary'!E920</f>
        <v>124</v>
      </c>
      <c r="F922" s="1">
        <f>'Unformatted Trip Summary'!F920</f>
        <v>2.7763950482999999</v>
      </c>
      <c r="G922" s="1">
        <f>'Unformatted Trip Summary'!G920</f>
        <v>71.103550307000006</v>
      </c>
      <c r="H922" s="1">
        <f>'Unformatted Trip Summary'!H920</f>
        <v>4.5704752997</v>
      </c>
    </row>
    <row r="923" spans="1:8" x14ac:dyDescent="0.25">
      <c r="A923" t="str">
        <f>'Unformatted Trip Summary'!A921</f>
        <v>13 CANTERBURY</v>
      </c>
      <c r="B923" t="str">
        <f>'Unformatted Trip Summary'!J921</f>
        <v>2022/23</v>
      </c>
      <c r="C923" t="str">
        <f>'Unformatted Trip Summary'!I921</f>
        <v>Air/Non-Local PT</v>
      </c>
      <c r="D923">
        <f>'Unformatted Trip Summary'!D921</f>
        <v>99</v>
      </c>
      <c r="E923">
        <f>'Unformatted Trip Summary'!E921</f>
        <v>124</v>
      </c>
      <c r="F923" s="1">
        <f>'Unformatted Trip Summary'!F921</f>
        <v>2.9152517161999998</v>
      </c>
      <c r="G923" s="1">
        <f>'Unformatted Trip Summary'!G921</f>
        <v>70.658913655999996</v>
      </c>
      <c r="H923" s="1">
        <f>'Unformatted Trip Summary'!H921</f>
        <v>4.8341272755000002</v>
      </c>
    </row>
    <row r="924" spans="1:8" x14ac:dyDescent="0.25">
      <c r="A924" t="str">
        <f>'Unformatted Trip Summary'!A922</f>
        <v>13 CANTERBURY</v>
      </c>
      <c r="B924" t="str">
        <f>'Unformatted Trip Summary'!J922</f>
        <v>2027/28</v>
      </c>
      <c r="C924" t="str">
        <f>'Unformatted Trip Summary'!I922</f>
        <v>Air/Non-Local PT</v>
      </c>
      <c r="D924">
        <f>'Unformatted Trip Summary'!D922</f>
        <v>99</v>
      </c>
      <c r="E924">
        <f>'Unformatted Trip Summary'!E922</f>
        <v>124</v>
      </c>
      <c r="F924" s="1">
        <f>'Unformatted Trip Summary'!F922</f>
        <v>3.0960389497</v>
      </c>
      <c r="G924" s="1">
        <f>'Unformatted Trip Summary'!G922</f>
        <v>75.016132448999997</v>
      </c>
      <c r="H924" s="1">
        <f>'Unformatted Trip Summary'!H922</f>
        <v>5.2008171137000003</v>
      </c>
    </row>
    <row r="925" spans="1:8" x14ac:dyDescent="0.25">
      <c r="A925" t="str">
        <f>'Unformatted Trip Summary'!A923</f>
        <v>13 CANTERBURY</v>
      </c>
      <c r="B925" t="str">
        <f>'Unformatted Trip Summary'!J923</f>
        <v>2032/33</v>
      </c>
      <c r="C925" t="str">
        <f>'Unformatted Trip Summary'!I923</f>
        <v>Air/Non-Local PT</v>
      </c>
      <c r="D925">
        <f>'Unformatted Trip Summary'!D923</f>
        <v>99</v>
      </c>
      <c r="E925">
        <f>'Unformatted Trip Summary'!E923</f>
        <v>124</v>
      </c>
      <c r="F925" s="1">
        <f>'Unformatted Trip Summary'!F923</f>
        <v>3.2628613519999998</v>
      </c>
      <c r="G925" s="1">
        <f>'Unformatted Trip Summary'!G923</f>
        <v>82.028600042999997</v>
      </c>
      <c r="H925" s="1">
        <f>'Unformatted Trip Summary'!H923</f>
        <v>5.5655830109000002</v>
      </c>
    </row>
    <row r="926" spans="1:8" x14ac:dyDescent="0.25">
      <c r="A926" t="str">
        <f>'Unformatted Trip Summary'!A924</f>
        <v>13 CANTERBURY</v>
      </c>
      <c r="B926" t="str">
        <f>'Unformatted Trip Summary'!J924</f>
        <v>2037/38</v>
      </c>
      <c r="C926" t="str">
        <f>'Unformatted Trip Summary'!I924</f>
        <v>Air/Non-Local PT</v>
      </c>
      <c r="D926">
        <f>'Unformatted Trip Summary'!D924</f>
        <v>99</v>
      </c>
      <c r="E926">
        <f>'Unformatted Trip Summary'!E924</f>
        <v>124</v>
      </c>
      <c r="F926" s="1">
        <f>'Unformatted Trip Summary'!F924</f>
        <v>3.3637961617999999</v>
      </c>
      <c r="G926" s="1">
        <f>'Unformatted Trip Summary'!G924</f>
        <v>84.896670338999996</v>
      </c>
      <c r="H926" s="1">
        <f>'Unformatted Trip Summary'!H924</f>
        <v>5.6982492954000001</v>
      </c>
    </row>
    <row r="927" spans="1:8" x14ac:dyDescent="0.25">
      <c r="A927" t="str">
        <f>'Unformatted Trip Summary'!A925</f>
        <v>13 CANTERBURY</v>
      </c>
      <c r="B927" t="str">
        <f>'Unformatted Trip Summary'!J925</f>
        <v>2042/43</v>
      </c>
      <c r="C927" t="str">
        <f>'Unformatted Trip Summary'!I925</f>
        <v>Air/Non-Local PT</v>
      </c>
      <c r="D927">
        <f>'Unformatted Trip Summary'!D925</f>
        <v>99</v>
      </c>
      <c r="E927">
        <f>'Unformatted Trip Summary'!E925</f>
        <v>124</v>
      </c>
      <c r="F927" s="1">
        <f>'Unformatted Trip Summary'!F925</f>
        <v>3.4459022863</v>
      </c>
      <c r="G927" s="1">
        <f>'Unformatted Trip Summary'!G925</f>
        <v>86.644394516000006</v>
      </c>
      <c r="H927" s="1">
        <f>'Unformatted Trip Summary'!H925</f>
        <v>5.7932757348999999</v>
      </c>
    </row>
    <row r="928" spans="1:8" x14ac:dyDescent="0.25">
      <c r="A928" t="str">
        <f>'Unformatted Trip Summary'!A926</f>
        <v>13 CANTERBURY</v>
      </c>
      <c r="B928" t="str">
        <f>'Unformatted Trip Summary'!J926</f>
        <v>2012/13</v>
      </c>
      <c r="C928" t="str">
        <f>'Unformatted Trip Summary'!I926</f>
        <v>Non-Household Travel</v>
      </c>
      <c r="D928">
        <f>'Unformatted Trip Summary'!D926</f>
        <v>113</v>
      </c>
      <c r="E928">
        <f>'Unformatted Trip Summary'!E926</f>
        <v>551</v>
      </c>
      <c r="F928" s="1">
        <f>'Unformatted Trip Summary'!F926</f>
        <v>9.2459779483000002</v>
      </c>
      <c r="G928" s="1">
        <f>'Unformatted Trip Summary'!G926</f>
        <v>114.47945472000001</v>
      </c>
      <c r="H928" s="1">
        <f>'Unformatted Trip Summary'!H926</f>
        <v>3.3743770355999998</v>
      </c>
    </row>
    <row r="929" spans="1:8" x14ac:dyDescent="0.25">
      <c r="A929" t="str">
        <f>'Unformatted Trip Summary'!A927</f>
        <v>13 CANTERBURY</v>
      </c>
      <c r="B929" t="str">
        <f>'Unformatted Trip Summary'!J927</f>
        <v>2017/18</v>
      </c>
      <c r="C929" t="str">
        <f>'Unformatted Trip Summary'!I927</f>
        <v>Non-Household Travel</v>
      </c>
      <c r="D929">
        <f>'Unformatted Trip Summary'!D927</f>
        <v>113</v>
      </c>
      <c r="E929">
        <f>'Unformatted Trip Summary'!E927</f>
        <v>551</v>
      </c>
      <c r="F929" s="1">
        <f>'Unformatted Trip Summary'!F927</f>
        <v>9.9690298085000002</v>
      </c>
      <c r="G929" s="1">
        <f>'Unformatted Trip Summary'!G927</f>
        <v>126.20786013999999</v>
      </c>
      <c r="H929" s="1">
        <f>'Unformatted Trip Summary'!H927</f>
        <v>3.7201628727</v>
      </c>
    </row>
    <row r="930" spans="1:8" x14ac:dyDescent="0.25">
      <c r="A930" t="str">
        <f>'Unformatted Trip Summary'!A928</f>
        <v>13 CANTERBURY</v>
      </c>
      <c r="B930" t="str">
        <f>'Unformatted Trip Summary'!J928</f>
        <v>2022/23</v>
      </c>
      <c r="C930" t="str">
        <f>'Unformatted Trip Summary'!I928</f>
        <v>Non-Household Travel</v>
      </c>
      <c r="D930">
        <f>'Unformatted Trip Summary'!D928</f>
        <v>113</v>
      </c>
      <c r="E930">
        <f>'Unformatted Trip Summary'!E928</f>
        <v>551</v>
      </c>
      <c r="F930" s="1">
        <f>'Unformatted Trip Summary'!F928</f>
        <v>10.121657722</v>
      </c>
      <c r="G930" s="1">
        <f>'Unformatted Trip Summary'!G928</f>
        <v>130.85807643000001</v>
      </c>
      <c r="H930" s="1">
        <f>'Unformatted Trip Summary'!H928</f>
        <v>3.8539138186000002</v>
      </c>
    </row>
    <row r="931" spans="1:8" x14ac:dyDescent="0.25">
      <c r="A931" t="str">
        <f>'Unformatted Trip Summary'!A929</f>
        <v>13 CANTERBURY</v>
      </c>
      <c r="B931" t="str">
        <f>'Unformatted Trip Summary'!J929</f>
        <v>2027/28</v>
      </c>
      <c r="C931" t="str">
        <f>'Unformatted Trip Summary'!I929</f>
        <v>Non-Household Travel</v>
      </c>
      <c r="D931">
        <f>'Unformatted Trip Summary'!D929</f>
        <v>113</v>
      </c>
      <c r="E931">
        <f>'Unformatted Trip Summary'!E929</f>
        <v>551</v>
      </c>
      <c r="F931" s="1">
        <f>'Unformatted Trip Summary'!F929</f>
        <v>10.417695482999999</v>
      </c>
      <c r="G931" s="1">
        <f>'Unformatted Trip Summary'!G929</f>
        <v>138.24982621999999</v>
      </c>
      <c r="H931" s="1">
        <f>'Unformatted Trip Summary'!H929</f>
        <v>4.06060759</v>
      </c>
    </row>
    <row r="932" spans="1:8" x14ac:dyDescent="0.25">
      <c r="A932" t="str">
        <f>'Unformatted Trip Summary'!A930</f>
        <v>13 CANTERBURY</v>
      </c>
      <c r="B932" t="str">
        <f>'Unformatted Trip Summary'!J930</f>
        <v>2032/33</v>
      </c>
      <c r="C932" t="str">
        <f>'Unformatted Trip Summary'!I930</f>
        <v>Non-Household Travel</v>
      </c>
      <c r="D932">
        <f>'Unformatted Trip Summary'!D930</f>
        <v>113</v>
      </c>
      <c r="E932">
        <f>'Unformatted Trip Summary'!E930</f>
        <v>551</v>
      </c>
      <c r="F932" s="1">
        <f>'Unformatted Trip Summary'!F930</f>
        <v>10.78737789</v>
      </c>
      <c r="G932" s="1">
        <f>'Unformatted Trip Summary'!G930</f>
        <v>144.71955052999999</v>
      </c>
      <c r="H932" s="1">
        <f>'Unformatted Trip Summary'!H930</f>
        <v>4.2654470114</v>
      </c>
    </row>
    <row r="933" spans="1:8" x14ac:dyDescent="0.25">
      <c r="A933" t="str">
        <f>'Unformatted Trip Summary'!A931</f>
        <v>13 CANTERBURY</v>
      </c>
      <c r="B933" t="str">
        <f>'Unformatted Trip Summary'!J931</f>
        <v>2037/38</v>
      </c>
      <c r="C933" t="str">
        <f>'Unformatted Trip Summary'!I931</f>
        <v>Non-Household Travel</v>
      </c>
      <c r="D933">
        <f>'Unformatted Trip Summary'!D931</f>
        <v>113</v>
      </c>
      <c r="E933">
        <f>'Unformatted Trip Summary'!E931</f>
        <v>551</v>
      </c>
      <c r="F933" s="1">
        <f>'Unformatted Trip Summary'!F931</f>
        <v>11.180019143000001</v>
      </c>
      <c r="G933" s="1">
        <f>'Unformatted Trip Summary'!G931</f>
        <v>148.72936612000001</v>
      </c>
      <c r="H933" s="1">
        <f>'Unformatted Trip Summary'!H931</f>
        <v>4.3860615726000001</v>
      </c>
    </row>
    <row r="934" spans="1:8" x14ac:dyDescent="0.25">
      <c r="A934" t="str">
        <f>'Unformatted Trip Summary'!A932</f>
        <v>13 CANTERBURY</v>
      </c>
      <c r="B934" t="str">
        <f>'Unformatted Trip Summary'!J932</f>
        <v>2042/43</v>
      </c>
      <c r="C934" t="str">
        <f>'Unformatted Trip Summary'!I932</f>
        <v>Non-Household Travel</v>
      </c>
      <c r="D934">
        <f>'Unformatted Trip Summary'!D932</f>
        <v>113</v>
      </c>
      <c r="E934">
        <f>'Unformatted Trip Summary'!E932</f>
        <v>551</v>
      </c>
      <c r="F934" s="1">
        <f>'Unformatted Trip Summary'!F932</f>
        <v>11.549569371</v>
      </c>
      <c r="G934" s="1">
        <f>'Unformatted Trip Summary'!G932</f>
        <v>152.1044259</v>
      </c>
      <c r="H934" s="1">
        <f>'Unformatted Trip Summary'!H932</f>
        <v>4.4900681496999999</v>
      </c>
    </row>
    <row r="935" spans="1:8" x14ac:dyDescent="0.25">
      <c r="A935" t="str">
        <f>'Unformatted Trip Summary'!A933</f>
        <v>14 OTAGO</v>
      </c>
      <c r="B935" t="str">
        <f>'Unformatted Trip Summary'!J933</f>
        <v>2012/13</v>
      </c>
      <c r="C935" t="str">
        <f>'Unformatted Trip Summary'!I933</f>
        <v>Pedestrian</v>
      </c>
      <c r="D935">
        <f>'Unformatted Trip Summary'!D933</f>
        <v>545</v>
      </c>
      <c r="E935">
        <f>'Unformatted Trip Summary'!E933</f>
        <v>2150</v>
      </c>
      <c r="F935" s="1">
        <f>'Unformatted Trip Summary'!F933</f>
        <v>58.261736425999999</v>
      </c>
      <c r="G935" s="1">
        <f>'Unformatted Trip Summary'!G933</f>
        <v>45.829100335</v>
      </c>
      <c r="H935" s="1">
        <f>'Unformatted Trip Summary'!H933</f>
        <v>11.651603939999999</v>
      </c>
    </row>
    <row r="936" spans="1:8" x14ac:dyDescent="0.25">
      <c r="A936" t="str">
        <f>'Unformatted Trip Summary'!A934</f>
        <v>14 OTAGO</v>
      </c>
      <c r="B936" t="str">
        <f>'Unformatted Trip Summary'!J934</f>
        <v>2017/18</v>
      </c>
      <c r="C936" t="str">
        <f>'Unformatted Trip Summary'!I934</f>
        <v>Pedestrian</v>
      </c>
      <c r="D936">
        <f>'Unformatted Trip Summary'!D934</f>
        <v>545</v>
      </c>
      <c r="E936">
        <f>'Unformatted Trip Summary'!E934</f>
        <v>2150</v>
      </c>
      <c r="F936" s="1">
        <f>'Unformatted Trip Summary'!F934</f>
        <v>58.399550069</v>
      </c>
      <c r="G936" s="1">
        <f>'Unformatted Trip Summary'!G934</f>
        <v>45.555986341999997</v>
      </c>
      <c r="H936" s="1">
        <f>'Unformatted Trip Summary'!H934</f>
        <v>11.758384660000001</v>
      </c>
    </row>
    <row r="937" spans="1:8" x14ac:dyDescent="0.25">
      <c r="A937" t="str">
        <f>'Unformatted Trip Summary'!A935</f>
        <v>14 OTAGO</v>
      </c>
      <c r="B937" t="str">
        <f>'Unformatted Trip Summary'!J935</f>
        <v>2022/23</v>
      </c>
      <c r="C937" t="str">
        <f>'Unformatted Trip Summary'!I935</f>
        <v>Pedestrian</v>
      </c>
      <c r="D937">
        <f>'Unformatted Trip Summary'!D935</f>
        <v>545</v>
      </c>
      <c r="E937">
        <f>'Unformatted Trip Summary'!E935</f>
        <v>2150</v>
      </c>
      <c r="F937" s="1">
        <f>'Unformatted Trip Summary'!F935</f>
        <v>57.869853607000003</v>
      </c>
      <c r="G937" s="1">
        <f>'Unformatted Trip Summary'!G935</f>
        <v>44.845336727000003</v>
      </c>
      <c r="H937" s="1">
        <f>'Unformatted Trip Summary'!H935</f>
        <v>11.7176154</v>
      </c>
    </row>
    <row r="938" spans="1:8" x14ac:dyDescent="0.25">
      <c r="A938" t="str">
        <f>'Unformatted Trip Summary'!A936</f>
        <v>14 OTAGO</v>
      </c>
      <c r="B938" t="str">
        <f>'Unformatted Trip Summary'!J936</f>
        <v>2027/28</v>
      </c>
      <c r="C938" t="str">
        <f>'Unformatted Trip Summary'!I936</f>
        <v>Pedestrian</v>
      </c>
      <c r="D938">
        <f>'Unformatted Trip Summary'!D936</f>
        <v>545</v>
      </c>
      <c r="E938">
        <f>'Unformatted Trip Summary'!E936</f>
        <v>2150</v>
      </c>
      <c r="F938" s="1">
        <f>'Unformatted Trip Summary'!F936</f>
        <v>57.315406877000001</v>
      </c>
      <c r="G938" s="1">
        <f>'Unformatted Trip Summary'!G936</f>
        <v>44.129299181</v>
      </c>
      <c r="H938" s="1">
        <f>'Unformatted Trip Summary'!H936</f>
        <v>11.697498669</v>
      </c>
    </row>
    <row r="939" spans="1:8" x14ac:dyDescent="0.25">
      <c r="A939" t="str">
        <f>'Unformatted Trip Summary'!A937</f>
        <v>14 OTAGO</v>
      </c>
      <c r="B939" t="str">
        <f>'Unformatted Trip Summary'!J937</f>
        <v>2032/33</v>
      </c>
      <c r="C939" t="str">
        <f>'Unformatted Trip Summary'!I937</f>
        <v>Pedestrian</v>
      </c>
      <c r="D939">
        <f>'Unformatted Trip Summary'!D937</f>
        <v>545</v>
      </c>
      <c r="E939">
        <f>'Unformatted Trip Summary'!E937</f>
        <v>2150</v>
      </c>
      <c r="F939" s="1">
        <f>'Unformatted Trip Summary'!F937</f>
        <v>56.647576256000001</v>
      </c>
      <c r="G939" s="1">
        <f>'Unformatted Trip Summary'!G937</f>
        <v>43.299871373000002</v>
      </c>
      <c r="H939" s="1">
        <f>'Unformatted Trip Summary'!H937</f>
        <v>11.631373774</v>
      </c>
    </row>
    <row r="940" spans="1:8" x14ac:dyDescent="0.25">
      <c r="A940" t="str">
        <f>'Unformatted Trip Summary'!A938</f>
        <v>14 OTAGO</v>
      </c>
      <c r="B940" t="str">
        <f>'Unformatted Trip Summary'!J938</f>
        <v>2037/38</v>
      </c>
      <c r="C940" t="str">
        <f>'Unformatted Trip Summary'!I938</f>
        <v>Pedestrian</v>
      </c>
      <c r="D940">
        <f>'Unformatted Trip Summary'!D938</f>
        <v>545</v>
      </c>
      <c r="E940">
        <f>'Unformatted Trip Summary'!E938</f>
        <v>2150</v>
      </c>
      <c r="F940" s="1">
        <f>'Unformatted Trip Summary'!F938</f>
        <v>55.296365457</v>
      </c>
      <c r="G940" s="1">
        <f>'Unformatted Trip Summary'!G938</f>
        <v>42.289980018000001</v>
      </c>
      <c r="H940" s="1">
        <f>'Unformatted Trip Summary'!H938</f>
        <v>11.484434583000001</v>
      </c>
    </row>
    <row r="941" spans="1:8" x14ac:dyDescent="0.25">
      <c r="A941" t="str">
        <f>'Unformatted Trip Summary'!A939</f>
        <v>14 OTAGO</v>
      </c>
      <c r="B941" t="str">
        <f>'Unformatted Trip Summary'!J939</f>
        <v>2042/43</v>
      </c>
      <c r="C941" t="str">
        <f>'Unformatted Trip Summary'!I939</f>
        <v>Pedestrian</v>
      </c>
      <c r="D941">
        <f>'Unformatted Trip Summary'!D939</f>
        <v>545</v>
      </c>
      <c r="E941">
        <f>'Unformatted Trip Summary'!E939</f>
        <v>2150</v>
      </c>
      <c r="F941" s="1">
        <f>'Unformatted Trip Summary'!F939</f>
        <v>54.010862269999997</v>
      </c>
      <c r="G941" s="1">
        <f>'Unformatted Trip Summary'!G939</f>
        <v>41.397382225999998</v>
      </c>
      <c r="H941" s="1">
        <f>'Unformatted Trip Summary'!H939</f>
        <v>11.361074028999999</v>
      </c>
    </row>
    <row r="942" spans="1:8" x14ac:dyDescent="0.25">
      <c r="A942" t="str">
        <f>'Unformatted Trip Summary'!A940</f>
        <v>14 OTAGO</v>
      </c>
      <c r="B942" t="str">
        <f>'Unformatted Trip Summary'!J940</f>
        <v>2012/13</v>
      </c>
      <c r="C942" t="str">
        <f>'Unformatted Trip Summary'!I940</f>
        <v>Cyclist</v>
      </c>
      <c r="D942">
        <f>'Unformatted Trip Summary'!D940</f>
        <v>52</v>
      </c>
      <c r="E942">
        <f>'Unformatted Trip Summary'!E940</f>
        <v>151</v>
      </c>
      <c r="F942" s="1">
        <f>'Unformatted Trip Summary'!F940</f>
        <v>4.5847179276999999</v>
      </c>
      <c r="G942" s="1">
        <f>'Unformatted Trip Summary'!G940</f>
        <v>16.325352069000001</v>
      </c>
      <c r="H942" s="1">
        <f>'Unformatted Trip Summary'!H940</f>
        <v>1.6089304994</v>
      </c>
    </row>
    <row r="943" spans="1:8" x14ac:dyDescent="0.25">
      <c r="A943" t="str">
        <f>'Unformatted Trip Summary'!A941</f>
        <v>14 OTAGO</v>
      </c>
      <c r="B943" t="str">
        <f>'Unformatted Trip Summary'!J941</f>
        <v>2017/18</v>
      </c>
      <c r="C943" t="str">
        <f>'Unformatted Trip Summary'!I941</f>
        <v>Cyclist</v>
      </c>
      <c r="D943">
        <f>'Unformatted Trip Summary'!D941</f>
        <v>52</v>
      </c>
      <c r="E943">
        <f>'Unformatted Trip Summary'!E941</f>
        <v>151</v>
      </c>
      <c r="F943" s="1">
        <f>'Unformatted Trip Summary'!F941</f>
        <v>4.6756519179999998</v>
      </c>
      <c r="G943" s="1">
        <f>'Unformatted Trip Summary'!G941</f>
        <v>17.73033062</v>
      </c>
      <c r="H943" s="1">
        <f>'Unformatted Trip Summary'!H941</f>
        <v>1.7152031285</v>
      </c>
    </row>
    <row r="944" spans="1:8" x14ac:dyDescent="0.25">
      <c r="A944" t="str">
        <f>'Unformatted Trip Summary'!A942</f>
        <v>14 OTAGO</v>
      </c>
      <c r="B944" t="str">
        <f>'Unformatted Trip Summary'!J942</f>
        <v>2022/23</v>
      </c>
      <c r="C944" t="str">
        <f>'Unformatted Trip Summary'!I942</f>
        <v>Cyclist</v>
      </c>
      <c r="D944">
        <f>'Unformatted Trip Summary'!D942</f>
        <v>52</v>
      </c>
      <c r="E944">
        <f>'Unformatted Trip Summary'!E942</f>
        <v>151</v>
      </c>
      <c r="F944" s="1">
        <f>'Unformatted Trip Summary'!F942</f>
        <v>4.6405959529</v>
      </c>
      <c r="G944" s="1">
        <f>'Unformatted Trip Summary'!G942</f>
        <v>18.489044850999999</v>
      </c>
      <c r="H944" s="1">
        <f>'Unformatted Trip Summary'!H942</f>
        <v>1.7643427628999999</v>
      </c>
    </row>
    <row r="945" spans="1:8" x14ac:dyDescent="0.25">
      <c r="A945" t="str">
        <f>'Unformatted Trip Summary'!A943</f>
        <v>14 OTAGO</v>
      </c>
      <c r="B945" t="str">
        <f>'Unformatted Trip Summary'!J943</f>
        <v>2027/28</v>
      </c>
      <c r="C945" t="str">
        <f>'Unformatted Trip Summary'!I943</f>
        <v>Cyclist</v>
      </c>
      <c r="D945">
        <f>'Unformatted Trip Summary'!D943</f>
        <v>52</v>
      </c>
      <c r="E945">
        <f>'Unformatted Trip Summary'!E943</f>
        <v>151</v>
      </c>
      <c r="F945" s="1">
        <f>'Unformatted Trip Summary'!F943</f>
        <v>4.4864427367999999</v>
      </c>
      <c r="G945" s="1">
        <f>'Unformatted Trip Summary'!G943</f>
        <v>18.720691483</v>
      </c>
      <c r="H945" s="1">
        <f>'Unformatted Trip Summary'!H943</f>
        <v>1.7522984483999999</v>
      </c>
    </row>
    <row r="946" spans="1:8" x14ac:dyDescent="0.25">
      <c r="A946" t="str">
        <f>'Unformatted Trip Summary'!A944</f>
        <v>14 OTAGO</v>
      </c>
      <c r="B946" t="str">
        <f>'Unformatted Trip Summary'!J944</f>
        <v>2032/33</v>
      </c>
      <c r="C946" t="str">
        <f>'Unformatted Trip Summary'!I944</f>
        <v>Cyclist</v>
      </c>
      <c r="D946">
        <f>'Unformatted Trip Summary'!D944</f>
        <v>52</v>
      </c>
      <c r="E946">
        <f>'Unformatted Trip Summary'!E944</f>
        <v>151</v>
      </c>
      <c r="F946" s="1">
        <f>'Unformatted Trip Summary'!F944</f>
        <v>4.4104717837000003</v>
      </c>
      <c r="G946" s="1">
        <f>'Unformatted Trip Summary'!G944</f>
        <v>18.83940153</v>
      </c>
      <c r="H946" s="1">
        <f>'Unformatted Trip Summary'!H944</f>
        <v>1.7488423435</v>
      </c>
    </row>
    <row r="947" spans="1:8" x14ac:dyDescent="0.25">
      <c r="A947" t="str">
        <f>'Unformatted Trip Summary'!A945</f>
        <v>14 OTAGO</v>
      </c>
      <c r="B947" t="str">
        <f>'Unformatted Trip Summary'!J945</f>
        <v>2037/38</v>
      </c>
      <c r="C947" t="str">
        <f>'Unformatted Trip Summary'!I945</f>
        <v>Cyclist</v>
      </c>
      <c r="D947">
        <f>'Unformatted Trip Summary'!D945</f>
        <v>52</v>
      </c>
      <c r="E947">
        <f>'Unformatted Trip Summary'!E945</f>
        <v>151</v>
      </c>
      <c r="F947" s="1">
        <f>'Unformatted Trip Summary'!F945</f>
        <v>4.3822035199</v>
      </c>
      <c r="G947" s="1">
        <f>'Unformatted Trip Summary'!G945</f>
        <v>19.006347539</v>
      </c>
      <c r="H947" s="1">
        <f>'Unformatted Trip Summary'!H945</f>
        <v>1.7659083202000001</v>
      </c>
    </row>
    <row r="948" spans="1:8" x14ac:dyDescent="0.25">
      <c r="A948" t="str">
        <f>'Unformatted Trip Summary'!A946</f>
        <v>14 OTAGO</v>
      </c>
      <c r="B948" t="str">
        <f>'Unformatted Trip Summary'!J946</f>
        <v>2042/43</v>
      </c>
      <c r="C948" t="str">
        <f>'Unformatted Trip Summary'!I946</f>
        <v>Cyclist</v>
      </c>
      <c r="D948">
        <f>'Unformatted Trip Summary'!D946</f>
        <v>52</v>
      </c>
      <c r="E948">
        <f>'Unformatted Trip Summary'!E946</f>
        <v>151</v>
      </c>
      <c r="F948" s="1">
        <f>'Unformatted Trip Summary'!F946</f>
        <v>4.3313108607000004</v>
      </c>
      <c r="G948" s="1">
        <f>'Unformatted Trip Summary'!G946</f>
        <v>19.095822775999999</v>
      </c>
      <c r="H948" s="1">
        <f>'Unformatted Trip Summary'!H946</f>
        <v>1.778792095</v>
      </c>
    </row>
    <row r="949" spans="1:8" x14ac:dyDescent="0.25">
      <c r="A949" t="str">
        <f>'Unformatted Trip Summary'!A947</f>
        <v>14 OTAGO</v>
      </c>
      <c r="B949" t="str">
        <f>'Unformatted Trip Summary'!J947</f>
        <v>2012/13</v>
      </c>
      <c r="C949" t="str">
        <f>'Unformatted Trip Summary'!I947</f>
        <v>Light Vehicle Driver</v>
      </c>
      <c r="D949">
        <f>'Unformatted Trip Summary'!D947</f>
        <v>734</v>
      </c>
      <c r="E949">
        <f>'Unformatted Trip Summary'!E947</f>
        <v>5488</v>
      </c>
      <c r="F949" s="1">
        <f>'Unformatted Trip Summary'!F947</f>
        <v>150.49144967999999</v>
      </c>
      <c r="G949" s="1">
        <f>'Unformatted Trip Summary'!G947</f>
        <v>1192.1699989000001</v>
      </c>
      <c r="H949" s="1">
        <f>'Unformatted Trip Summary'!H947</f>
        <v>32.522387277</v>
      </c>
    </row>
    <row r="950" spans="1:8" x14ac:dyDescent="0.25">
      <c r="A950" t="str">
        <f>'Unformatted Trip Summary'!A948</f>
        <v>14 OTAGO</v>
      </c>
      <c r="B950" t="str">
        <f>'Unformatted Trip Summary'!J948</f>
        <v>2017/18</v>
      </c>
      <c r="C950" t="str">
        <f>'Unformatted Trip Summary'!I948</f>
        <v>Light Vehicle Driver</v>
      </c>
      <c r="D950">
        <f>'Unformatted Trip Summary'!D948</f>
        <v>734</v>
      </c>
      <c r="E950">
        <f>'Unformatted Trip Summary'!E948</f>
        <v>5488</v>
      </c>
      <c r="F950" s="1">
        <f>'Unformatted Trip Summary'!F948</f>
        <v>154.06958877</v>
      </c>
      <c r="G950" s="1">
        <f>'Unformatted Trip Summary'!G948</f>
        <v>1255.9525262</v>
      </c>
      <c r="H950" s="1">
        <f>'Unformatted Trip Summary'!H948</f>
        <v>33.859180950999999</v>
      </c>
    </row>
    <row r="951" spans="1:8" x14ac:dyDescent="0.25">
      <c r="A951" t="str">
        <f>'Unformatted Trip Summary'!A949</f>
        <v>14 OTAGO</v>
      </c>
      <c r="B951" t="str">
        <f>'Unformatted Trip Summary'!J949</f>
        <v>2022/23</v>
      </c>
      <c r="C951" t="str">
        <f>'Unformatted Trip Summary'!I949</f>
        <v>Light Vehicle Driver</v>
      </c>
      <c r="D951">
        <f>'Unformatted Trip Summary'!D949</f>
        <v>734</v>
      </c>
      <c r="E951">
        <f>'Unformatted Trip Summary'!E949</f>
        <v>5488</v>
      </c>
      <c r="F951" s="1">
        <f>'Unformatted Trip Summary'!F949</f>
        <v>156.14662668</v>
      </c>
      <c r="G951" s="1">
        <f>'Unformatted Trip Summary'!G949</f>
        <v>1299.6365043000001</v>
      </c>
      <c r="H951" s="1">
        <f>'Unformatted Trip Summary'!H949</f>
        <v>34.711763513000001</v>
      </c>
    </row>
    <row r="952" spans="1:8" x14ac:dyDescent="0.25">
      <c r="A952" t="str">
        <f>'Unformatted Trip Summary'!A950</f>
        <v>14 OTAGO</v>
      </c>
      <c r="B952" t="str">
        <f>'Unformatted Trip Summary'!J950</f>
        <v>2027/28</v>
      </c>
      <c r="C952" t="str">
        <f>'Unformatted Trip Summary'!I950</f>
        <v>Light Vehicle Driver</v>
      </c>
      <c r="D952">
        <f>'Unformatted Trip Summary'!D950</f>
        <v>734</v>
      </c>
      <c r="E952">
        <f>'Unformatted Trip Summary'!E950</f>
        <v>5488</v>
      </c>
      <c r="F952" s="1">
        <f>'Unformatted Trip Summary'!F950</f>
        <v>160.54822317</v>
      </c>
      <c r="G952" s="1">
        <f>'Unformatted Trip Summary'!G950</f>
        <v>1354.9764213000001</v>
      </c>
      <c r="H952" s="1">
        <f>'Unformatted Trip Summary'!H950</f>
        <v>35.963697607999997</v>
      </c>
    </row>
    <row r="953" spans="1:8" x14ac:dyDescent="0.25">
      <c r="A953" t="str">
        <f>'Unformatted Trip Summary'!A951</f>
        <v>14 OTAGO</v>
      </c>
      <c r="B953" t="str">
        <f>'Unformatted Trip Summary'!J951</f>
        <v>2032/33</v>
      </c>
      <c r="C953" t="str">
        <f>'Unformatted Trip Summary'!I951</f>
        <v>Light Vehicle Driver</v>
      </c>
      <c r="D953">
        <f>'Unformatted Trip Summary'!D951</f>
        <v>734</v>
      </c>
      <c r="E953">
        <f>'Unformatted Trip Summary'!E951</f>
        <v>5488</v>
      </c>
      <c r="F953" s="1">
        <f>'Unformatted Trip Summary'!F951</f>
        <v>163.89833879</v>
      </c>
      <c r="G953" s="1">
        <f>'Unformatted Trip Summary'!G951</f>
        <v>1407.6386468999999</v>
      </c>
      <c r="H953" s="1">
        <f>'Unformatted Trip Summary'!H951</f>
        <v>37.045879835999997</v>
      </c>
    </row>
    <row r="954" spans="1:8" x14ac:dyDescent="0.25">
      <c r="A954" t="str">
        <f>'Unformatted Trip Summary'!A952</f>
        <v>14 OTAGO</v>
      </c>
      <c r="B954" t="str">
        <f>'Unformatted Trip Summary'!J952</f>
        <v>2037/38</v>
      </c>
      <c r="C954" t="str">
        <f>'Unformatted Trip Summary'!I952</f>
        <v>Light Vehicle Driver</v>
      </c>
      <c r="D954">
        <f>'Unformatted Trip Summary'!D952</f>
        <v>734</v>
      </c>
      <c r="E954">
        <f>'Unformatted Trip Summary'!E952</f>
        <v>5488</v>
      </c>
      <c r="F954" s="1">
        <f>'Unformatted Trip Summary'!F952</f>
        <v>163.97062295999999</v>
      </c>
      <c r="G954" s="1">
        <f>'Unformatted Trip Summary'!G952</f>
        <v>1451.5562854</v>
      </c>
      <c r="H954" s="1">
        <f>'Unformatted Trip Summary'!H952</f>
        <v>37.670587916999999</v>
      </c>
    </row>
    <row r="955" spans="1:8" x14ac:dyDescent="0.25">
      <c r="A955" t="str">
        <f>'Unformatted Trip Summary'!A953</f>
        <v>14 OTAGO</v>
      </c>
      <c r="B955" t="str">
        <f>'Unformatted Trip Summary'!J953</f>
        <v>2042/43</v>
      </c>
      <c r="C955" t="str">
        <f>'Unformatted Trip Summary'!I953</f>
        <v>Light Vehicle Driver</v>
      </c>
      <c r="D955">
        <f>'Unformatted Trip Summary'!D953</f>
        <v>734</v>
      </c>
      <c r="E955">
        <f>'Unformatted Trip Summary'!E953</f>
        <v>5488</v>
      </c>
      <c r="F955" s="1">
        <f>'Unformatted Trip Summary'!F953</f>
        <v>163.47485639000001</v>
      </c>
      <c r="G955" s="1">
        <f>'Unformatted Trip Summary'!G953</f>
        <v>1495.7831358000001</v>
      </c>
      <c r="H955" s="1">
        <f>'Unformatted Trip Summary'!H953</f>
        <v>38.216697154999999</v>
      </c>
    </row>
    <row r="956" spans="1:8" x14ac:dyDescent="0.25">
      <c r="A956" t="str">
        <f>'Unformatted Trip Summary'!A954</f>
        <v>14 OTAGO</v>
      </c>
      <c r="B956" t="str">
        <f>'Unformatted Trip Summary'!J954</f>
        <v>2012/13</v>
      </c>
      <c r="C956" t="str">
        <f>'Unformatted Trip Summary'!I954</f>
        <v>Light Vehicle Passenger</v>
      </c>
      <c r="D956">
        <f>'Unformatted Trip Summary'!D954</f>
        <v>543</v>
      </c>
      <c r="E956">
        <f>'Unformatted Trip Summary'!E954</f>
        <v>2595</v>
      </c>
      <c r="F956" s="1">
        <f>'Unformatted Trip Summary'!F954</f>
        <v>71.232164202000007</v>
      </c>
      <c r="G956" s="1">
        <f>'Unformatted Trip Summary'!G954</f>
        <v>849.31688999999994</v>
      </c>
      <c r="H956" s="1">
        <f>'Unformatted Trip Summary'!H954</f>
        <v>19.901766343999999</v>
      </c>
    </row>
    <row r="957" spans="1:8" x14ac:dyDescent="0.25">
      <c r="A957" t="str">
        <f>'Unformatted Trip Summary'!A955</f>
        <v>14 OTAGO</v>
      </c>
      <c r="B957" t="str">
        <f>'Unformatted Trip Summary'!J955</f>
        <v>2017/18</v>
      </c>
      <c r="C957" t="str">
        <f>'Unformatted Trip Summary'!I955</f>
        <v>Light Vehicle Passenger</v>
      </c>
      <c r="D957">
        <f>'Unformatted Trip Summary'!D955</f>
        <v>543</v>
      </c>
      <c r="E957">
        <f>'Unformatted Trip Summary'!E955</f>
        <v>2595</v>
      </c>
      <c r="F957" s="1">
        <f>'Unformatted Trip Summary'!F955</f>
        <v>70.097743003000005</v>
      </c>
      <c r="G957" s="1">
        <f>'Unformatted Trip Summary'!G955</f>
        <v>861.75878091000004</v>
      </c>
      <c r="H957" s="1">
        <f>'Unformatted Trip Summary'!H955</f>
        <v>19.987106318999999</v>
      </c>
    </row>
    <row r="958" spans="1:8" x14ac:dyDescent="0.25">
      <c r="A958" t="str">
        <f>'Unformatted Trip Summary'!A956</f>
        <v>14 OTAGO</v>
      </c>
      <c r="B958" t="str">
        <f>'Unformatted Trip Summary'!J956</f>
        <v>2022/23</v>
      </c>
      <c r="C958" t="str">
        <f>'Unformatted Trip Summary'!I956</f>
        <v>Light Vehicle Passenger</v>
      </c>
      <c r="D958">
        <f>'Unformatted Trip Summary'!D956</f>
        <v>543</v>
      </c>
      <c r="E958">
        <f>'Unformatted Trip Summary'!E956</f>
        <v>2595</v>
      </c>
      <c r="F958" s="1">
        <f>'Unformatted Trip Summary'!F956</f>
        <v>68.808064856000001</v>
      </c>
      <c r="G958" s="1">
        <f>'Unformatted Trip Summary'!G956</f>
        <v>861.43878566000001</v>
      </c>
      <c r="H958" s="1">
        <f>'Unformatted Trip Summary'!H956</f>
        <v>19.851116201</v>
      </c>
    </row>
    <row r="959" spans="1:8" x14ac:dyDescent="0.25">
      <c r="A959" t="str">
        <f>'Unformatted Trip Summary'!A957</f>
        <v>14 OTAGO</v>
      </c>
      <c r="B959" t="str">
        <f>'Unformatted Trip Summary'!J957</f>
        <v>2027/28</v>
      </c>
      <c r="C959" t="str">
        <f>'Unformatted Trip Summary'!I957</f>
        <v>Light Vehicle Passenger</v>
      </c>
      <c r="D959">
        <f>'Unformatted Trip Summary'!D957</f>
        <v>543</v>
      </c>
      <c r="E959">
        <f>'Unformatted Trip Summary'!E957</f>
        <v>2595</v>
      </c>
      <c r="F959" s="1">
        <f>'Unformatted Trip Summary'!F957</f>
        <v>67.709549449999997</v>
      </c>
      <c r="G959" s="1">
        <f>'Unformatted Trip Summary'!G957</f>
        <v>868.68491769000002</v>
      </c>
      <c r="H959" s="1">
        <f>'Unformatted Trip Summary'!H957</f>
        <v>19.839399728</v>
      </c>
    </row>
    <row r="960" spans="1:8" x14ac:dyDescent="0.25">
      <c r="A960" t="str">
        <f>'Unformatted Trip Summary'!A958</f>
        <v>14 OTAGO</v>
      </c>
      <c r="B960" t="str">
        <f>'Unformatted Trip Summary'!J958</f>
        <v>2032/33</v>
      </c>
      <c r="C960" t="str">
        <f>'Unformatted Trip Summary'!I958</f>
        <v>Light Vehicle Passenger</v>
      </c>
      <c r="D960">
        <f>'Unformatted Trip Summary'!D958</f>
        <v>543</v>
      </c>
      <c r="E960">
        <f>'Unformatted Trip Summary'!E958</f>
        <v>2595</v>
      </c>
      <c r="F960" s="1">
        <f>'Unformatted Trip Summary'!F958</f>
        <v>66.792101639999998</v>
      </c>
      <c r="G960" s="1">
        <f>'Unformatted Trip Summary'!G958</f>
        <v>864.24702822999996</v>
      </c>
      <c r="H960" s="1">
        <f>'Unformatted Trip Summary'!H958</f>
        <v>19.627047925999999</v>
      </c>
    </row>
    <row r="961" spans="1:8" x14ac:dyDescent="0.25">
      <c r="A961" t="str">
        <f>'Unformatted Trip Summary'!A959</f>
        <v>14 OTAGO</v>
      </c>
      <c r="B961" t="str">
        <f>'Unformatted Trip Summary'!J959</f>
        <v>2037/38</v>
      </c>
      <c r="C961" t="str">
        <f>'Unformatted Trip Summary'!I959</f>
        <v>Light Vehicle Passenger</v>
      </c>
      <c r="D961">
        <f>'Unformatted Trip Summary'!D959</f>
        <v>543</v>
      </c>
      <c r="E961">
        <f>'Unformatted Trip Summary'!E959</f>
        <v>2595</v>
      </c>
      <c r="F961" s="1">
        <f>'Unformatted Trip Summary'!F959</f>
        <v>65.273197816999996</v>
      </c>
      <c r="G961" s="1">
        <f>'Unformatted Trip Summary'!G959</f>
        <v>861.11575968</v>
      </c>
      <c r="H961" s="1">
        <f>'Unformatted Trip Summary'!H959</f>
        <v>19.457236610999999</v>
      </c>
    </row>
    <row r="962" spans="1:8" x14ac:dyDescent="0.25">
      <c r="A962" t="str">
        <f>'Unformatted Trip Summary'!A960</f>
        <v>14 OTAGO</v>
      </c>
      <c r="B962" t="str">
        <f>'Unformatted Trip Summary'!J960</f>
        <v>2042/43</v>
      </c>
      <c r="C962" t="str">
        <f>'Unformatted Trip Summary'!I960</f>
        <v>Light Vehicle Passenger</v>
      </c>
      <c r="D962">
        <f>'Unformatted Trip Summary'!D960</f>
        <v>543</v>
      </c>
      <c r="E962">
        <f>'Unformatted Trip Summary'!E960</f>
        <v>2595</v>
      </c>
      <c r="F962" s="1">
        <f>'Unformatted Trip Summary'!F960</f>
        <v>63.584000590000002</v>
      </c>
      <c r="G962" s="1">
        <f>'Unformatted Trip Summary'!G960</f>
        <v>857.34534384000006</v>
      </c>
      <c r="H962" s="1">
        <f>'Unformatted Trip Summary'!H960</f>
        <v>19.256775448999999</v>
      </c>
    </row>
    <row r="963" spans="1:8" x14ac:dyDescent="0.25">
      <c r="A963" t="str">
        <f>'Unformatted Trip Summary'!A961</f>
        <v>14 OTAGO</v>
      </c>
      <c r="B963" t="str">
        <f>'Unformatted Trip Summary'!J961</f>
        <v>2012/13</v>
      </c>
      <c r="C963" t="str">
        <f>'Unformatted Trip Summary'!I961</f>
        <v>Taxi/Vehicle Share</v>
      </c>
      <c r="D963">
        <f>'Unformatted Trip Summary'!D961</f>
        <v>21</v>
      </c>
      <c r="E963">
        <f>'Unformatted Trip Summary'!E961</f>
        <v>36</v>
      </c>
      <c r="F963" s="1">
        <f>'Unformatted Trip Summary'!F961</f>
        <v>0.85820748670000002</v>
      </c>
      <c r="G963" s="1">
        <f>'Unformatted Trip Summary'!G961</f>
        <v>7.2892681777000004</v>
      </c>
      <c r="H963" s="1">
        <f>'Unformatted Trip Summary'!H961</f>
        <v>0.23496676969999999</v>
      </c>
    </row>
    <row r="964" spans="1:8" x14ac:dyDescent="0.25">
      <c r="A964" t="str">
        <f>'Unformatted Trip Summary'!A962</f>
        <v>14 OTAGO</v>
      </c>
      <c r="B964" t="str">
        <f>'Unformatted Trip Summary'!J962</f>
        <v>2017/18</v>
      </c>
      <c r="C964" t="str">
        <f>'Unformatted Trip Summary'!I962</f>
        <v>Taxi/Vehicle Share</v>
      </c>
      <c r="D964">
        <f>'Unformatted Trip Summary'!D962</f>
        <v>21</v>
      </c>
      <c r="E964">
        <f>'Unformatted Trip Summary'!E962</f>
        <v>36</v>
      </c>
      <c r="F964" s="1">
        <f>'Unformatted Trip Summary'!F962</f>
        <v>0.84517777959999996</v>
      </c>
      <c r="G964" s="1">
        <f>'Unformatted Trip Summary'!G962</f>
        <v>7.1614835343000003</v>
      </c>
      <c r="H964" s="1">
        <f>'Unformatted Trip Summary'!H962</f>
        <v>0.232872627</v>
      </c>
    </row>
    <row r="965" spans="1:8" x14ac:dyDescent="0.25">
      <c r="A965" t="str">
        <f>'Unformatted Trip Summary'!A963</f>
        <v>14 OTAGO</v>
      </c>
      <c r="B965" t="str">
        <f>'Unformatted Trip Summary'!J963</f>
        <v>2022/23</v>
      </c>
      <c r="C965" t="str">
        <f>'Unformatted Trip Summary'!I963</f>
        <v>Taxi/Vehicle Share</v>
      </c>
      <c r="D965">
        <f>'Unformatted Trip Summary'!D963</f>
        <v>21</v>
      </c>
      <c r="E965">
        <f>'Unformatted Trip Summary'!E963</f>
        <v>36</v>
      </c>
      <c r="F965" s="1">
        <f>'Unformatted Trip Summary'!F963</f>
        <v>0.8174161311</v>
      </c>
      <c r="G965" s="1">
        <f>'Unformatted Trip Summary'!G963</f>
        <v>7.1263790611999998</v>
      </c>
      <c r="H965" s="1">
        <f>'Unformatted Trip Summary'!H963</f>
        <v>0.2338044655</v>
      </c>
    </row>
    <row r="966" spans="1:8" x14ac:dyDescent="0.25">
      <c r="A966" t="str">
        <f>'Unformatted Trip Summary'!A964</f>
        <v>14 OTAGO</v>
      </c>
      <c r="B966" t="str">
        <f>'Unformatted Trip Summary'!J964</f>
        <v>2027/28</v>
      </c>
      <c r="C966" t="str">
        <f>'Unformatted Trip Summary'!I964</f>
        <v>Taxi/Vehicle Share</v>
      </c>
      <c r="D966">
        <f>'Unformatted Trip Summary'!D964</f>
        <v>21</v>
      </c>
      <c r="E966">
        <f>'Unformatted Trip Summary'!E964</f>
        <v>36</v>
      </c>
      <c r="F966" s="1">
        <f>'Unformatted Trip Summary'!F964</f>
        <v>0.80638240490000002</v>
      </c>
      <c r="G966" s="1">
        <f>'Unformatted Trip Summary'!G964</f>
        <v>7.0656179358999998</v>
      </c>
      <c r="H966" s="1">
        <f>'Unformatted Trip Summary'!H964</f>
        <v>0.23332802480000001</v>
      </c>
    </row>
    <row r="967" spans="1:8" x14ac:dyDescent="0.25">
      <c r="A967" t="str">
        <f>'Unformatted Trip Summary'!A965</f>
        <v>14 OTAGO</v>
      </c>
      <c r="B967" t="str">
        <f>'Unformatted Trip Summary'!J965</f>
        <v>2032/33</v>
      </c>
      <c r="C967" t="str">
        <f>'Unformatted Trip Summary'!I965</f>
        <v>Taxi/Vehicle Share</v>
      </c>
      <c r="D967">
        <f>'Unformatted Trip Summary'!D965</f>
        <v>21</v>
      </c>
      <c r="E967">
        <f>'Unformatted Trip Summary'!E965</f>
        <v>36</v>
      </c>
      <c r="F967" s="1">
        <f>'Unformatted Trip Summary'!F965</f>
        <v>0.80308993309999999</v>
      </c>
      <c r="G967" s="1">
        <f>'Unformatted Trip Summary'!G965</f>
        <v>7.0499637358999996</v>
      </c>
      <c r="H967" s="1">
        <f>'Unformatted Trip Summary'!H965</f>
        <v>0.23336042800000001</v>
      </c>
    </row>
    <row r="968" spans="1:8" x14ac:dyDescent="0.25">
      <c r="A968" t="str">
        <f>'Unformatted Trip Summary'!A966</f>
        <v>14 OTAGO</v>
      </c>
      <c r="B968" t="str">
        <f>'Unformatted Trip Summary'!J966</f>
        <v>2037/38</v>
      </c>
      <c r="C968" t="str">
        <f>'Unformatted Trip Summary'!I966</f>
        <v>Taxi/Vehicle Share</v>
      </c>
      <c r="D968">
        <f>'Unformatted Trip Summary'!D966</f>
        <v>21</v>
      </c>
      <c r="E968">
        <f>'Unformatted Trip Summary'!E966</f>
        <v>36</v>
      </c>
      <c r="F968" s="1">
        <f>'Unformatted Trip Summary'!F966</f>
        <v>0.75440099650000003</v>
      </c>
      <c r="G968" s="1">
        <f>'Unformatted Trip Summary'!G966</f>
        <v>6.6551843886000004</v>
      </c>
      <c r="H968" s="1">
        <f>'Unformatted Trip Summary'!H966</f>
        <v>0.22102028979999999</v>
      </c>
    </row>
    <row r="969" spans="1:8" x14ac:dyDescent="0.25">
      <c r="A969" t="str">
        <f>'Unformatted Trip Summary'!A967</f>
        <v>14 OTAGO</v>
      </c>
      <c r="B969" t="str">
        <f>'Unformatted Trip Summary'!J967</f>
        <v>2042/43</v>
      </c>
      <c r="C969" t="str">
        <f>'Unformatted Trip Summary'!I967</f>
        <v>Taxi/Vehicle Share</v>
      </c>
      <c r="D969">
        <f>'Unformatted Trip Summary'!D967</f>
        <v>21</v>
      </c>
      <c r="E969">
        <f>'Unformatted Trip Summary'!E967</f>
        <v>36</v>
      </c>
      <c r="F969" s="1">
        <f>'Unformatted Trip Summary'!F967</f>
        <v>0.70172077150000001</v>
      </c>
      <c r="G969" s="1">
        <f>'Unformatted Trip Summary'!G967</f>
        <v>6.2107039427000004</v>
      </c>
      <c r="H969" s="1">
        <f>'Unformatted Trip Summary'!H967</f>
        <v>0.2065213052</v>
      </c>
    </row>
    <row r="970" spans="1:8" x14ac:dyDescent="0.25">
      <c r="A970" t="str">
        <f>'Unformatted Trip Summary'!A968</f>
        <v>14 OTAGO</v>
      </c>
      <c r="B970" t="str">
        <f>'Unformatted Trip Summary'!J968</f>
        <v>2012/13</v>
      </c>
      <c r="C970" t="str">
        <f>'Unformatted Trip Summary'!I968</f>
        <v>Motorcyclist</v>
      </c>
      <c r="D970">
        <f>'Unformatted Trip Summary'!D968</f>
        <v>12</v>
      </c>
      <c r="E970">
        <f>'Unformatted Trip Summary'!E968</f>
        <v>57</v>
      </c>
      <c r="F970" s="1">
        <f>'Unformatted Trip Summary'!F968</f>
        <v>2.0937246197000001</v>
      </c>
      <c r="G970" s="1">
        <f>'Unformatted Trip Summary'!G968</f>
        <v>18.503357486999999</v>
      </c>
      <c r="H970" s="1">
        <f>'Unformatted Trip Summary'!H968</f>
        <v>0.42545310469999997</v>
      </c>
    </row>
    <row r="971" spans="1:8" x14ac:dyDescent="0.25">
      <c r="A971" t="str">
        <f>'Unformatted Trip Summary'!A969</f>
        <v>14 OTAGO</v>
      </c>
      <c r="B971" t="str">
        <f>'Unformatted Trip Summary'!J969</f>
        <v>2017/18</v>
      </c>
      <c r="C971" t="str">
        <f>'Unformatted Trip Summary'!I969</f>
        <v>Motorcyclist</v>
      </c>
      <c r="D971">
        <f>'Unformatted Trip Summary'!D969</f>
        <v>12</v>
      </c>
      <c r="E971">
        <f>'Unformatted Trip Summary'!E969</f>
        <v>57</v>
      </c>
      <c r="F971" s="1">
        <f>'Unformatted Trip Summary'!F969</f>
        <v>2.1317228518000002</v>
      </c>
      <c r="G971" s="1">
        <f>'Unformatted Trip Summary'!G969</f>
        <v>20.029179084999999</v>
      </c>
      <c r="H971" s="1">
        <f>'Unformatted Trip Summary'!H969</f>
        <v>0.4483653239</v>
      </c>
    </row>
    <row r="972" spans="1:8" x14ac:dyDescent="0.25">
      <c r="A972" t="str">
        <f>'Unformatted Trip Summary'!A970</f>
        <v>14 OTAGO</v>
      </c>
      <c r="B972" t="str">
        <f>'Unformatted Trip Summary'!J970</f>
        <v>2022/23</v>
      </c>
      <c r="C972" t="str">
        <f>'Unformatted Trip Summary'!I970</f>
        <v>Motorcyclist</v>
      </c>
      <c r="D972">
        <f>'Unformatted Trip Summary'!D970</f>
        <v>12</v>
      </c>
      <c r="E972">
        <f>'Unformatted Trip Summary'!E970</f>
        <v>57</v>
      </c>
      <c r="F972" s="1">
        <f>'Unformatted Trip Summary'!F970</f>
        <v>2.0779205309000002</v>
      </c>
      <c r="G972" s="1">
        <f>'Unformatted Trip Summary'!G970</f>
        <v>20.810711333</v>
      </c>
      <c r="H972" s="1">
        <f>'Unformatted Trip Summary'!H970</f>
        <v>0.45441215769999999</v>
      </c>
    </row>
    <row r="973" spans="1:8" x14ac:dyDescent="0.25">
      <c r="A973" t="str">
        <f>'Unformatted Trip Summary'!A971</f>
        <v>14 OTAGO</v>
      </c>
      <c r="B973" t="str">
        <f>'Unformatted Trip Summary'!J971</f>
        <v>2027/28</v>
      </c>
      <c r="C973" t="str">
        <f>'Unformatted Trip Summary'!I971</f>
        <v>Motorcyclist</v>
      </c>
      <c r="D973">
        <f>'Unformatted Trip Summary'!D971</f>
        <v>12</v>
      </c>
      <c r="E973">
        <f>'Unformatted Trip Summary'!E971</f>
        <v>57</v>
      </c>
      <c r="F973" s="1">
        <f>'Unformatted Trip Summary'!F971</f>
        <v>2.0121532861000002</v>
      </c>
      <c r="G973" s="1">
        <f>'Unformatted Trip Summary'!G971</f>
        <v>21.738464022999999</v>
      </c>
      <c r="H973" s="1">
        <f>'Unformatted Trip Summary'!H971</f>
        <v>0.46299173389999998</v>
      </c>
    </row>
    <row r="974" spans="1:8" x14ac:dyDescent="0.25">
      <c r="A974" t="str">
        <f>'Unformatted Trip Summary'!A972</f>
        <v>14 OTAGO</v>
      </c>
      <c r="B974" t="str">
        <f>'Unformatted Trip Summary'!J972</f>
        <v>2032/33</v>
      </c>
      <c r="C974" t="str">
        <f>'Unformatted Trip Summary'!I972</f>
        <v>Motorcyclist</v>
      </c>
      <c r="D974">
        <f>'Unformatted Trip Summary'!D972</f>
        <v>12</v>
      </c>
      <c r="E974">
        <f>'Unformatted Trip Summary'!E972</f>
        <v>57</v>
      </c>
      <c r="F974" s="1">
        <f>'Unformatted Trip Summary'!F972</f>
        <v>1.8890060949</v>
      </c>
      <c r="G974" s="1">
        <f>'Unformatted Trip Summary'!G972</f>
        <v>22.027541693</v>
      </c>
      <c r="H974" s="1">
        <f>'Unformatted Trip Summary'!H972</f>
        <v>0.46033657350000001</v>
      </c>
    </row>
    <row r="975" spans="1:8" x14ac:dyDescent="0.25">
      <c r="A975" t="str">
        <f>'Unformatted Trip Summary'!A973</f>
        <v>14 OTAGO</v>
      </c>
      <c r="B975" t="str">
        <f>'Unformatted Trip Summary'!J973</f>
        <v>2037/38</v>
      </c>
      <c r="C975" t="str">
        <f>'Unformatted Trip Summary'!I973</f>
        <v>Motorcyclist</v>
      </c>
      <c r="D975">
        <f>'Unformatted Trip Summary'!D973</f>
        <v>12</v>
      </c>
      <c r="E975">
        <f>'Unformatted Trip Summary'!E973</f>
        <v>57</v>
      </c>
      <c r="F975" s="1">
        <f>'Unformatted Trip Summary'!F973</f>
        <v>1.7327841992999999</v>
      </c>
      <c r="G975" s="1">
        <f>'Unformatted Trip Summary'!G973</f>
        <v>21.545078026999999</v>
      </c>
      <c r="H975" s="1">
        <f>'Unformatted Trip Summary'!H973</f>
        <v>0.44490873279999998</v>
      </c>
    </row>
    <row r="976" spans="1:8" x14ac:dyDescent="0.25">
      <c r="A976" t="str">
        <f>'Unformatted Trip Summary'!A974</f>
        <v>14 OTAGO</v>
      </c>
      <c r="B976" t="str">
        <f>'Unformatted Trip Summary'!J974</f>
        <v>2042/43</v>
      </c>
      <c r="C976" t="str">
        <f>'Unformatted Trip Summary'!I974</f>
        <v>Motorcyclist</v>
      </c>
      <c r="D976">
        <f>'Unformatted Trip Summary'!D974</f>
        <v>12</v>
      </c>
      <c r="E976">
        <f>'Unformatted Trip Summary'!E974</f>
        <v>57</v>
      </c>
      <c r="F976" s="1">
        <f>'Unformatted Trip Summary'!F974</f>
        <v>1.5760467905</v>
      </c>
      <c r="G976" s="1">
        <f>'Unformatted Trip Summary'!G974</f>
        <v>20.945182564</v>
      </c>
      <c r="H976" s="1">
        <f>'Unformatted Trip Summary'!H974</f>
        <v>0.42725955630000001</v>
      </c>
    </row>
    <row r="977" spans="1:8" x14ac:dyDescent="0.25">
      <c r="A977" t="str">
        <f>'Unformatted Trip Summary'!A975</f>
        <v>14 OTAGO</v>
      </c>
      <c r="B977" t="str">
        <f>'Unformatted Trip Summary'!J975</f>
        <v>2012/13</v>
      </c>
      <c r="C977" t="str">
        <f>'Unformatted Trip Summary'!I975</f>
        <v>Local Bus</v>
      </c>
      <c r="D977">
        <f>'Unformatted Trip Summary'!D975</f>
        <v>70</v>
      </c>
      <c r="E977">
        <f>'Unformatted Trip Summary'!E975</f>
        <v>148</v>
      </c>
      <c r="F977" s="1">
        <f>'Unformatted Trip Summary'!F975</f>
        <v>4.2627057848999996</v>
      </c>
      <c r="G977" s="1">
        <f>'Unformatted Trip Summary'!G975</f>
        <v>27.157477096000001</v>
      </c>
      <c r="H977" s="1">
        <f>'Unformatted Trip Summary'!H975</f>
        <v>1.347401772</v>
      </c>
    </row>
    <row r="978" spans="1:8" x14ac:dyDescent="0.25">
      <c r="A978" t="str">
        <f>'Unformatted Trip Summary'!A976</f>
        <v>14 OTAGO</v>
      </c>
      <c r="B978" t="str">
        <f>'Unformatted Trip Summary'!J976</f>
        <v>2017/18</v>
      </c>
      <c r="C978" t="str">
        <f>'Unformatted Trip Summary'!I976</f>
        <v>Local Bus</v>
      </c>
      <c r="D978">
        <f>'Unformatted Trip Summary'!D976</f>
        <v>70</v>
      </c>
      <c r="E978">
        <f>'Unformatted Trip Summary'!E976</f>
        <v>148</v>
      </c>
      <c r="F978" s="1">
        <f>'Unformatted Trip Summary'!F976</f>
        <v>4.0484617910000003</v>
      </c>
      <c r="G978" s="1">
        <f>'Unformatted Trip Summary'!G976</f>
        <v>26.640789095999999</v>
      </c>
      <c r="H978" s="1">
        <f>'Unformatted Trip Summary'!H976</f>
        <v>1.2900961945</v>
      </c>
    </row>
    <row r="979" spans="1:8" x14ac:dyDescent="0.25">
      <c r="A979" t="str">
        <f>'Unformatted Trip Summary'!A977</f>
        <v>14 OTAGO</v>
      </c>
      <c r="B979" t="str">
        <f>'Unformatted Trip Summary'!J977</f>
        <v>2022/23</v>
      </c>
      <c r="C979" t="str">
        <f>'Unformatted Trip Summary'!I977</f>
        <v>Local Bus</v>
      </c>
      <c r="D979">
        <f>'Unformatted Trip Summary'!D977</f>
        <v>70</v>
      </c>
      <c r="E979">
        <f>'Unformatted Trip Summary'!E977</f>
        <v>148</v>
      </c>
      <c r="F979" s="1">
        <f>'Unformatted Trip Summary'!F977</f>
        <v>3.8607801174</v>
      </c>
      <c r="G979" s="1">
        <f>'Unformatted Trip Summary'!G977</f>
        <v>26.226807336</v>
      </c>
      <c r="H979" s="1">
        <f>'Unformatted Trip Summary'!H977</f>
        <v>1.2436842792</v>
      </c>
    </row>
    <row r="980" spans="1:8" x14ac:dyDescent="0.25">
      <c r="A980" t="str">
        <f>'Unformatted Trip Summary'!A978</f>
        <v>14 OTAGO</v>
      </c>
      <c r="B980" t="str">
        <f>'Unformatted Trip Summary'!J978</f>
        <v>2027/28</v>
      </c>
      <c r="C980" t="str">
        <f>'Unformatted Trip Summary'!I978</f>
        <v>Local Bus</v>
      </c>
      <c r="D980">
        <f>'Unformatted Trip Summary'!D978</f>
        <v>70</v>
      </c>
      <c r="E980">
        <f>'Unformatted Trip Summary'!E978</f>
        <v>148</v>
      </c>
      <c r="F980" s="1">
        <f>'Unformatted Trip Summary'!F978</f>
        <v>3.6869357593999998</v>
      </c>
      <c r="G980" s="1">
        <f>'Unformatted Trip Summary'!G978</f>
        <v>25.534304313</v>
      </c>
      <c r="H980" s="1">
        <f>'Unformatted Trip Summary'!H978</f>
        <v>1.1903317034000001</v>
      </c>
    </row>
    <row r="981" spans="1:8" x14ac:dyDescent="0.25">
      <c r="A981" t="str">
        <f>'Unformatted Trip Summary'!A979</f>
        <v>14 OTAGO</v>
      </c>
      <c r="B981" t="str">
        <f>'Unformatted Trip Summary'!J979</f>
        <v>2032/33</v>
      </c>
      <c r="C981" t="str">
        <f>'Unformatted Trip Summary'!I979</f>
        <v>Local Bus</v>
      </c>
      <c r="D981">
        <f>'Unformatted Trip Summary'!D979</f>
        <v>70</v>
      </c>
      <c r="E981">
        <f>'Unformatted Trip Summary'!E979</f>
        <v>148</v>
      </c>
      <c r="F981" s="1">
        <f>'Unformatted Trip Summary'!F979</f>
        <v>3.5434761765</v>
      </c>
      <c r="G981" s="1">
        <f>'Unformatted Trip Summary'!G979</f>
        <v>24.690783295999999</v>
      </c>
      <c r="H981" s="1">
        <f>'Unformatted Trip Summary'!H979</f>
        <v>1.1413124115</v>
      </c>
    </row>
    <row r="982" spans="1:8" x14ac:dyDescent="0.25">
      <c r="A982" t="str">
        <f>'Unformatted Trip Summary'!A980</f>
        <v>14 OTAGO</v>
      </c>
      <c r="B982" t="str">
        <f>'Unformatted Trip Summary'!J980</f>
        <v>2037/38</v>
      </c>
      <c r="C982" t="str">
        <f>'Unformatted Trip Summary'!I980</f>
        <v>Local Bus</v>
      </c>
      <c r="D982">
        <f>'Unformatted Trip Summary'!D980</f>
        <v>70</v>
      </c>
      <c r="E982">
        <f>'Unformatted Trip Summary'!E980</f>
        <v>148</v>
      </c>
      <c r="F982" s="1">
        <f>'Unformatted Trip Summary'!F980</f>
        <v>3.3237590398000001</v>
      </c>
      <c r="G982" s="1">
        <f>'Unformatted Trip Summary'!G980</f>
        <v>23.186410860999999</v>
      </c>
      <c r="H982" s="1">
        <f>'Unformatted Trip Summary'!H980</f>
        <v>1.0718506929</v>
      </c>
    </row>
    <row r="983" spans="1:8" x14ac:dyDescent="0.25">
      <c r="A983" t="str">
        <f>'Unformatted Trip Summary'!A981</f>
        <v>14 OTAGO</v>
      </c>
      <c r="B983" t="str">
        <f>'Unformatted Trip Summary'!J981</f>
        <v>2042/43</v>
      </c>
      <c r="C983" t="str">
        <f>'Unformatted Trip Summary'!I981</f>
        <v>Local Bus</v>
      </c>
      <c r="D983">
        <f>'Unformatted Trip Summary'!D981</f>
        <v>70</v>
      </c>
      <c r="E983">
        <f>'Unformatted Trip Summary'!E981</f>
        <v>148</v>
      </c>
      <c r="F983" s="1">
        <f>'Unformatted Trip Summary'!F981</f>
        <v>3.1055821776000001</v>
      </c>
      <c r="G983" s="1">
        <f>'Unformatted Trip Summary'!G981</f>
        <v>21.680179902999999</v>
      </c>
      <c r="H983" s="1">
        <f>'Unformatted Trip Summary'!H981</f>
        <v>1.0035783852</v>
      </c>
    </row>
    <row r="984" spans="1:8" x14ac:dyDescent="0.25">
      <c r="A984" t="str">
        <f>'Unformatted Trip Summary'!A982</f>
        <v>14 OTAGO</v>
      </c>
      <c r="B984" t="str">
        <f>'Unformatted Trip Summary'!J982</f>
        <v>2012/13</v>
      </c>
      <c r="C984" t="str">
        <f>'Unformatted Trip Summary'!I982</f>
        <v>Other Household Travel</v>
      </c>
      <c r="D984">
        <f>'Unformatted Trip Summary'!D982</f>
        <v>11</v>
      </c>
      <c r="E984">
        <f>'Unformatted Trip Summary'!E982</f>
        <v>38</v>
      </c>
      <c r="F984" s="1">
        <f>'Unformatted Trip Summary'!F982</f>
        <v>0.77539158779999995</v>
      </c>
      <c r="G984" s="1">
        <f>'Unformatted Trip Summary'!G982</f>
        <v>0</v>
      </c>
      <c r="H984" s="1">
        <f>'Unformatted Trip Summary'!H982</f>
        <v>0.25154479130000001</v>
      </c>
    </row>
    <row r="985" spans="1:8" x14ac:dyDescent="0.25">
      <c r="A985" t="str">
        <f>'Unformatted Trip Summary'!A983</f>
        <v>14 OTAGO</v>
      </c>
      <c r="B985" t="str">
        <f>'Unformatted Trip Summary'!J983</f>
        <v>2017/18</v>
      </c>
      <c r="C985" t="str">
        <f>'Unformatted Trip Summary'!I983</f>
        <v>Other Household Travel</v>
      </c>
      <c r="D985">
        <f>'Unformatted Trip Summary'!D983</f>
        <v>11</v>
      </c>
      <c r="E985">
        <f>'Unformatted Trip Summary'!E983</f>
        <v>38</v>
      </c>
      <c r="F985" s="1">
        <f>'Unformatted Trip Summary'!F983</f>
        <v>0.80259287879999996</v>
      </c>
      <c r="G985" s="1">
        <f>'Unformatted Trip Summary'!G983</f>
        <v>0</v>
      </c>
      <c r="H985" s="1">
        <f>'Unformatted Trip Summary'!H983</f>
        <v>0.2702658382</v>
      </c>
    </row>
    <row r="986" spans="1:8" x14ac:dyDescent="0.25">
      <c r="A986" t="str">
        <f>'Unformatted Trip Summary'!A984</f>
        <v>14 OTAGO</v>
      </c>
      <c r="B986" t="str">
        <f>'Unformatted Trip Summary'!J984</f>
        <v>2022/23</v>
      </c>
      <c r="C986" t="str">
        <f>'Unformatted Trip Summary'!I984</f>
        <v>Other Household Travel</v>
      </c>
      <c r="D986">
        <f>'Unformatted Trip Summary'!D984</f>
        <v>11</v>
      </c>
      <c r="E986">
        <f>'Unformatted Trip Summary'!E984</f>
        <v>38</v>
      </c>
      <c r="F986" s="1">
        <f>'Unformatted Trip Summary'!F984</f>
        <v>0.82863269260000005</v>
      </c>
      <c r="G986" s="1">
        <f>'Unformatted Trip Summary'!G984</f>
        <v>0</v>
      </c>
      <c r="H986" s="1">
        <f>'Unformatted Trip Summary'!H984</f>
        <v>0.28511958729999998</v>
      </c>
    </row>
    <row r="987" spans="1:8" x14ac:dyDescent="0.25">
      <c r="A987" t="str">
        <f>'Unformatted Trip Summary'!A985</f>
        <v>14 OTAGO</v>
      </c>
      <c r="B987" t="str">
        <f>'Unformatted Trip Summary'!J985</f>
        <v>2027/28</v>
      </c>
      <c r="C987" t="str">
        <f>'Unformatted Trip Summary'!I985</f>
        <v>Other Household Travel</v>
      </c>
      <c r="D987">
        <f>'Unformatted Trip Summary'!D985</f>
        <v>11</v>
      </c>
      <c r="E987">
        <f>'Unformatted Trip Summary'!E985</f>
        <v>38</v>
      </c>
      <c r="F987" s="1">
        <f>'Unformatted Trip Summary'!F985</f>
        <v>0.80969802790000001</v>
      </c>
      <c r="G987" s="1">
        <f>'Unformatted Trip Summary'!G985</f>
        <v>0</v>
      </c>
      <c r="H987" s="1">
        <f>'Unformatted Trip Summary'!H985</f>
        <v>0.28830048559999999</v>
      </c>
    </row>
    <row r="988" spans="1:8" x14ac:dyDescent="0.25">
      <c r="A988" t="str">
        <f>'Unformatted Trip Summary'!A986</f>
        <v>14 OTAGO</v>
      </c>
      <c r="B988" t="str">
        <f>'Unformatted Trip Summary'!J986</f>
        <v>2032/33</v>
      </c>
      <c r="C988" t="str">
        <f>'Unformatted Trip Summary'!I986</f>
        <v>Other Household Travel</v>
      </c>
      <c r="D988">
        <f>'Unformatted Trip Summary'!D986</f>
        <v>11</v>
      </c>
      <c r="E988">
        <f>'Unformatted Trip Summary'!E986</f>
        <v>38</v>
      </c>
      <c r="F988" s="1">
        <f>'Unformatted Trip Summary'!F986</f>
        <v>0.76624665739999998</v>
      </c>
      <c r="G988" s="1">
        <f>'Unformatted Trip Summary'!G986</f>
        <v>0</v>
      </c>
      <c r="H988" s="1">
        <f>'Unformatted Trip Summary'!H986</f>
        <v>0.2854091117</v>
      </c>
    </row>
    <row r="989" spans="1:8" x14ac:dyDescent="0.25">
      <c r="A989" t="str">
        <f>'Unformatted Trip Summary'!A987</f>
        <v>14 OTAGO</v>
      </c>
      <c r="B989" t="str">
        <f>'Unformatted Trip Summary'!J987</f>
        <v>2037/38</v>
      </c>
      <c r="C989" t="str">
        <f>'Unformatted Trip Summary'!I987</f>
        <v>Other Household Travel</v>
      </c>
      <c r="D989">
        <f>'Unformatted Trip Summary'!D987</f>
        <v>11</v>
      </c>
      <c r="E989">
        <f>'Unformatted Trip Summary'!E987</f>
        <v>38</v>
      </c>
      <c r="F989" s="1">
        <f>'Unformatted Trip Summary'!F987</f>
        <v>0.71957924100000004</v>
      </c>
      <c r="G989" s="1">
        <f>'Unformatted Trip Summary'!G987</f>
        <v>0</v>
      </c>
      <c r="H989" s="1">
        <f>'Unformatted Trip Summary'!H987</f>
        <v>0.28457323940000001</v>
      </c>
    </row>
    <row r="990" spans="1:8" x14ac:dyDescent="0.25">
      <c r="A990" t="str">
        <f>'Unformatted Trip Summary'!A988</f>
        <v>14 OTAGO</v>
      </c>
      <c r="B990" t="str">
        <f>'Unformatted Trip Summary'!J988</f>
        <v>2042/43</v>
      </c>
      <c r="C990" t="str">
        <f>'Unformatted Trip Summary'!I988</f>
        <v>Other Household Travel</v>
      </c>
      <c r="D990">
        <f>'Unformatted Trip Summary'!D988</f>
        <v>11</v>
      </c>
      <c r="E990">
        <f>'Unformatted Trip Summary'!E988</f>
        <v>38</v>
      </c>
      <c r="F990" s="1">
        <f>'Unformatted Trip Summary'!F988</f>
        <v>0.68044632699999996</v>
      </c>
      <c r="G990" s="1">
        <f>'Unformatted Trip Summary'!G988</f>
        <v>0</v>
      </c>
      <c r="H990" s="1">
        <f>'Unformatted Trip Summary'!H988</f>
        <v>0.28645659080000002</v>
      </c>
    </row>
    <row r="991" spans="1:8" x14ac:dyDescent="0.25">
      <c r="A991" t="str">
        <f>'Unformatted Trip Summary'!A989</f>
        <v>14 OTAGO</v>
      </c>
      <c r="B991" t="str">
        <f>'Unformatted Trip Summary'!J989</f>
        <v>2012/13</v>
      </c>
      <c r="C991" t="str">
        <f>'Unformatted Trip Summary'!I989</f>
        <v>Air/Non-Local PT</v>
      </c>
      <c r="D991">
        <f>'Unformatted Trip Summary'!D989</f>
        <v>12</v>
      </c>
      <c r="E991">
        <f>'Unformatted Trip Summary'!E989</f>
        <v>16</v>
      </c>
      <c r="F991" s="1">
        <f>'Unformatted Trip Summary'!F989</f>
        <v>0.45393948140000001</v>
      </c>
      <c r="G991" s="1">
        <f>'Unformatted Trip Summary'!G989</f>
        <v>32.668222239000002</v>
      </c>
      <c r="H991" s="1">
        <f>'Unformatted Trip Summary'!H989</f>
        <v>1.0816055304000001</v>
      </c>
    </row>
    <row r="992" spans="1:8" x14ac:dyDescent="0.25">
      <c r="A992" t="str">
        <f>'Unformatted Trip Summary'!A990</f>
        <v>14 OTAGO</v>
      </c>
      <c r="B992" t="str">
        <f>'Unformatted Trip Summary'!J990</f>
        <v>2017/18</v>
      </c>
      <c r="C992" t="str">
        <f>'Unformatted Trip Summary'!I990</f>
        <v>Air/Non-Local PT</v>
      </c>
      <c r="D992">
        <f>'Unformatted Trip Summary'!D990</f>
        <v>12</v>
      </c>
      <c r="E992">
        <f>'Unformatted Trip Summary'!E990</f>
        <v>16</v>
      </c>
      <c r="F992" s="1">
        <f>'Unformatted Trip Summary'!F990</f>
        <v>0.51481890789999996</v>
      </c>
      <c r="G992" s="1">
        <f>'Unformatted Trip Summary'!G990</f>
        <v>37.135333521</v>
      </c>
      <c r="H992" s="1">
        <f>'Unformatted Trip Summary'!H990</f>
        <v>1.2116536280000001</v>
      </c>
    </row>
    <row r="993" spans="1:8" x14ac:dyDescent="0.25">
      <c r="A993" t="str">
        <f>'Unformatted Trip Summary'!A991</f>
        <v>14 OTAGO</v>
      </c>
      <c r="B993" t="str">
        <f>'Unformatted Trip Summary'!J991</f>
        <v>2022/23</v>
      </c>
      <c r="C993" t="str">
        <f>'Unformatted Trip Summary'!I991</f>
        <v>Air/Non-Local PT</v>
      </c>
      <c r="D993">
        <f>'Unformatted Trip Summary'!D991</f>
        <v>12</v>
      </c>
      <c r="E993">
        <f>'Unformatted Trip Summary'!E991</f>
        <v>16</v>
      </c>
      <c r="F993" s="1">
        <f>'Unformatted Trip Summary'!F991</f>
        <v>0.56737892000000001</v>
      </c>
      <c r="G993" s="1">
        <f>'Unformatted Trip Summary'!G991</f>
        <v>40.155415099999999</v>
      </c>
      <c r="H993" s="1">
        <f>'Unformatted Trip Summary'!H991</f>
        <v>1.3120354104</v>
      </c>
    </row>
    <row r="994" spans="1:8" x14ac:dyDescent="0.25">
      <c r="A994" t="str">
        <f>'Unformatted Trip Summary'!A992</f>
        <v>14 OTAGO</v>
      </c>
      <c r="B994" t="str">
        <f>'Unformatted Trip Summary'!J992</f>
        <v>2027/28</v>
      </c>
      <c r="C994" t="str">
        <f>'Unformatted Trip Summary'!I992</f>
        <v>Air/Non-Local PT</v>
      </c>
      <c r="D994">
        <f>'Unformatted Trip Summary'!D992</f>
        <v>12</v>
      </c>
      <c r="E994">
        <f>'Unformatted Trip Summary'!E992</f>
        <v>16</v>
      </c>
      <c r="F994" s="1">
        <f>'Unformatted Trip Summary'!F992</f>
        <v>0.60603619990000002</v>
      </c>
      <c r="G994" s="1">
        <f>'Unformatted Trip Summary'!G992</f>
        <v>41.880228375000002</v>
      </c>
      <c r="H994" s="1">
        <f>'Unformatted Trip Summary'!H992</f>
        <v>1.3759775986</v>
      </c>
    </row>
    <row r="995" spans="1:8" x14ac:dyDescent="0.25">
      <c r="A995" t="str">
        <f>'Unformatted Trip Summary'!A993</f>
        <v>14 OTAGO</v>
      </c>
      <c r="B995" t="str">
        <f>'Unformatted Trip Summary'!J993</f>
        <v>2032/33</v>
      </c>
      <c r="C995" t="str">
        <f>'Unformatted Trip Summary'!I993</f>
        <v>Air/Non-Local PT</v>
      </c>
      <c r="D995">
        <f>'Unformatted Trip Summary'!D993</f>
        <v>12</v>
      </c>
      <c r="E995">
        <f>'Unformatted Trip Summary'!E993</f>
        <v>16</v>
      </c>
      <c r="F995" s="1">
        <f>'Unformatted Trip Summary'!F993</f>
        <v>0.64017302320000002</v>
      </c>
      <c r="G995" s="1">
        <f>'Unformatted Trip Summary'!G993</f>
        <v>43.477270791000002</v>
      </c>
      <c r="H995" s="1">
        <f>'Unformatted Trip Summary'!H993</f>
        <v>1.4418409081000001</v>
      </c>
    </row>
    <row r="996" spans="1:8" x14ac:dyDescent="0.25">
      <c r="A996" t="str">
        <f>'Unformatted Trip Summary'!A994</f>
        <v>14 OTAGO</v>
      </c>
      <c r="B996" t="str">
        <f>'Unformatted Trip Summary'!J994</f>
        <v>2037/38</v>
      </c>
      <c r="C996" t="str">
        <f>'Unformatted Trip Summary'!I994</f>
        <v>Air/Non-Local PT</v>
      </c>
      <c r="D996">
        <f>'Unformatted Trip Summary'!D994</f>
        <v>12</v>
      </c>
      <c r="E996">
        <f>'Unformatted Trip Summary'!E994</f>
        <v>16</v>
      </c>
      <c r="F996" s="1">
        <f>'Unformatted Trip Summary'!F994</f>
        <v>0.66551464459999998</v>
      </c>
      <c r="G996" s="1">
        <f>'Unformatted Trip Summary'!G994</f>
        <v>44.1364771</v>
      </c>
      <c r="H996" s="1">
        <f>'Unformatted Trip Summary'!H994</f>
        <v>1.4725813212000001</v>
      </c>
    </row>
    <row r="997" spans="1:8" x14ac:dyDescent="0.25">
      <c r="A997" t="str">
        <f>'Unformatted Trip Summary'!A995</f>
        <v>14 OTAGO</v>
      </c>
      <c r="B997" t="str">
        <f>'Unformatted Trip Summary'!J995</f>
        <v>2042/43</v>
      </c>
      <c r="C997" t="str">
        <f>'Unformatted Trip Summary'!I995</f>
        <v>Air/Non-Local PT</v>
      </c>
      <c r="D997">
        <f>'Unformatted Trip Summary'!D995</f>
        <v>12</v>
      </c>
      <c r="E997">
        <f>'Unformatted Trip Summary'!E995</f>
        <v>16</v>
      </c>
      <c r="F997" s="1">
        <f>'Unformatted Trip Summary'!F995</f>
        <v>0.68886423600000002</v>
      </c>
      <c r="G997" s="1">
        <f>'Unformatted Trip Summary'!G995</f>
        <v>44.516082286</v>
      </c>
      <c r="H997" s="1">
        <f>'Unformatted Trip Summary'!H995</f>
        <v>1.4974496789</v>
      </c>
    </row>
    <row r="998" spans="1:8" x14ac:dyDescent="0.25">
      <c r="A998" t="str">
        <f>'Unformatted Trip Summary'!A996</f>
        <v>14 OTAGO</v>
      </c>
      <c r="B998" t="str">
        <f>'Unformatted Trip Summary'!J996</f>
        <v>2012/13</v>
      </c>
      <c r="C998" t="str">
        <f>'Unformatted Trip Summary'!I996</f>
        <v>Non-Household Travel</v>
      </c>
      <c r="D998">
        <f>'Unformatted Trip Summary'!D996</f>
        <v>8</v>
      </c>
      <c r="E998">
        <f>'Unformatted Trip Summary'!E996</f>
        <v>23</v>
      </c>
      <c r="F998" s="1">
        <f>'Unformatted Trip Summary'!F996</f>
        <v>0.69501361849999999</v>
      </c>
      <c r="G998" s="1">
        <f>'Unformatted Trip Summary'!G996</f>
        <v>6.1172965614999999</v>
      </c>
      <c r="H998" s="1">
        <f>'Unformatted Trip Summary'!H996</f>
        <v>0.18529166999999999</v>
      </c>
    </row>
    <row r="999" spans="1:8" x14ac:dyDescent="0.25">
      <c r="A999" t="str">
        <f>'Unformatted Trip Summary'!A997</f>
        <v>14 OTAGO</v>
      </c>
      <c r="B999" t="str">
        <f>'Unformatted Trip Summary'!J997</f>
        <v>2017/18</v>
      </c>
      <c r="C999" t="str">
        <f>'Unformatted Trip Summary'!I997</f>
        <v>Non-Household Travel</v>
      </c>
      <c r="D999">
        <f>'Unformatted Trip Summary'!D997</f>
        <v>8</v>
      </c>
      <c r="E999">
        <f>'Unformatted Trip Summary'!E997</f>
        <v>23</v>
      </c>
      <c r="F999" s="1">
        <f>'Unformatted Trip Summary'!F997</f>
        <v>0.78664819730000002</v>
      </c>
      <c r="G999" s="1">
        <f>'Unformatted Trip Summary'!G997</f>
        <v>7.3837697751000002</v>
      </c>
      <c r="H999" s="1">
        <f>'Unformatted Trip Summary'!H997</f>
        <v>0.22132746810000001</v>
      </c>
    </row>
    <row r="1000" spans="1:8" x14ac:dyDescent="0.25">
      <c r="A1000" t="str">
        <f>'Unformatted Trip Summary'!A998</f>
        <v>14 OTAGO</v>
      </c>
      <c r="B1000" t="str">
        <f>'Unformatted Trip Summary'!J998</f>
        <v>2022/23</v>
      </c>
      <c r="C1000" t="str">
        <f>'Unformatted Trip Summary'!I998</f>
        <v>Non-Household Travel</v>
      </c>
      <c r="D1000">
        <f>'Unformatted Trip Summary'!D998</f>
        <v>8</v>
      </c>
      <c r="E1000">
        <f>'Unformatted Trip Summary'!E998</f>
        <v>23</v>
      </c>
      <c r="F1000" s="1">
        <f>'Unformatted Trip Summary'!F998</f>
        <v>0.88920484850000003</v>
      </c>
      <c r="G1000" s="1">
        <f>'Unformatted Trip Summary'!G998</f>
        <v>8.5738621421999994</v>
      </c>
      <c r="H1000" s="1">
        <f>'Unformatted Trip Summary'!H998</f>
        <v>0.25697993679999998</v>
      </c>
    </row>
    <row r="1001" spans="1:8" x14ac:dyDescent="0.25">
      <c r="A1001" t="str">
        <f>'Unformatted Trip Summary'!A999</f>
        <v>14 OTAGO</v>
      </c>
      <c r="B1001" t="str">
        <f>'Unformatted Trip Summary'!J999</f>
        <v>2027/28</v>
      </c>
      <c r="C1001" t="str">
        <f>'Unformatted Trip Summary'!I999</f>
        <v>Non-Household Travel</v>
      </c>
      <c r="D1001">
        <f>'Unformatted Trip Summary'!D999</f>
        <v>8</v>
      </c>
      <c r="E1001">
        <f>'Unformatted Trip Summary'!E999</f>
        <v>23</v>
      </c>
      <c r="F1001" s="1">
        <f>'Unformatted Trip Summary'!F999</f>
        <v>1.0391582335</v>
      </c>
      <c r="G1001" s="1">
        <f>'Unformatted Trip Summary'!G999</f>
        <v>9.8152134405999991</v>
      </c>
      <c r="H1001" s="1">
        <f>'Unformatted Trip Summary'!H999</f>
        <v>0.3000502847</v>
      </c>
    </row>
    <row r="1002" spans="1:8" x14ac:dyDescent="0.25">
      <c r="A1002" t="str">
        <f>'Unformatted Trip Summary'!A1000</f>
        <v>14 OTAGO</v>
      </c>
      <c r="B1002" t="str">
        <f>'Unformatted Trip Summary'!J1000</f>
        <v>2032/33</v>
      </c>
      <c r="C1002" t="str">
        <f>'Unformatted Trip Summary'!I1000</f>
        <v>Non-Household Travel</v>
      </c>
      <c r="D1002">
        <f>'Unformatted Trip Summary'!D1000</f>
        <v>8</v>
      </c>
      <c r="E1002">
        <f>'Unformatted Trip Summary'!E1000</f>
        <v>23</v>
      </c>
      <c r="F1002" s="1">
        <f>'Unformatted Trip Summary'!F1000</f>
        <v>1.1506259655</v>
      </c>
      <c r="G1002" s="1">
        <f>'Unformatted Trip Summary'!G1000</f>
        <v>10.515876501999999</v>
      </c>
      <c r="H1002" s="1">
        <f>'Unformatted Trip Summary'!H1000</f>
        <v>0.33008897729999997</v>
      </c>
    </row>
    <row r="1003" spans="1:8" x14ac:dyDescent="0.25">
      <c r="A1003" t="str">
        <f>'Unformatted Trip Summary'!A1001</f>
        <v>14 OTAGO</v>
      </c>
      <c r="B1003" t="str">
        <f>'Unformatted Trip Summary'!J1001</f>
        <v>2037/38</v>
      </c>
      <c r="C1003" t="str">
        <f>'Unformatted Trip Summary'!I1001</f>
        <v>Non-Household Travel</v>
      </c>
      <c r="D1003">
        <f>'Unformatted Trip Summary'!D1001</f>
        <v>8</v>
      </c>
      <c r="E1003">
        <f>'Unformatted Trip Summary'!E1001</f>
        <v>23</v>
      </c>
      <c r="F1003" s="1">
        <f>'Unformatted Trip Summary'!F1001</f>
        <v>1.2109021453</v>
      </c>
      <c r="G1003" s="1">
        <f>'Unformatted Trip Summary'!G1001</f>
        <v>10.870034587999999</v>
      </c>
      <c r="H1003" s="1">
        <f>'Unformatted Trip Summary'!H1001</f>
        <v>0.34716449669999999</v>
      </c>
    </row>
    <row r="1004" spans="1:8" x14ac:dyDescent="0.25">
      <c r="A1004" t="str">
        <f>'Unformatted Trip Summary'!A1002</f>
        <v>14 OTAGO</v>
      </c>
      <c r="B1004" t="str">
        <f>'Unformatted Trip Summary'!J1002</f>
        <v>2042/43</v>
      </c>
      <c r="C1004" t="str">
        <f>'Unformatted Trip Summary'!I1002</f>
        <v>Non-Household Travel</v>
      </c>
      <c r="D1004">
        <f>'Unformatted Trip Summary'!D1002</f>
        <v>8</v>
      </c>
      <c r="E1004">
        <f>'Unformatted Trip Summary'!E1002</f>
        <v>23</v>
      </c>
      <c r="F1004" s="1">
        <f>'Unformatted Trip Summary'!F1002</f>
        <v>1.2821129479</v>
      </c>
      <c r="G1004" s="1">
        <f>'Unformatted Trip Summary'!G1002</f>
        <v>11.23428816</v>
      </c>
      <c r="H1004" s="1">
        <f>'Unformatted Trip Summary'!H1002</f>
        <v>0.3662330385</v>
      </c>
    </row>
    <row r="1005" spans="1:8" x14ac:dyDescent="0.25">
      <c r="A1005" t="str">
        <f>'Unformatted Trip Summary'!A1003</f>
        <v>15 SOUTHLAND</v>
      </c>
      <c r="B1005" t="str">
        <f>'Unformatted Trip Summary'!J1003</f>
        <v>2012/13</v>
      </c>
      <c r="C1005" t="str">
        <f>'Unformatted Trip Summary'!I1003</f>
        <v>Pedestrian</v>
      </c>
      <c r="D1005">
        <f>'Unformatted Trip Summary'!D1003</f>
        <v>180</v>
      </c>
      <c r="E1005">
        <f>'Unformatted Trip Summary'!E1003</f>
        <v>617</v>
      </c>
      <c r="F1005" s="1">
        <f>'Unformatted Trip Summary'!F1003</f>
        <v>12.52065131</v>
      </c>
      <c r="G1005" s="1">
        <f>'Unformatted Trip Summary'!G1003</f>
        <v>8.8466785109000003</v>
      </c>
      <c r="H1005" s="1">
        <f>'Unformatted Trip Summary'!H1003</f>
        <v>2.2528617661000001</v>
      </c>
    </row>
    <row r="1006" spans="1:8" x14ac:dyDescent="0.25">
      <c r="A1006" t="str">
        <f>'Unformatted Trip Summary'!A1004</f>
        <v>15 SOUTHLAND</v>
      </c>
      <c r="B1006" t="str">
        <f>'Unformatted Trip Summary'!J1004</f>
        <v>2017/18</v>
      </c>
      <c r="C1006" t="str">
        <f>'Unformatted Trip Summary'!I1004</f>
        <v>Pedestrian</v>
      </c>
      <c r="D1006">
        <f>'Unformatted Trip Summary'!D1004</f>
        <v>180</v>
      </c>
      <c r="E1006">
        <f>'Unformatted Trip Summary'!E1004</f>
        <v>617</v>
      </c>
      <c r="F1006" s="1">
        <f>'Unformatted Trip Summary'!F1004</f>
        <v>12.67176645</v>
      </c>
      <c r="G1006" s="1">
        <f>'Unformatted Trip Summary'!G1004</f>
        <v>8.9986548836000004</v>
      </c>
      <c r="H1006" s="1">
        <f>'Unformatted Trip Summary'!H1004</f>
        <v>2.2903714635000001</v>
      </c>
    </row>
    <row r="1007" spans="1:8" x14ac:dyDescent="0.25">
      <c r="A1007" t="str">
        <f>'Unformatted Trip Summary'!A1005</f>
        <v>15 SOUTHLAND</v>
      </c>
      <c r="B1007" t="str">
        <f>'Unformatted Trip Summary'!J1005</f>
        <v>2022/23</v>
      </c>
      <c r="C1007" t="str">
        <f>'Unformatted Trip Summary'!I1005</f>
        <v>Pedestrian</v>
      </c>
      <c r="D1007">
        <f>'Unformatted Trip Summary'!D1005</f>
        <v>180</v>
      </c>
      <c r="E1007">
        <f>'Unformatted Trip Summary'!E1005</f>
        <v>617</v>
      </c>
      <c r="F1007" s="1">
        <f>'Unformatted Trip Summary'!F1005</f>
        <v>12.663797343000001</v>
      </c>
      <c r="G1007" s="1">
        <f>'Unformatted Trip Summary'!G1005</f>
        <v>9.0068575308999996</v>
      </c>
      <c r="H1007" s="1">
        <f>'Unformatted Trip Summary'!H1005</f>
        <v>2.2892631520000002</v>
      </c>
    </row>
    <row r="1008" spans="1:8" x14ac:dyDescent="0.25">
      <c r="A1008" t="str">
        <f>'Unformatted Trip Summary'!A1006</f>
        <v>15 SOUTHLAND</v>
      </c>
      <c r="B1008" t="str">
        <f>'Unformatted Trip Summary'!J1006</f>
        <v>2027/28</v>
      </c>
      <c r="C1008" t="str">
        <f>'Unformatted Trip Summary'!I1006</f>
        <v>Pedestrian</v>
      </c>
      <c r="D1008">
        <f>'Unformatted Trip Summary'!D1006</f>
        <v>180</v>
      </c>
      <c r="E1008">
        <f>'Unformatted Trip Summary'!E1006</f>
        <v>617</v>
      </c>
      <c r="F1008" s="1">
        <f>'Unformatted Trip Summary'!F1006</f>
        <v>12.670142465</v>
      </c>
      <c r="G1008" s="1">
        <f>'Unformatted Trip Summary'!G1006</f>
        <v>9.0357188503000003</v>
      </c>
      <c r="H1008" s="1">
        <f>'Unformatted Trip Summary'!H1006</f>
        <v>2.2693279764000001</v>
      </c>
    </row>
    <row r="1009" spans="1:8" x14ac:dyDescent="0.25">
      <c r="A1009" t="str">
        <f>'Unformatted Trip Summary'!A1007</f>
        <v>15 SOUTHLAND</v>
      </c>
      <c r="B1009" t="str">
        <f>'Unformatted Trip Summary'!J1007</f>
        <v>2032/33</v>
      </c>
      <c r="C1009" t="str">
        <f>'Unformatted Trip Summary'!I1007</f>
        <v>Pedestrian</v>
      </c>
      <c r="D1009">
        <f>'Unformatted Trip Summary'!D1007</f>
        <v>180</v>
      </c>
      <c r="E1009">
        <f>'Unformatted Trip Summary'!E1007</f>
        <v>617</v>
      </c>
      <c r="F1009" s="1">
        <f>'Unformatted Trip Summary'!F1007</f>
        <v>12.474967664999999</v>
      </c>
      <c r="G1009" s="1">
        <f>'Unformatted Trip Summary'!G1007</f>
        <v>8.8610601994000007</v>
      </c>
      <c r="H1009" s="1">
        <f>'Unformatted Trip Summary'!H1007</f>
        <v>2.2193257948</v>
      </c>
    </row>
    <row r="1010" spans="1:8" x14ac:dyDescent="0.25">
      <c r="A1010" t="str">
        <f>'Unformatted Trip Summary'!A1008</f>
        <v>15 SOUTHLAND</v>
      </c>
      <c r="B1010" t="str">
        <f>'Unformatted Trip Summary'!J1008</f>
        <v>2037/38</v>
      </c>
      <c r="C1010" t="str">
        <f>'Unformatted Trip Summary'!I1008</f>
        <v>Pedestrian</v>
      </c>
      <c r="D1010">
        <f>'Unformatted Trip Summary'!D1008</f>
        <v>180</v>
      </c>
      <c r="E1010">
        <f>'Unformatted Trip Summary'!E1008</f>
        <v>617</v>
      </c>
      <c r="F1010" s="1">
        <f>'Unformatted Trip Summary'!F1008</f>
        <v>12.128150967</v>
      </c>
      <c r="G1010" s="1">
        <f>'Unformatted Trip Summary'!G1008</f>
        <v>8.6733196400000008</v>
      </c>
      <c r="H1010" s="1">
        <f>'Unformatted Trip Summary'!H1008</f>
        <v>2.1552544251999999</v>
      </c>
    </row>
    <row r="1011" spans="1:8" x14ac:dyDescent="0.25">
      <c r="A1011" t="str">
        <f>'Unformatted Trip Summary'!A1009</f>
        <v>15 SOUTHLAND</v>
      </c>
      <c r="B1011" t="str">
        <f>'Unformatted Trip Summary'!J1009</f>
        <v>2042/43</v>
      </c>
      <c r="C1011" t="str">
        <f>'Unformatted Trip Summary'!I1009</f>
        <v>Pedestrian</v>
      </c>
      <c r="D1011">
        <f>'Unformatted Trip Summary'!D1009</f>
        <v>180</v>
      </c>
      <c r="E1011">
        <f>'Unformatted Trip Summary'!E1009</f>
        <v>617</v>
      </c>
      <c r="F1011" s="1">
        <f>'Unformatted Trip Summary'!F1009</f>
        <v>11.720346974</v>
      </c>
      <c r="G1011" s="1">
        <f>'Unformatted Trip Summary'!G1009</f>
        <v>8.4250576167000002</v>
      </c>
      <c r="H1011" s="1">
        <f>'Unformatted Trip Summary'!H1009</f>
        <v>2.0780095142000001</v>
      </c>
    </row>
    <row r="1012" spans="1:8" x14ac:dyDescent="0.25">
      <c r="A1012" t="str">
        <f>'Unformatted Trip Summary'!A1010</f>
        <v>15 SOUTHLAND</v>
      </c>
      <c r="B1012" t="str">
        <f>'Unformatted Trip Summary'!J1010</f>
        <v>2012/13</v>
      </c>
      <c r="C1012" t="str">
        <f>'Unformatted Trip Summary'!I1010</f>
        <v>Cyclist</v>
      </c>
      <c r="D1012">
        <f>'Unformatted Trip Summary'!D1010</f>
        <v>19</v>
      </c>
      <c r="E1012">
        <f>'Unformatted Trip Summary'!E1010</f>
        <v>72</v>
      </c>
      <c r="F1012" s="1">
        <f>'Unformatted Trip Summary'!F1010</f>
        <v>1.0312878256</v>
      </c>
      <c r="G1012" s="1">
        <f>'Unformatted Trip Summary'!G1010</f>
        <v>7.5402861329000004</v>
      </c>
      <c r="H1012" s="1">
        <f>'Unformatted Trip Summary'!H1010</f>
        <v>0.50294231479999996</v>
      </c>
    </row>
    <row r="1013" spans="1:8" x14ac:dyDescent="0.25">
      <c r="A1013" t="str">
        <f>'Unformatted Trip Summary'!A1011</f>
        <v>15 SOUTHLAND</v>
      </c>
      <c r="B1013" t="str">
        <f>'Unformatted Trip Summary'!J1011</f>
        <v>2017/18</v>
      </c>
      <c r="C1013" t="str">
        <f>'Unformatted Trip Summary'!I1011</f>
        <v>Cyclist</v>
      </c>
      <c r="D1013">
        <f>'Unformatted Trip Summary'!D1011</f>
        <v>19</v>
      </c>
      <c r="E1013">
        <f>'Unformatted Trip Summary'!E1011</f>
        <v>72</v>
      </c>
      <c r="F1013" s="1">
        <f>'Unformatted Trip Summary'!F1011</f>
        <v>1.0678761439</v>
      </c>
      <c r="G1013" s="1">
        <f>'Unformatted Trip Summary'!G1011</f>
        <v>8.2699694715999996</v>
      </c>
      <c r="H1013" s="1">
        <f>'Unformatted Trip Summary'!H1011</f>
        <v>0.5430200288</v>
      </c>
    </row>
    <row r="1014" spans="1:8" x14ac:dyDescent="0.25">
      <c r="A1014" t="str">
        <f>'Unformatted Trip Summary'!A1012</f>
        <v>15 SOUTHLAND</v>
      </c>
      <c r="B1014" t="str">
        <f>'Unformatted Trip Summary'!J1012</f>
        <v>2022/23</v>
      </c>
      <c r="C1014" t="str">
        <f>'Unformatted Trip Summary'!I1012</f>
        <v>Cyclist</v>
      </c>
      <c r="D1014">
        <f>'Unformatted Trip Summary'!D1012</f>
        <v>19</v>
      </c>
      <c r="E1014">
        <f>'Unformatted Trip Summary'!E1012</f>
        <v>72</v>
      </c>
      <c r="F1014" s="1">
        <f>'Unformatted Trip Summary'!F1012</f>
        <v>1.0571378150999999</v>
      </c>
      <c r="G1014" s="1">
        <f>'Unformatted Trip Summary'!G1012</f>
        <v>8.3916132251000004</v>
      </c>
      <c r="H1014" s="1">
        <f>'Unformatted Trip Summary'!H1012</f>
        <v>0.54979784269999998</v>
      </c>
    </row>
    <row r="1015" spans="1:8" x14ac:dyDescent="0.25">
      <c r="A1015" t="str">
        <f>'Unformatted Trip Summary'!A1013</f>
        <v>15 SOUTHLAND</v>
      </c>
      <c r="B1015" t="str">
        <f>'Unformatted Trip Summary'!J1013</f>
        <v>2027/28</v>
      </c>
      <c r="C1015" t="str">
        <f>'Unformatted Trip Summary'!I1013</f>
        <v>Cyclist</v>
      </c>
      <c r="D1015">
        <f>'Unformatted Trip Summary'!D1013</f>
        <v>19</v>
      </c>
      <c r="E1015">
        <f>'Unformatted Trip Summary'!E1013</f>
        <v>72</v>
      </c>
      <c r="F1015" s="1">
        <f>'Unformatted Trip Summary'!F1013</f>
        <v>1.0495408874000001</v>
      </c>
      <c r="G1015" s="1">
        <f>'Unformatted Trip Summary'!G1013</f>
        <v>7.6737036134999999</v>
      </c>
      <c r="H1015" s="1">
        <f>'Unformatted Trip Summary'!H1013</f>
        <v>0.518384171</v>
      </c>
    </row>
    <row r="1016" spans="1:8" x14ac:dyDescent="0.25">
      <c r="A1016" t="str">
        <f>'Unformatted Trip Summary'!A1014</f>
        <v>15 SOUTHLAND</v>
      </c>
      <c r="B1016" t="str">
        <f>'Unformatted Trip Summary'!J1014</f>
        <v>2032/33</v>
      </c>
      <c r="C1016" t="str">
        <f>'Unformatted Trip Summary'!I1014</f>
        <v>Cyclist</v>
      </c>
      <c r="D1016">
        <f>'Unformatted Trip Summary'!D1014</f>
        <v>19</v>
      </c>
      <c r="E1016">
        <f>'Unformatted Trip Summary'!E1014</f>
        <v>72</v>
      </c>
      <c r="F1016" s="1">
        <f>'Unformatted Trip Summary'!F1014</f>
        <v>1.0461178603000001</v>
      </c>
      <c r="G1016" s="1">
        <f>'Unformatted Trip Summary'!G1014</f>
        <v>7.1627488067999998</v>
      </c>
      <c r="H1016" s="1">
        <f>'Unformatted Trip Summary'!H1014</f>
        <v>0.49327534140000001</v>
      </c>
    </row>
    <row r="1017" spans="1:8" x14ac:dyDescent="0.25">
      <c r="A1017" t="str">
        <f>'Unformatted Trip Summary'!A1015</f>
        <v>15 SOUTHLAND</v>
      </c>
      <c r="B1017" t="str">
        <f>'Unformatted Trip Summary'!J1015</f>
        <v>2037/38</v>
      </c>
      <c r="C1017" t="str">
        <f>'Unformatted Trip Summary'!I1015</f>
        <v>Cyclist</v>
      </c>
      <c r="D1017">
        <f>'Unformatted Trip Summary'!D1015</f>
        <v>19</v>
      </c>
      <c r="E1017">
        <f>'Unformatted Trip Summary'!E1015</f>
        <v>72</v>
      </c>
      <c r="F1017" s="1">
        <f>'Unformatted Trip Summary'!F1015</f>
        <v>0.99486649149999995</v>
      </c>
      <c r="G1017" s="1">
        <f>'Unformatted Trip Summary'!G1015</f>
        <v>6.7447243009999998</v>
      </c>
      <c r="H1017" s="1">
        <f>'Unformatted Trip Summary'!H1015</f>
        <v>0.46472311199999999</v>
      </c>
    </row>
    <row r="1018" spans="1:8" x14ac:dyDescent="0.25">
      <c r="A1018" t="str">
        <f>'Unformatted Trip Summary'!A1016</f>
        <v>15 SOUTHLAND</v>
      </c>
      <c r="B1018" t="str">
        <f>'Unformatted Trip Summary'!J1016</f>
        <v>2042/43</v>
      </c>
      <c r="C1018" t="str">
        <f>'Unformatted Trip Summary'!I1016</f>
        <v>Cyclist</v>
      </c>
      <c r="D1018">
        <f>'Unformatted Trip Summary'!D1016</f>
        <v>19</v>
      </c>
      <c r="E1018">
        <f>'Unformatted Trip Summary'!E1016</f>
        <v>72</v>
      </c>
      <c r="F1018" s="1">
        <f>'Unformatted Trip Summary'!F1016</f>
        <v>0.9388032207</v>
      </c>
      <c r="G1018" s="1">
        <f>'Unformatted Trip Summary'!G1016</f>
        <v>6.3184077732999997</v>
      </c>
      <c r="H1018" s="1">
        <f>'Unformatted Trip Summary'!H1016</f>
        <v>0.4355834569</v>
      </c>
    </row>
    <row r="1019" spans="1:8" x14ac:dyDescent="0.25">
      <c r="A1019" t="str">
        <f>'Unformatted Trip Summary'!A1017</f>
        <v>15 SOUTHLAND</v>
      </c>
      <c r="B1019" t="str">
        <f>'Unformatted Trip Summary'!J1017</f>
        <v>2012/13</v>
      </c>
      <c r="C1019" t="str">
        <f>'Unformatted Trip Summary'!I1017</f>
        <v>Light Vehicle Driver</v>
      </c>
      <c r="D1019">
        <f>'Unformatted Trip Summary'!D1017</f>
        <v>442</v>
      </c>
      <c r="E1019">
        <f>'Unformatted Trip Summary'!E1017</f>
        <v>3080</v>
      </c>
      <c r="F1019" s="1">
        <f>'Unformatted Trip Summary'!F1017</f>
        <v>66.981547285000005</v>
      </c>
      <c r="G1019" s="1">
        <f>'Unformatted Trip Summary'!G1017</f>
        <v>657.74873722999996</v>
      </c>
      <c r="H1019" s="1">
        <f>'Unformatted Trip Summary'!H1017</f>
        <v>14.603785903</v>
      </c>
    </row>
    <row r="1020" spans="1:8" x14ac:dyDescent="0.25">
      <c r="A1020" t="str">
        <f>'Unformatted Trip Summary'!A1018</f>
        <v>15 SOUTHLAND</v>
      </c>
      <c r="B1020" t="str">
        <f>'Unformatted Trip Summary'!J1018</f>
        <v>2017/18</v>
      </c>
      <c r="C1020" t="str">
        <f>'Unformatted Trip Summary'!I1018</f>
        <v>Light Vehicle Driver</v>
      </c>
      <c r="D1020">
        <f>'Unformatted Trip Summary'!D1018</f>
        <v>442</v>
      </c>
      <c r="E1020">
        <f>'Unformatted Trip Summary'!E1018</f>
        <v>3080</v>
      </c>
      <c r="F1020" s="1">
        <f>'Unformatted Trip Summary'!F1018</f>
        <v>70.112909492</v>
      </c>
      <c r="G1020" s="1">
        <f>'Unformatted Trip Summary'!G1018</f>
        <v>708.43675368000004</v>
      </c>
      <c r="H1020" s="1">
        <f>'Unformatted Trip Summary'!H1018</f>
        <v>15.594350167</v>
      </c>
    </row>
    <row r="1021" spans="1:8" x14ac:dyDescent="0.25">
      <c r="A1021" t="str">
        <f>'Unformatted Trip Summary'!A1019</f>
        <v>15 SOUTHLAND</v>
      </c>
      <c r="B1021" t="str">
        <f>'Unformatted Trip Summary'!J1019</f>
        <v>2022/23</v>
      </c>
      <c r="C1021" t="str">
        <f>'Unformatted Trip Summary'!I1019</f>
        <v>Light Vehicle Driver</v>
      </c>
      <c r="D1021">
        <f>'Unformatted Trip Summary'!D1019</f>
        <v>442</v>
      </c>
      <c r="E1021">
        <f>'Unformatted Trip Summary'!E1019</f>
        <v>3080</v>
      </c>
      <c r="F1021" s="1">
        <f>'Unformatted Trip Summary'!F1019</f>
        <v>70.759873339999999</v>
      </c>
      <c r="G1021" s="1">
        <f>'Unformatted Trip Summary'!G1019</f>
        <v>733.46734273000004</v>
      </c>
      <c r="H1021" s="1">
        <f>'Unformatted Trip Summary'!H1019</f>
        <v>16.008576709</v>
      </c>
    </row>
    <row r="1022" spans="1:8" x14ac:dyDescent="0.25">
      <c r="A1022" t="str">
        <f>'Unformatted Trip Summary'!A1020</f>
        <v>15 SOUTHLAND</v>
      </c>
      <c r="B1022" t="str">
        <f>'Unformatted Trip Summary'!J1020</f>
        <v>2027/28</v>
      </c>
      <c r="C1022" t="str">
        <f>'Unformatted Trip Summary'!I1020</f>
        <v>Light Vehicle Driver</v>
      </c>
      <c r="D1022">
        <f>'Unformatted Trip Summary'!D1020</f>
        <v>442</v>
      </c>
      <c r="E1022">
        <f>'Unformatted Trip Summary'!E1020</f>
        <v>3080</v>
      </c>
      <c r="F1022" s="1">
        <f>'Unformatted Trip Summary'!F1020</f>
        <v>70.966477205000004</v>
      </c>
      <c r="G1022" s="1">
        <f>'Unformatted Trip Summary'!G1020</f>
        <v>746.11241403999998</v>
      </c>
      <c r="H1022" s="1">
        <f>'Unformatted Trip Summary'!H1020</f>
        <v>16.183636717999999</v>
      </c>
    </row>
    <row r="1023" spans="1:8" x14ac:dyDescent="0.25">
      <c r="A1023" t="str">
        <f>'Unformatted Trip Summary'!A1021</f>
        <v>15 SOUTHLAND</v>
      </c>
      <c r="B1023" t="str">
        <f>'Unformatted Trip Summary'!J1021</f>
        <v>2032/33</v>
      </c>
      <c r="C1023" t="str">
        <f>'Unformatted Trip Summary'!I1021</f>
        <v>Light Vehicle Driver</v>
      </c>
      <c r="D1023">
        <f>'Unformatted Trip Summary'!D1021</f>
        <v>442</v>
      </c>
      <c r="E1023">
        <f>'Unformatted Trip Summary'!E1021</f>
        <v>3080</v>
      </c>
      <c r="F1023" s="1">
        <f>'Unformatted Trip Summary'!F1021</f>
        <v>71.481983447000005</v>
      </c>
      <c r="G1023" s="1">
        <f>'Unformatted Trip Summary'!G1021</f>
        <v>757.43098916999998</v>
      </c>
      <c r="H1023" s="1">
        <f>'Unformatted Trip Summary'!H1021</f>
        <v>16.368136016000001</v>
      </c>
    </row>
    <row r="1024" spans="1:8" x14ac:dyDescent="0.25">
      <c r="A1024" t="str">
        <f>'Unformatted Trip Summary'!A1022</f>
        <v>15 SOUTHLAND</v>
      </c>
      <c r="B1024" t="str">
        <f>'Unformatted Trip Summary'!J1022</f>
        <v>2037/38</v>
      </c>
      <c r="C1024" t="str">
        <f>'Unformatted Trip Summary'!I1022</f>
        <v>Light Vehicle Driver</v>
      </c>
      <c r="D1024">
        <f>'Unformatted Trip Summary'!D1022</f>
        <v>442</v>
      </c>
      <c r="E1024">
        <f>'Unformatted Trip Summary'!E1022</f>
        <v>3080</v>
      </c>
      <c r="F1024" s="1">
        <f>'Unformatted Trip Summary'!F1022</f>
        <v>71.423208333999995</v>
      </c>
      <c r="G1024" s="1">
        <f>'Unformatted Trip Summary'!G1022</f>
        <v>760.68044485999997</v>
      </c>
      <c r="H1024" s="1">
        <f>'Unformatted Trip Summary'!H1022</f>
        <v>16.411560755</v>
      </c>
    </row>
    <row r="1025" spans="1:8" x14ac:dyDescent="0.25">
      <c r="A1025" t="str">
        <f>'Unformatted Trip Summary'!A1023</f>
        <v>15 SOUTHLAND</v>
      </c>
      <c r="B1025" t="str">
        <f>'Unformatted Trip Summary'!J1023</f>
        <v>2042/43</v>
      </c>
      <c r="C1025" t="str">
        <f>'Unformatted Trip Summary'!I1023</f>
        <v>Light Vehicle Driver</v>
      </c>
      <c r="D1025">
        <f>'Unformatted Trip Summary'!D1023</f>
        <v>442</v>
      </c>
      <c r="E1025">
        <f>'Unformatted Trip Summary'!E1023</f>
        <v>3080</v>
      </c>
      <c r="F1025" s="1">
        <f>'Unformatted Trip Summary'!F1023</f>
        <v>71.149409809000005</v>
      </c>
      <c r="G1025" s="1">
        <f>'Unformatted Trip Summary'!G1023</f>
        <v>762.19137111999999</v>
      </c>
      <c r="H1025" s="1">
        <f>'Unformatted Trip Summary'!H1023</f>
        <v>16.40376221</v>
      </c>
    </row>
    <row r="1026" spans="1:8" x14ac:dyDescent="0.25">
      <c r="A1026" t="str">
        <f>'Unformatted Trip Summary'!A1024</f>
        <v>15 SOUTHLAND</v>
      </c>
      <c r="B1026" t="str">
        <f>'Unformatted Trip Summary'!J1024</f>
        <v>2012/13</v>
      </c>
      <c r="C1026" t="str">
        <f>'Unformatted Trip Summary'!I1024</f>
        <v>Light Vehicle Passenger</v>
      </c>
      <c r="D1026">
        <f>'Unformatted Trip Summary'!D1024</f>
        <v>289</v>
      </c>
      <c r="E1026">
        <f>'Unformatted Trip Summary'!E1024</f>
        <v>1411</v>
      </c>
      <c r="F1026" s="1">
        <f>'Unformatted Trip Summary'!F1024</f>
        <v>28.419434702</v>
      </c>
      <c r="G1026" s="1">
        <f>'Unformatted Trip Summary'!G1024</f>
        <v>380.70733008000002</v>
      </c>
      <c r="H1026" s="1">
        <f>'Unformatted Trip Summary'!H1024</f>
        <v>7.5859087797999996</v>
      </c>
    </row>
    <row r="1027" spans="1:8" x14ac:dyDescent="0.25">
      <c r="A1027" t="str">
        <f>'Unformatted Trip Summary'!A1025</f>
        <v>15 SOUTHLAND</v>
      </c>
      <c r="B1027" t="str">
        <f>'Unformatted Trip Summary'!J1025</f>
        <v>2017/18</v>
      </c>
      <c r="C1027" t="str">
        <f>'Unformatted Trip Summary'!I1025</f>
        <v>Light Vehicle Passenger</v>
      </c>
      <c r="D1027">
        <f>'Unformatted Trip Summary'!D1025</f>
        <v>289</v>
      </c>
      <c r="E1027">
        <f>'Unformatted Trip Summary'!E1025</f>
        <v>1411</v>
      </c>
      <c r="F1027" s="1">
        <f>'Unformatted Trip Summary'!F1025</f>
        <v>27.396659457999998</v>
      </c>
      <c r="G1027" s="1">
        <f>'Unformatted Trip Summary'!G1025</f>
        <v>391.52845958</v>
      </c>
      <c r="H1027" s="1">
        <f>'Unformatted Trip Summary'!H1025</f>
        <v>7.6456324514</v>
      </c>
    </row>
    <row r="1028" spans="1:8" x14ac:dyDescent="0.25">
      <c r="A1028" t="str">
        <f>'Unformatted Trip Summary'!A1026</f>
        <v>15 SOUTHLAND</v>
      </c>
      <c r="B1028" t="str">
        <f>'Unformatted Trip Summary'!J1026</f>
        <v>2022/23</v>
      </c>
      <c r="C1028" t="str">
        <f>'Unformatted Trip Summary'!I1026</f>
        <v>Light Vehicle Passenger</v>
      </c>
      <c r="D1028">
        <f>'Unformatted Trip Summary'!D1026</f>
        <v>289</v>
      </c>
      <c r="E1028">
        <f>'Unformatted Trip Summary'!E1026</f>
        <v>1411</v>
      </c>
      <c r="F1028" s="1">
        <f>'Unformatted Trip Summary'!F1026</f>
        <v>26.305720794999999</v>
      </c>
      <c r="G1028" s="1">
        <f>'Unformatted Trip Summary'!G1026</f>
        <v>397.62404812</v>
      </c>
      <c r="H1028" s="1">
        <f>'Unformatted Trip Summary'!H1026</f>
        <v>7.6504562911000003</v>
      </c>
    </row>
    <row r="1029" spans="1:8" x14ac:dyDescent="0.25">
      <c r="A1029" t="str">
        <f>'Unformatted Trip Summary'!A1027</f>
        <v>15 SOUTHLAND</v>
      </c>
      <c r="B1029" t="str">
        <f>'Unformatted Trip Summary'!J1027</f>
        <v>2027/28</v>
      </c>
      <c r="C1029" t="str">
        <f>'Unformatted Trip Summary'!I1027</f>
        <v>Light Vehicle Passenger</v>
      </c>
      <c r="D1029">
        <f>'Unformatted Trip Summary'!D1027</f>
        <v>289</v>
      </c>
      <c r="E1029">
        <f>'Unformatted Trip Summary'!E1027</f>
        <v>1411</v>
      </c>
      <c r="F1029" s="1">
        <f>'Unformatted Trip Summary'!F1027</f>
        <v>25.438521776999998</v>
      </c>
      <c r="G1029" s="1">
        <f>'Unformatted Trip Summary'!G1027</f>
        <v>397.90019488000002</v>
      </c>
      <c r="H1029" s="1">
        <f>'Unformatted Trip Summary'!H1027</f>
        <v>7.5992882773000003</v>
      </c>
    </row>
    <row r="1030" spans="1:8" x14ac:dyDescent="0.25">
      <c r="A1030" t="str">
        <f>'Unformatted Trip Summary'!A1028</f>
        <v>15 SOUTHLAND</v>
      </c>
      <c r="B1030" t="str">
        <f>'Unformatted Trip Summary'!J1028</f>
        <v>2032/33</v>
      </c>
      <c r="C1030" t="str">
        <f>'Unformatted Trip Summary'!I1028</f>
        <v>Light Vehicle Passenger</v>
      </c>
      <c r="D1030">
        <f>'Unformatted Trip Summary'!D1028</f>
        <v>289</v>
      </c>
      <c r="E1030">
        <f>'Unformatted Trip Summary'!E1028</f>
        <v>1411</v>
      </c>
      <c r="F1030" s="1">
        <f>'Unformatted Trip Summary'!F1028</f>
        <v>24.483691946</v>
      </c>
      <c r="G1030" s="1">
        <f>'Unformatted Trip Summary'!G1028</f>
        <v>392.46624863</v>
      </c>
      <c r="H1030" s="1">
        <f>'Unformatted Trip Summary'!H1028</f>
        <v>7.4602710687</v>
      </c>
    </row>
    <row r="1031" spans="1:8" x14ac:dyDescent="0.25">
      <c r="A1031" t="str">
        <f>'Unformatted Trip Summary'!A1029</f>
        <v>15 SOUTHLAND</v>
      </c>
      <c r="B1031" t="str">
        <f>'Unformatted Trip Summary'!J1029</f>
        <v>2037/38</v>
      </c>
      <c r="C1031" t="str">
        <f>'Unformatted Trip Summary'!I1029</f>
        <v>Light Vehicle Passenger</v>
      </c>
      <c r="D1031">
        <f>'Unformatted Trip Summary'!D1029</f>
        <v>289</v>
      </c>
      <c r="E1031">
        <f>'Unformatted Trip Summary'!E1029</f>
        <v>1411</v>
      </c>
      <c r="F1031" s="1">
        <f>'Unformatted Trip Summary'!F1029</f>
        <v>23.394720917000001</v>
      </c>
      <c r="G1031" s="1">
        <f>'Unformatted Trip Summary'!G1029</f>
        <v>382.03214718999999</v>
      </c>
      <c r="H1031" s="1">
        <f>'Unformatted Trip Summary'!H1029</f>
        <v>7.2299544631000003</v>
      </c>
    </row>
    <row r="1032" spans="1:8" x14ac:dyDescent="0.25">
      <c r="A1032" t="str">
        <f>'Unformatted Trip Summary'!A1030</f>
        <v>15 SOUTHLAND</v>
      </c>
      <c r="B1032" t="str">
        <f>'Unformatted Trip Summary'!J1030</f>
        <v>2042/43</v>
      </c>
      <c r="C1032" t="str">
        <f>'Unformatted Trip Summary'!I1030</f>
        <v>Light Vehicle Passenger</v>
      </c>
      <c r="D1032">
        <f>'Unformatted Trip Summary'!D1030</f>
        <v>289</v>
      </c>
      <c r="E1032">
        <f>'Unformatted Trip Summary'!E1030</f>
        <v>1411</v>
      </c>
      <c r="F1032" s="1">
        <f>'Unformatted Trip Summary'!F1030</f>
        <v>22.192092045999999</v>
      </c>
      <c r="G1032" s="1">
        <f>'Unformatted Trip Summary'!G1030</f>
        <v>369.00148321</v>
      </c>
      <c r="H1032" s="1">
        <f>'Unformatted Trip Summary'!H1030</f>
        <v>6.9496726449999997</v>
      </c>
    </row>
    <row r="1033" spans="1:8" x14ac:dyDescent="0.25">
      <c r="A1033" t="str">
        <f>'Unformatted Trip Summary'!A1031</f>
        <v>15 SOUTHLAND</v>
      </c>
      <c r="B1033" t="str">
        <f>'Unformatted Trip Summary'!J1031</f>
        <v>2012/13</v>
      </c>
      <c r="C1033" t="str">
        <f>'Unformatted Trip Summary'!I1031</f>
        <v>Taxi/Vehicle Share</v>
      </c>
      <c r="D1033">
        <f>'Unformatted Trip Summary'!D1031</f>
        <v>4</v>
      </c>
      <c r="E1033">
        <f>'Unformatted Trip Summary'!E1031</f>
        <v>15</v>
      </c>
      <c r="F1033" s="1">
        <f>'Unformatted Trip Summary'!F1031</f>
        <v>0.47613164409999997</v>
      </c>
      <c r="G1033" s="1">
        <f>'Unformatted Trip Summary'!G1031</f>
        <v>1.2430116738999999</v>
      </c>
      <c r="H1033" s="1">
        <f>'Unformatted Trip Summary'!H1031</f>
        <v>6.6688903300000005E-2</v>
      </c>
    </row>
    <row r="1034" spans="1:8" x14ac:dyDescent="0.25">
      <c r="A1034" t="str">
        <f>'Unformatted Trip Summary'!A1032</f>
        <v>15 SOUTHLAND</v>
      </c>
      <c r="B1034" t="str">
        <f>'Unformatted Trip Summary'!J1032</f>
        <v>2017/18</v>
      </c>
      <c r="C1034" t="str">
        <f>'Unformatted Trip Summary'!I1032</f>
        <v>Taxi/Vehicle Share</v>
      </c>
      <c r="D1034">
        <f>'Unformatted Trip Summary'!D1032</f>
        <v>4</v>
      </c>
      <c r="E1034">
        <f>'Unformatted Trip Summary'!E1032</f>
        <v>15</v>
      </c>
      <c r="F1034" s="1">
        <f>'Unformatted Trip Summary'!F1032</f>
        <v>0.51371038000000002</v>
      </c>
      <c r="G1034" s="1">
        <f>'Unformatted Trip Summary'!G1032</f>
        <v>1.4451284210999999</v>
      </c>
      <c r="H1034" s="1">
        <f>'Unformatted Trip Summary'!H1032</f>
        <v>7.5924466400000001E-2</v>
      </c>
    </row>
    <row r="1035" spans="1:8" x14ac:dyDescent="0.25">
      <c r="A1035" t="str">
        <f>'Unformatted Trip Summary'!A1033</f>
        <v>15 SOUTHLAND</v>
      </c>
      <c r="B1035" t="str">
        <f>'Unformatted Trip Summary'!J1033</f>
        <v>2022/23</v>
      </c>
      <c r="C1035" t="str">
        <f>'Unformatted Trip Summary'!I1033</f>
        <v>Taxi/Vehicle Share</v>
      </c>
      <c r="D1035">
        <f>'Unformatted Trip Summary'!D1033</f>
        <v>4</v>
      </c>
      <c r="E1035">
        <f>'Unformatted Trip Summary'!E1033</f>
        <v>15</v>
      </c>
      <c r="F1035" s="1">
        <f>'Unformatted Trip Summary'!F1033</f>
        <v>0.53979895960000002</v>
      </c>
      <c r="G1035" s="1">
        <f>'Unformatted Trip Summary'!G1033</f>
        <v>1.5841420984000001</v>
      </c>
      <c r="H1035" s="1">
        <f>'Unformatted Trip Summary'!H1033</f>
        <v>8.2236102899999997E-2</v>
      </c>
    </row>
    <row r="1036" spans="1:8" x14ac:dyDescent="0.25">
      <c r="A1036" t="str">
        <f>'Unformatted Trip Summary'!A1034</f>
        <v>15 SOUTHLAND</v>
      </c>
      <c r="B1036" t="str">
        <f>'Unformatted Trip Summary'!J1034</f>
        <v>2027/28</v>
      </c>
      <c r="C1036" t="str">
        <f>'Unformatted Trip Summary'!I1034</f>
        <v>Taxi/Vehicle Share</v>
      </c>
      <c r="D1036">
        <f>'Unformatted Trip Summary'!D1034</f>
        <v>4</v>
      </c>
      <c r="E1036">
        <f>'Unformatted Trip Summary'!E1034</f>
        <v>15</v>
      </c>
      <c r="F1036" s="1">
        <f>'Unformatted Trip Summary'!F1034</f>
        <v>0.56861664270000001</v>
      </c>
      <c r="G1036" s="1">
        <f>'Unformatted Trip Summary'!G1034</f>
        <v>1.676464041</v>
      </c>
      <c r="H1036" s="1">
        <f>'Unformatted Trip Summary'!H1034</f>
        <v>8.6748699100000007E-2</v>
      </c>
    </row>
    <row r="1037" spans="1:8" x14ac:dyDescent="0.25">
      <c r="A1037" t="str">
        <f>'Unformatted Trip Summary'!A1035</f>
        <v>15 SOUTHLAND</v>
      </c>
      <c r="B1037" t="str">
        <f>'Unformatted Trip Summary'!J1035</f>
        <v>2032/33</v>
      </c>
      <c r="C1037" t="str">
        <f>'Unformatted Trip Summary'!I1035</f>
        <v>Taxi/Vehicle Share</v>
      </c>
      <c r="D1037">
        <f>'Unformatted Trip Summary'!D1035</f>
        <v>4</v>
      </c>
      <c r="E1037">
        <f>'Unformatted Trip Summary'!E1035</f>
        <v>15</v>
      </c>
      <c r="F1037" s="1">
        <f>'Unformatted Trip Summary'!F1035</f>
        <v>0.59786038919999995</v>
      </c>
      <c r="G1037" s="1">
        <f>'Unformatted Trip Summary'!G1035</f>
        <v>1.7422705538000001</v>
      </c>
      <c r="H1037" s="1">
        <f>'Unformatted Trip Summary'!H1035</f>
        <v>9.02596757E-2</v>
      </c>
    </row>
    <row r="1038" spans="1:8" x14ac:dyDescent="0.25">
      <c r="A1038" t="str">
        <f>'Unformatted Trip Summary'!A1036</f>
        <v>15 SOUTHLAND</v>
      </c>
      <c r="B1038" t="str">
        <f>'Unformatted Trip Summary'!J1036</f>
        <v>2037/38</v>
      </c>
      <c r="C1038" t="str">
        <f>'Unformatted Trip Summary'!I1036</f>
        <v>Taxi/Vehicle Share</v>
      </c>
      <c r="D1038">
        <f>'Unformatted Trip Summary'!D1036</f>
        <v>4</v>
      </c>
      <c r="E1038">
        <f>'Unformatted Trip Summary'!E1036</f>
        <v>15</v>
      </c>
      <c r="F1038" s="1">
        <f>'Unformatted Trip Summary'!F1036</f>
        <v>0.61516664320000003</v>
      </c>
      <c r="G1038" s="1">
        <f>'Unformatted Trip Summary'!G1036</f>
        <v>1.7691115628</v>
      </c>
      <c r="H1038" s="1">
        <f>'Unformatted Trip Summary'!H1036</f>
        <v>9.1836675800000003E-2</v>
      </c>
    </row>
    <row r="1039" spans="1:8" x14ac:dyDescent="0.25">
      <c r="A1039" t="str">
        <f>'Unformatted Trip Summary'!A1037</f>
        <v>15 SOUTHLAND</v>
      </c>
      <c r="B1039" t="str">
        <f>'Unformatted Trip Summary'!J1037</f>
        <v>2042/43</v>
      </c>
      <c r="C1039" t="str">
        <f>'Unformatted Trip Summary'!I1037</f>
        <v>Taxi/Vehicle Share</v>
      </c>
      <c r="D1039">
        <f>'Unformatted Trip Summary'!D1037</f>
        <v>4</v>
      </c>
      <c r="E1039">
        <f>'Unformatted Trip Summary'!E1037</f>
        <v>15</v>
      </c>
      <c r="F1039" s="1">
        <f>'Unformatted Trip Summary'!F1037</f>
        <v>0.6312855799</v>
      </c>
      <c r="G1039" s="1">
        <f>'Unformatted Trip Summary'!G1037</f>
        <v>1.7905152488</v>
      </c>
      <c r="H1039" s="1">
        <f>'Unformatted Trip Summary'!H1037</f>
        <v>9.3162798899999996E-2</v>
      </c>
    </row>
    <row r="1040" spans="1:8" x14ac:dyDescent="0.25">
      <c r="A1040" t="str">
        <f>'Unformatted Trip Summary'!A1038</f>
        <v>15 SOUTHLAND</v>
      </c>
      <c r="B1040" t="str">
        <f>'Unformatted Trip Summary'!J1038</f>
        <v>2012/13</v>
      </c>
      <c r="C1040" t="str">
        <f>'Unformatted Trip Summary'!I1038</f>
        <v>Motorcyclist</v>
      </c>
      <c r="D1040">
        <f>'Unformatted Trip Summary'!D1038</f>
        <v>8</v>
      </c>
      <c r="E1040">
        <f>'Unformatted Trip Summary'!E1038</f>
        <v>32</v>
      </c>
      <c r="F1040" s="1">
        <f>'Unformatted Trip Summary'!F1038</f>
        <v>0.62652592730000001</v>
      </c>
      <c r="G1040" s="1">
        <f>'Unformatted Trip Summary'!G1038</f>
        <v>18.926640866</v>
      </c>
      <c r="H1040" s="1">
        <f>'Unformatted Trip Summary'!H1038</f>
        <v>0.2609239458</v>
      </c>
    </row>
    <row r="1041" spans="1:8" x14ac:dyDescent="0.25">
      <c r="A1041" t="str">
        <f>'Unformatted Trip Summary'!A1039</f>
        <v>15 SOUTHLAND</v>
      </c>
      <c r="B1041" t="str">
        <f>'Unformatted Trip Summary'!J1039</f>
        <v>2017/18</v>
      </c>
      <c r="C1041" t="str">
        <f>'Unformatted Trip Summary'!I1039</f>
        <v>Motorcyclist</v>
      </c>
      <c r="D1041">
        <f>'Unformatted Trip Summary'!D1039</f>
        <v>8</v>
      </c>
      <c r="E1041">
        <f>'Unformatted Trip Summary'!E1039</f>
        <v>32</v>
      </c>
      <c r="F1041" s="1">
        <f>'Unformatted Trip Summary'!F1039</f>
        <v>0.71660772880000001</v>
      </c>
      <c r="G1041" s="1">
        <f>'Unformatted Trip Summary'!G1039</f>
        <v>24.485188045000001</v>
      </c>
      <c r="H1041" s="1">
        <f>'Unformatted Trip Summary'!H1039</f>
        <v>0.32962729860000001</v>
      </c>
    </row>
    <row r="1042" spans="1:8" x14ac:dyDescent="0.25">
      <c r="A1042" t="str">
        <f>'Unformatted Trip Summary'!A1040</f>
        <v>15 SOUTHLAND</v>
      </c>
      <c r="B1042" t="str">
        <f>'Unformatted Trip Summary'!J1040</f>
        <v>2022/23</v>
      </c>
      <c r="C1042" t="str">
        <f>'Unformatted Trip Summary'!I1040</f>
        <v>Motorcyclist</v>
      </c>
      <c r="D1042">
        <f>'Unformatted Trip Summary'!D1040</f>
        <v>8</v>
      </c>
      <c r="E1042">
        <f>'Unformatted Trip Summary'!E1040</f>
        <v>32</v>
      </c>
      <c r="F1042" s="1">
        <f>'Unformatted Trip Summary'!F1040</f>
        <v>0.77492171639999996</v>
      </c>
      <c r="G1042" s="1">
        <f>'Unformatted Trip Summary'!G1040</f>
        <v>28.452920895999998</v>
      </c>
      <c r="H1042" s="1">
        <f>'Unformatted Trip Summary'!H1040</f>
        <v>0.37833424249999997</v>
      </c>
    </row>
    <row r="1043" spans="1:8" x14ac:dyDescent="0.25">
      <c r="A1043" t="str">
        <f>'Unformatted Trip Summary'!A1041</f>
        <v>15 SOUTHLAND</v>
      </c>
      <c r="B1043" t="str">
        <f>'Unformatted Trip Summary'!J1041</f>
        <v>2027/28</v>
      </c>
      <c r="C1043" t="str">
        <f>'Unformatted Trip Summary'!I1041</f>
        <v>Motorcyclist</v>
      </c>
      <c r="D1043">
        <f>'Unformatted Trip Summary'!D1041</f>
        <v>8</v>
      </c>
      <c r="E1043">
        <f>'Unformatted Trip Summary'!E1041</f>
        <v>32</v>
      </c>
      <c r="F1043" s="1">
        <f>'Unformatted Trip Summary'!F1041</f>
        <v>0.80018142670000003</v>
      </c>
      <c r="G1043" s="1">
        <f>'Unformatted Trip Summary'!G1041</f>
        <v>30.162706071999999</v>
      </c>
      <c r="H1043" s="1">
        <f>'Unformatted Trip Summary'!H1041</f>
        <v>0.39919420680000001</v>
      </c>
    </row>
    <row r="1044" spans="1:8" x14ac:dyDescent="0.25">
      <c r="A1044" t="str">
        <f>'Unformatted Trip Summary'!A1042</f>
        <v>15 SOUTHLAND</v>
      </c>
      <c r="B1044" t="str">
        <f>'Unformatted Trip Summary'!J1042</f>
        <v>2032/33</v>
      </c>
      <c r="C1044" t="str">
        <f>'Unformatted Trip Summary'!I1042</f>
        <v>Motorcyclist</v>
      </c>
      <c r="D1044">
        <f>'Unformatted Trip Summary'!D1042</f>
        <v>8</v>
      </c>
      <c r="E1044">
        <f>'Unformatted Trip Summary'!E1042</f>
        <v>32</v>
      </c>
      <c r="F1044" s="1">
        <f>'Unformatted Trip Summary'!F1042</f>
        <v>0.79735258929999997</v>
      </c>
      <c r="G1044" s="1">
        <f>'Unformatted Trip Summary'!G1042</f>
        <v>30.638000284</v>
      </c>
      <c r="H1044" s="1">
        <f>'Unformatted Trip Summary'!H1042</f>
        <v>0.40415125349999997</v>
      </c>
    </row>
    <row r="1045" spans="1:8" x14ac:dyDescent="0.25">
      <c r="A1045" t="str">
        <f>'Unformatted Trip Summary'!A1043</f>
        <v>15 SOUTHLAND</v>
      </c>
      <c r="B1045" t="str">
        <f>'Unformatted Trip Summary'!J1043</f>
        <v>2037/38</v>
      </c>
      <c r="C1045" t="str">
        <f>'Unformatted Trip Summary'!I1043</f>
        <v>Motorcyclist</v>
      </c>
      <c r="D1045">
        <f>'Unformatted Trip Summary'!D1043</f>
        <v>8</v>
      </c>
      <c r="E1045">
        <f>'Unformatted Trip Summary'!E1043</f>
        <v>32</v>
      </c>
      <c r="F1045" s="1">
        <f>'Unformatted Trip Summary'!F1043</f>
        <v>0.77753435680000005</v>
      </c>
      <c r="G1045" s="1">
        <f>'Unformatted Trip Summary'!G1043</f>
        <v>30.272327342000001</v>
      </c>
      <c r="H1045" s="1">
        <f>'Unformatted Trip Summary'!H1043</f>
        <v>0.39858936490000002</v>
      </c>
    </row>
    <row r="1046" spans="1:8" x14ac:dyDescent="0.25">
      <c r="A1046" t="str">
        <f>'Unformatted Trip Summary'!A1044</f>
        <v>15 SOUTHLAND</v>
      </c>
      <c r="B1046" t="str">
        <f>'Unformatted Trip Summary'!J1044</f>
        <v>2042/43</v>
      </c>
      <c r="C1046" t="str">
        <f>'Unformatted Trip Summary'!I1044</f>
        <v>Motorcyclist</v>
      </c>
      <c r="D1046">
        <f>'Unformatted Trip Summary'!D1044</f>
        <v>8</v>
      </c>
      <c r="E1046">
        <f>'Unformatted Trip Summary'!E1044</f>
        <v>32</v>
      </c>
      <c r="F1046" s="1">
        <f>'Unformatted Trip Summary'!F1044</f>
        <v>0.75092029660000004</v>
      </c>
      <c r="G1046" s="1">
        <f>'Unformatted Trip Summary'!G1044</f>
        <v>29.689960812999999</v>
      </c>
      <c r="H1046" s="1">
        <f>'Unformatted Trip Summary'!H1044</f>
        <v>0.39006193779999998</v>
      </c>
    </row>
    <row r="1047" spans="1:8" x14ac:dyDescent="0.25">
      <c r="A1047" t="str">
        <f>'Unformatted Trip Summary'!A1045</f>
        <v>15 SOUTHLAND</v>
      </c>
      <c r="B1047" t="str">
        <f>'Unformatted Trip Summary'!J1045</f>
        <v>2012/13</v>
      </c>
      <c r="C1047" t="str">
        <f>'Unformatted Trip Summary'!I1045</f>
        <v>Local Bus</v>
      </c>
      <c r="D1047">
        <f>'Unformatted Trip Summary'!D1045</f>
        <v>37</v>
      </c>
      <c r="E1047">
        <f>'Unformatted Trip Summary'!E1045</f>
        <v>119</v>
      </c>
      <c r="F1047" s="1">
        <f>'Unformatted Trip Summary'!F1045</f>
        <v>2.6369167839999998</v>
      </c>
      <c r="G1047" s="1">
        <f>'Unformatted Trip Summary'!G1045</f>
        <v>30.182609224</v>
      </c>
      <c r="H1047" s="1">
        <f>'Unformatted Trip Summary'!H1045</f>
        <v>1.2152660816</v>
      </c>
    </row>
    <row r="1048" spans="1:8" x14ac:dyDescent="0.25">
      <c r="A1048" t="str">
        <f>'Unformatted Trip Summary'!A1046</f>
        <v>15 SOUTHLAND</v>
      </c>
      <c r="B1048" t="str">
        <f>'Unformatted Trip Summary'!J1046</f>
        <v>2017/18</v>
      </c>
      <c r="C1048" t="str">
        <f>'Unformatted Trip Summary'!I1046</f>
        <v>Local Bus</v>
      </c>
      <c r="D1048">
        <f>'Unformatted Trip Summary'!D1046</f>
        <v>37</v>
      </c>
      <c r="E1048">
        <f>'Unformatted Trip Summary'!E1046</f>
        <v>119</v>
      </c>
      <c r="F1048" s="1">
        <f>'Unformatted Trip Summary'!F1046</f>
        <v>2.6551243567</v>
      </c>
      <c r="G1048" s="1">
        <f>'Unformatted Trip Summary'!G1046</f>
        <v>30.207858561999998</v>
      </c>
      <c r="H1048" s="1">
        <f>'Unformatted Trip Summary'!H1046</f>
        <v>1.2138591996999999</v>
      </c>
    </row>
    <row r="1049" spans="1:8" x14ac:dyDescent="0.25">
      <c r="A1049" t="str">
        <f>'Unformatted Trip Summary'!A1047</f>
        <v>15 SOUTHLAND</v>
      </c>
      <c r="B1049" t="str">
        <f>'Unformatted Trip Summary'!J1047</f>
        <v>2022/23</v>
      </c>
      <c r="C1049" t="str">
        <f>'Unformatted Trip Summary'!I1047</f>
        <v>Local Bus</v>
      </c>
      <c r="D1049">
        <f>'Unformatted Trip Summary'!D1047</f>
        <v>37</v>
      </c>
      <c r="E1049">
        <f>'Unformatted Trip Summary'!E1047</f>
        <v>119</v>
      </c>
      <c r="F1049" s="1">
        <f>'Unformatted Trip Summary'!F1047</f>
        <v>2.6689157474999998</v>
      </c>
      <c r="G1049" s="1">
        <f>'Unformatted Trip Summary'!G1047</f>
        <v>30.548444348</v>
      </c>
      <c r="H1049" s="1">
        <f>'Unformatted Trip Summary'!H1047</f>
        <v>1.2307665538000001</v>
      </c>
    </row>
    <row r="1050" spans="1:8" x14ac:dyDescent="0.25">
      <c r="A1050" t="str">
        <f>'Unformatted Trip Summary'!A1048</f>
        <v>15 SOUTHLAND</v>
      </c>
      <c r="B1050" t="str">
        <f>'Unformatted Trip Summary'!J1048</f>
        <v>2027/28</v>
      </c>
      <c r="C1050" t="str">
        <f>'Unformatted Trip Summary'!I1048</f>
        <v>Local Bus</v>
      </c>
      <c r="D1050">
        <f>'Unformatted Trip Summary'!D1048</f>
        <v>37</v>
      </c>
      <c r="E1050">
        <f>'Unformatted Trip Summary'!E1048</f>
        <v>119</v>
      </c>
      <c r="F1050" s="1">
        <f>'Unformatted Trip Summary'!F1048</f>
        <v>2.6985388819999998</v>
      </c>
      <c r="G1050" s="1">
        <f>'Unformatted Trip Summary'!G1048</f>
        <v>30.900492232000001</v>
      </c>
      <c r="H1050" s="1">
        <f>'Unformatted Trip Summary'!H1048</f>
        <v>1.2554180856999999</v>
      </c>
    </row>
    <row r="1051" spans="1:8" x14ac:dyDescent="0.25">
      <c r="A1051" t="str">
        <f>'Unformatted Trip Summary'!A1049</f>
        <v>15 SOUTHLAND</v>
      </c>
      <c r="B1051" t="str">
        <f>'Unformatted Trip Summary'!J1049</f>
        <v>2032/33</v>
      </c>
      <c r="C1051" t="str">
        <f>'Unformatted Trip Summary'!I1049</f>
        <v>Local Bus</v>
      </c>
      <c r="D1051">
        <f>'Unformatted Trip Summary'!D1049</f>
        <v>37</v>
      </c>
      <c r="E1051">
        <f>'Unformatted Trip Summary'!E1049</f>
        <v>119</v>
      </c>
      <c r="F1051" s="1">
        <f>'Unformatted Trip Summary'!F1049</f>
        <v>2.6112309028</v>
      </c>
      <c r="G1051" s="1">
        <f>'Unformatted Trip Summary'!G1049</f>
        <v>29.823789112</v>
      </c>
      <c r="H1051" s="1">
        <f>'Unformatted Trip Summary'!H1049</f>
        <v>1.2238665762000001</v>
      </c>
    </row>
    <row r="1052" spans="1:8" x14ac:dyDescent="0.25">
      <c r="A1052" t="str">
        <f>'Unformatted Trip Summary'!A1050</f>
        <v>15 SOUTHLAND</v>
      </c>
      <c r="B1052" t="str">
        <f>'Unformatted Trip Summary'!J1050</f>
        <v>2037/38</v>
      </c>
      <c r="C1052" t="str">
        <f>'Unformatted Trip Summary'!I1050</f>
        <v>Local Bus</v>
      </c>
      <c r="D1052">
        <f>'Unformatted Trip Summary'!D1050</f>
        <v>37</v>
      </c>
      <c r="E1052">
        <f>'Unformatted Trip Summary'!E1050</f>
        <v>119</v>
      </c>
      <c r="F1052" s="1">
        <f>'Unformatted Trip Summary'!F1050</f>
        <v>2.5084083733</v>
      </c>
      <c r="G1052" s="1">
        <f>'Unformatted Trip Summary'!G1050</f>
        <v>28.330878690999999</v>
      </c>
      <c r="H1052" s="1">
        <f>'Unformatted Trip Summary'!H1050</f>
        <v>1.1815845474</v>
      </c>
    </row>
    <row r="1053" spans="1:8" x14ac:dyDescent="0.25">
      <c r="A1053" t="str">
        <f>'Unformatted Trip Summary'!A1051</f>
        <v>15 SOUTHLAND</v>
      </c>
      <c r="B1053" t="str">
        <f>'Unformatted Trip Summary'!J1051</f>
        <v>2042/43</v>
      </c>
      <c r="C1053" t="str">
        <f>'Unformatted Trip Summary'!I1051</f>
        <v>Local Bus</v>
      </c>
      <c r="D1053">
        <f>'Unformatted Trip Summary'!D1051</f>
        <v>37</v>
      </c>
      <c r="E1053">
        <f>'Unformatted Trip Summary'!E1051</f>
        <v>119</v>
      </c>
      <c r="F1053" s="1">
        <f>'Unformatted Trip Summary'!F1051</f>
        <v>2.3877639885000002</v>
      </c>
      <c r="G1053" s="1">
        <f>'Unformatted Trip Summary'!G1051</f>
        <v>26.670025538000001</v>
      </c>
      <c r="H1053" s="1">
        <f>'Unformatted Trip Summary'!H1051</f>
        <v>1.1321857501000001</v>
      </c>
    </row>
    <row r="1054" spans="1:8" x14ac:dyDescent="0.25">
      <c r="A1054" t="str">
        <f>'Unformatted Trip Summary'!A1052</f>
        <v>15 SOUTHLAND</v>
      </c>
      <c r="B1054" t="str">
        <f>'Unformatted Trip Summary'!J1052</f>
        <v>2012/13</v>
      </c>
      <c r="C1054" t="str">
        <f>'Unformatted Trip Summary'!I1052</f>
        <v>Other Household Travel</v>
      </c>
      <c r="D1054">
        <f>'Unformatted Trip Summary'!D1052</f>
        <v>3</v>
      </c>
      <c r="E1054">
        <f>'Unformatted Trip Summary'!E1052</f>
        <v>20</v>
      </c>
      <c r="F1054" s="1">
        <f>'Unformatted Trip Summary'!F1052</f>
        <v>0.42937289560000003</v>
      </c>
      <c r="G1054" s="1">
        <f>'Unformatted Trip Summary'!G1052</f>
        <v>0</v>
      </c>
      <c r="H1054" s="1">
        <f>'Unformatted Trip Summary'!H1052</f>
        <v>8.5162673699999997E-2</v>
      </c>
    </row>
    <row r="1055" spans="1:8" x14ac:dyDescent="0.25">
      <c r="A1055" t="str">
        <f>'Unformatted Trip Summary'!A1053</f>
        <v>15 SOUTHLAND</v>
      </c>
      <c r="B1055" t="str">
        <f>'Unformatted Trip Summary'!J1053</f>
        <v>2017/18</v>
      </c>
      <c r="C1055" t="str">
        <f>'Unformatted Trip Summary'!I1053</f>
        <v>Other Household Travel</v>
      </c>
      <c r="D1055">
        <f>'Unformatted Trip Summary'!D1053</f>
        <v>3</v>
      </c>
      <c r="E1055">
        <f>'Unformatted Trip Summary'!E1053</f>
        <v>20</v>
      </c>
      <c r="F1055" s="1">
        <f>'Unformatted Trip Summary'!F1053</f>
        <v>0.47517348720000002</v>
      </c>
      <c r="G1055" s="1">
        <f>'Unformatted Trip Summary'!G1053</f>
        <v>0</v>
      </c>
      <c r="H1055" s="1">
        <f>'Unformatted Trip Summary'!H1053</f>
        <v>9.4530381100000005E-2</v>
      </c>
    </row>
    <row r="1056" spans="1:8" x14ac:dyDescent="0.25">
      <c r="A1056" t="str">
        <f>'Unformatted Trip Summary'!A1054</f>
        <v>15 SOUTHLAND</v>
      </c>
      <c r="B1056" t="str">
        <f>'Unformatted Trip Summary'!J1054</f>
        <v>2022/23</v>
      </c>
      <c r="C1056" t="str">
        <f>'Unformatted Trip Summary'!I1054</f>
        <v>Other Household Travel</v>
      </c>
      <c r="D1056">
        <f>'Unformatted Trip Summary'!D1054</f>
        <v>3</v>
      </c>
      <c r="E1056">
        <f>'Unformatted Trip Summary'!E1054</f>
        <v>20</v>
      </c>
      <c r="F1056" s="1">
        <f>'Unformatted Trip Summary'!F1054</f>
        <v>0.50390403630000002</v>
      </c>
      <c r="G1056" s="1">
        <f>'Unformatted Trip Summary'!G1054</f>
        <v>0</v>
      </c>
      <c r="H1056" s="1">
        <f>'Unformatted Trip Summary'!H1054</f>
        <v>0.10075407240000001</v>
      </c>
    </row>
    <row r="1057" spans="1:8" x14ac:dyDescent="0.25">
      <c r="A1057" t="str">
        <f>'Unformatted Trip Summary'!A1055</f>
        <v>15 SOUTHLAND</v>
      </c>
      <c r="B1057" t="str">
        <f>'Unformatted Trip Summary'!J1055</f>
        <v>2027/28</v>
      </c>
      <c r="C1057" t="str">
        <f>'Unformatted Trip Summary'!I1055</f>
        <v>Other Household Travel</v>
      </c>
      <c r="D1057">
        <f>'Unformatted Trip Summary'!D1055</f>
        <v>3</v>
      </c>
      <c r="E1057">
        <f>'Unformatted Trip Summary'!E1055</f>
        <v>20</v>
      </c>
      <c r="F1057" s="1">
        <f>'Unformatted Trip Summary'!F1055</f>
        <v>0.53310958269999997</v>
      </c>
      <c r="G1057" s="1">
        <f>'Unformatted Trip Summary'!G1055</f>
        <v>0</v>
      </c>
      <c r="H1057" s="1">
        <f>'Unformatted Trip Summary'!H1055</f>
        <v>0.10682907210000001</v>
      </c>
    </row>
    <row r="1058" spans="1:8" x14ac:dyDescent="0.25">
      <c r="A1058" t="str">
        <f>'Unformatted Trip Summary'!A1056</f>
        <v>15 SOUTHLAND</v>
      </c>
      <c r="B1058" t="str">
        <f>'Unformatted Trip Summary'!J1056</f>
        <v>2032/33</v>
      </c>
      <c r="C1058" t="str">
        <f>'Unformatted Trip Summary'!I1056</f>
        <v>Other Household Travel</v>
      </c>
      <c r="D1058">
        <f>'Unformatted Trip Summary'!D1056</f>
        <v>3</v>
      </c>
      <c r="E1058">
        <f>'Unformatted Trip Summary'!E1056</f>
        <v>20</v>
      </c>
      <c r="F1058" s="1">
        <f>'Unformatted Trip Summary'!F1056</f>
        <v>0.5597393598</v>
      </c>
      <c r="G1058" s="1">
        <f>'Unformatted Trip Summary'!G1056</f>
        <v>0</v>
      </c>
      <c r="H1058" s="1">
        <f>'Unformatted Trip Summary'!H1056</f>
        <v>0.11273388819999999</v>
      </c>
    </row>
    <row r="1059" spans="1:8" x14ac:dyDescent="0.25">
      <c r="A1059" t="str">
        <f>'Unformatted Trip Summary'!A1057</f>
        <v>15 SOUTHLAND</v>
      </c>
      <c r="B1059" t="str">
        <f>'Unformatted Trip Summary'!J1057</f>
        <v>2037/38</v>
      </c>
      <c r="C1059" t="str">
        <f>'Unformatted Trip Summary'!I1057</f>
        <v>Other Household Travel</v>
      </c>
      <c r="D1059">
        <f>'Unformatted Trip Summary'!D1057</f>
        <v>3</v>
      </c>
      <c r="E1059">
        <f>'Unformatted Trip Summary'!E1057</f>
        <v>20</v>
      </c>
      <c r="F1059" s="1">
        <f>'Unformatted Trip Summary'!F1057</f>
        <v>0.56431983669999997</v>
      </c>
      <c r="G1059" s="1">
        <f>'Unformatted Trip Summary'!G1057</f>
        <v>0</v>
      </c>
      <c r="H1059" s="1">
        <f>'Unformatted Trip Summary'!H1057</f>
        <v>0.1137987003</v>
      </c>
    </row>
    <row r="1060" spans="1:8" x14ac:dyDescent="0.25">
      <c r="A1060" t="str">
        <f>'Unformatted Trip Summary'!A1058</f>
        <v>15 SOUTHLAND</v>
      </c>
      <c r="B1060" t="str">
        <f>'Unformatted Trip Summary'!J1058</f>
        <v>2042/43</v>
      </c>
      <c r="C1060" t="str">
        <f>'Unformatted Trip Summary'!I1058</f>
        <v>Other Household Travel</v>
      </c>
      <c r="D1060">
        <f>'Unformatted Trip Summary'!D1058</f>
        <v>3</v>
      </c>
      <c r="E1060">
        <f>'Unformatted Trip Summary'!E1058</f>
        <v>20</v>
      </c>
      <c r="F1060" s="1">
        <f>'Unformatted Trip Summary'!F1058</f>
        <v>0.55784474849999999</v>
      </c>
      <c r="G1060" s="1">
        <f>'Unformatted Trip Summary'!G1058</f>
        <v>0</v>
      </c>
      <c r="H1060" s="1">
        <f>'Unformatted Trip Summary'!H1058</f>
        <v>0.112228777</v>
      </c>
    </row>
    <row r="1061" spans="1:8" x14ac:dyDescent="0.25">
      <c r="A1061" t="str">
        <f>'Unformatted Trip Summary'!A1059</f>
        <v>15 SOUTHLAND</v>
      </c>
      <c r="B1061" t="str">
        <f>'Unformatted Trip Summary'!J1059</f>
        <v>2012/13</v>
      </c>
      <c r="C1061" t="str">
        <f>'Unformatted Trip Summary'!I1059</f>
        <v>Air/Non-Local PT</v>
      </c>
      <c r="D1061">
        <f>'Unformatted Trip Summary'!D1059</f>
        <v>4</v>
      </c>
      <c r="E1061">
        <f>'Unformatted Trip Summary'!E1059</f>
        <v>5</v>
      </c>
      <c r="F1061" s="1">
        <f>'Unformatted Trip Summary'!F1059</f>
        <v>0.11858970739999999</v>
      </c>
      <c r="G1061" s="1">
        <f>'Unformatted Trip Summary'!G1059</f>
        <v>7.7216256564999997</v>
      </c>
      <c r="H1061" s="1">
        <f>'Unformatted Trip Summary'!H1059</f>
        <v>0.2054826143</v>
      </c>
    </row>
    <row r="1062" spans="1:8" x14ac:dyDescent="0.25">
      <c r="A1062" t="str">
        <f>'Unformatted Trip Summary'!A1060</f>
        <v>15 SOUTHLAND</v>
      </c>
      <c r="B1062" t="str">
        <f>'Unformatted Trip Summary'!J1060</f>
        <v>2017/18</v>
      </c>
      <c r="C1062" t="str">
        <f>'Unformatted Trip Summary'!I1060</f>
        <v>Air/Non-Local PT</v>
      </c>
      <c r="D1062">
        <f>'Unformatted Trip Summary'!D1060</f>
        <v>4</v>
      </c>
      <c r="E1062">
        <f>'Unformatted Trip Summary'!E1060</f>
        <v>5</v>
      </c>
      <c r="F1062" s="1">
        <f>'Unformatted Trip Summary'!F1060</f>
        <v>0.1432275851</v>
      </c>
      <c r="G1062" s="1">
        <f>'Unformatted Trip Summary'!G1060</f>
        <v>7.9537356617999997</v>
      </c>
      <c r="H1062" s="1">
        <f>'Unformatted Trip Summary'!H1060</f>
        <v>0.23874952939999999</v>
      </c>
    </row>
    <row r="1063" spans="1:8" x14ac:dyDescent="0.25">
      <c r="A1063" t="str">
        <f>'Unformatted Trip Summary'!A1061</f>
        <v>15 SOUTHLAND</v>
      </c>
      <c r="B1063" t="str">
        <f>'Unformatted Trip Summary'!J1061</f>
        <v>2022/23</v>
      </c>
      <c r="C1063" t="str">
        <f>'Unformatted Trip Summary'!I1061</f>
        <v>Air/Non-Local PT</v>
      </c>
      <c r="D1063">
        <f>'Unformatted Trip Summary'!D1061</f>
        <v>4</v>
      </c>
      <c r="E1063">
        <f>'Unformatted Trip Summary'!E1061</f>
        <v>5</v>
      </c>
      <c r="F1063" s="1">
        <f>'Unformatted Trip Summary'!F1061</f>
        <v>0.15677619179999999</v>
      </c>
      <c r="G1063" s="1">
        <f>'Unformatted Trip Summary'!G1061</f>
        <v>7.5532826714999999</v>
      </c>
      <c r="H1063" s="1">
        <f>'Unformatted Trip Summary'!H1061</f>
        <v>0.25375134700000002</v>
      </c>
    </row>
    <row r="1064" spans="1:8" x14ac:dyDescent="0.25">
      <c r="A1064" t="str">
        <f>'Unformatted Trip Summary'!A1062</f>
        <v>15 SOUTHLAND</v>
      </c>
      <c r="B1064" t="str">
        <f>'Unformatted Trip Summary'!J1062</f>
        <v>2027/28</v>
      </c>
      <c r="C1064" t="str">
        <f>'Unformatted Trip Summary'!I1062</f>
        <v>Air/Non-Local PT</v>
      </c>
      <c r="D1064">
        <f>'Unformatted Trip Summary'!D1062</f>
        <v>4</v>
      </c>
      <c r="E1064">
        <f>'Unformatted Trip Summary'!E1062</f>
        <v>5</v>
      </c>
      <c r="F1064" s="1">
        <f>'Unformatted Trip Summary'!F1062</f>
        <v>0.1667819908</v>
      </c>
      <c r="G1064" s="1">
        <f>'Unformatted Trip Summary'!G1062</f>
        <v>7.1727991413999996</v>
      </c>
      <c r="H1064" s="1">
        <f>'Unformatted Trip Summary'!H1062</f>
        <v>0.26399690520000002</v>
      </c>
    </row>
    <row r="1065" spans="1:8" x14ac:dyDescent="0.25">
      <c r="A1065" t="str">
        <f>'Unformatted Trip Summary'!A1063</f>
        <v>15 SOUTHLAND</v>
      </c>
      <c r="B1065" t="str">
        <f>'Unformatted Trip Summary'!J1063</f>
        <v>2032/33</v>
      </c>
      <c r="C1065" t="str">
        <f>'Unformatted Trip Summary'!I1063</f>
        <v>Air/Non-Local PT</v>
      </c>
      <c r="D1065">
        <f>'Unformatted Trip Summary'!D1063</f>
        <v>4</v>
      </c>
      <c r="E1065">
        <f>'Unformatted Trip Summary'!E1063</f>
        <v>5</v>
      </c>
      <c r="F1065" s="1">
        <f>'Unformatted Trip Summary'!F1063</f>
        <v>0.17145816229999999</v>
      </c>
      <c r="G1065" s="1">
        <f>'Unformatted Trip Summary'!G1063</f>
        <v>7.4409451564999998</v>
      </c>
      <c r="H1065" s="1">
        <f>'Unformatted Trip Summary'!H1063</f>
        <v>0.27212469189999999</v>
      </c>
    </row>
    <row r="1066" spans="1:8" x14ac:dyDescent="0.25">
      <c r="A1066" t="str">
        <f>'Unformatted Trip Summary'!A1064</f>
        <v>15 SOUTHLAND</v>
      </c>
      <c r="B1066" t="str">
        <f>'Unformatted Trip Summary'!J1064</f>
        <v>2037/38</v>
      </c>
      <c r="C1066" t="str">
        <f>'Unformatted Trip Summary'!I1064</f>
        <v>Air/Non-Local PT</v>
      </c>
      <c r="D1066">
        <f>'Unformatted Trip Summary'!D1064</f>
        <v>4</v>
      </c>
      <c r="E1066">
        <f>'Unformatted Trip Summary'!E1064</f>
        <v>5</v>
      </c>
      <c r="F1066" s="1">
        <f>'Unformatted Trip Summary'!F1064</f>
        <v>0.1771902836</v>
      </c>
      <c r="G1066" s="1">
        <f>'Unformatted Trip Summary'!G1064</f>
        <v>7.7144560422000001</v>
      </c>
      <c r="H1066" s="1">
        <f>'Unformatted Trip Summary'!H1064</f>
        <v>0.28324396759999998</v>
      </c>
    </row>
    <row r="1067" spans="1:8" x14ac:dyDescent="0.25">
      <c r="A1067" t="str">
        <f>'Unformatted Trip Summary'!A1065</f>
        <v>15 SOUTHLAND</v>
      </c>
      <c r="B1067" t="str">
        <f>'Unformatted Trip Summary'!J1065</f>
        <v>2042/43</v>
      </c>
      <c r="C1067" t="str">
        <f>'Unformatted Trip Summary'!I1065</f>
        <v>Air/Non-Local PT</v>
      </c>
      <c r="D1067">
        <f>'Unformatted Trip Summary'!D1065</f>
        <v>4</v>
      </c>
      <c r="E1067">
        <f>'Unformatted Trip Summary'!E1065</f>
        <v>5</v>
      </c>
      <c r="F1067" s="1">
        <f>'Unformatted Trip Summary'!F1065</f>
        <v>0.18233371649999999</v>
      </c>
      <c r="G1067" s="1">
        <f>'Unformatted Trip Summary'!G1065</f>
        <v>7.9473259555000002</v>
      </c>
      <c r="H1067" s="1">
        <f>'Unformatted Trip Summary'!H1065</f>
        <v>0.29321604559999997</v>
      </c>
    </row>
    <row r="1068" spans="1:8" x14ac:dyDescent="0.25">
      <c r="A1068" t="str">
        <f>'Unformatted Trip Summary'!A1066</f>
        <v>15 SOUTHLAND</v>
      </c>
      <c r="B1068" t="str">
        <f>'Unformatted Trip Summary'!J1066</f>
        <v>2012/13</v>
      </c>
      <c r="C1068" t="str">
        <f>'Unformatted Trip Summary'!I1066</f>
        <v>Non-Household Travel</v>
      </c>
      <c r="D1068">
        <f>'Unformatted Trip Summary'!D1066</f>
        <v>3</v>
      </c>
      <c r="E1068">
        <f>'Unformatted Trip Summary'!E1066</f>
        <v>9</v>
      </c>
      <c r="F1068" s="1">
        <f>'Unformatted Trip Summary'!F1066</f>
        <v>0.1918163457</v>
      </c>
      <c r="G1068" s="1">
        <f>'Unformatted Trip Summary'!G1066</f>
        <v>7.2518167408999998</v>
      </c>
      <c r="H1068" s="1">
        <f>'Unformatted Trip Summary'!H1066</f>
        <v>0.26579174360000002</v>
      </c>
    </row>
    <row r="1069" spans="1:8" x14ac:dyDescent="0.25">
      <c r="A1069" t="str">
        <f>'Unformatted Trip Summary'!A1067</f>
        <v>15 SOUTHLAND</v>
      </c>
      <c r="B1069" t="str">
        <f>'Unformatted Trip Summary'!J1067</f>
        <v>2017/18</v>
      </c>
      <c r="C1069" t="str">
        <f>'Unformatted Trip Summary'!I1067</f>
        <v>Non-Household Travel</v>
      </c>
      <c r="D1069">
        <f>'Unformatted Trip Summary'!D1067</f>
        <v>3</v>
      </c>
      <c r="E1069">
        <f>'Unformatted Trip Summary'!E1067</f>
        <v>9</v>
      </c>
      <c r="F1069" s="1">
        <f>'Unformatted Trip Summary'!F1067</f>
        <v>0.20441820290000001</v>
      </c>
      <c r="G1069" s="1">
        <f>'Unformatted Trip Summary'!G1067</f>
        <v>8.7413470288999999</v>
      </c>
      <c r="H1069" s="1">
        <f>'Unformatted Trip Summary'!H1067</f>
        <v>0.36361138749999999</v>
      </c>
    </row>
    <row r="1070" spans="1:8" x14ac:dyDescent="0.25">
      <c r="A1070" t="str">
        <f>'Unformatted Trip Summary'!A1068</f>
        <v>15 SOUTHLAND</v>
      </c>
      <c r="B1070" t="str">
        <f>'Unformatted Trip Summary'!J1068</f>
        <v>2022/23</v>
      </c>
      <c r="C1070" t="str">
        <f>'Unformatted Trip Summary'!I1068</f>
        <v>Non-Household Travel</v>
      </c>
      <c r="D1070">
        <f>'Unformatted Trip Summary'!D1068</f>
        <v>3</v>
      </c>
      <c r="E1070">
        <f>'Unformatted Trip Summary'!E1068</f>
        <v>9</v>
      </c>
      <c r="F1070" s="1">
        <f>'Unformatted Trip Summary'!F1068</f>
        <v>0.2214977413</v>
      </c>
      <c r="G1070" s="1">
        <f>'Unformatted Trip Summary'!G1068</f>
        <v>10.043582462</v>
      </c>
      <c r="H1070" s="1">
        <f>'Unformatted Trip Summary'!H1068</f>
        <v>0.43041552080000001</v>
      </c>
    </row>
    <row r="1071" spans="1:8" x14ac:dyDescent="0.25">
      <c r="A1071" t="str">
        <f>'Unformatted Trip Summary'!A1069</f>
        <v>15 SOUTHLAND</v>
      </c>
      <c r="B1071" t="str">
        <f>'Unformatted Trip Summary'!J1069</f>
        <v>2027/28</v>
      </c>
      <c r="C1071" t="str">
        <f>'Unformatted Trip Summary'!I1069</f>
        <v>Non-Household Travel</v>
      </c>
      <c r="D1071">
        <f>'Unformatted Trip Summary'!D1069</f>
        <v>3</v>
      </c>
      <c r="E1071">
        <f>'Unformatted Trip Summary'!E1069</f>
        <v>9</v>
      </c>
      <c r="F1071" s="1">
        <f>'Unformatted Trip Summary'!F1069</f>
        <v>0.25780387490000001</v>
      </c>
      <c r="G1071" s="1">
        <f>'Unformatted Trip Summary'!G1069</f>
        <v>11.263981569</v>
      </c>
      <c r="H1071" s="1">
        <f>'Unformatted Trip Summary'!H1069</f>
        <v>0.45805184249999997</v>
      </c>
    </row>
    <row r="1072" spans="1:8" x14ac:dyDescent="0.25">
      <c r="A1072" t="str">
        <f>'Unformatted Trip Summary'!A1070</f>
        <v>15 SOUTHLAND</v>
      </c>
      <c r="B1072" t="str">
        <f>'Unformatted Trip Summary'!J1070</f>
        <v>2032/33</v>
      </c>
      <c r="C1072" t="str">
        <f>'Unformatted Trip Summary'!I1070</f>
        <v>Non-Household Travel</v>
      </c>
      <c r="D1072">
        <f>'Unformatted Trip Summary'!D1070</f>
        <v>3</v>
      </c>
      <c r="E1072">
        <f>'Unformatted Trip Summary'!E1070</f>
        <v>9</v>
      </c>
      <c r="F1072" s="1">
        <f>'Unformatted Trip Summary'!F1070</f>
        <v>0.27578636779999999</v>
      </c>
      <c r="G1072" s="1">
        <f>'Unformatted Trip Summary'!G1070</f>
        <v>12.070063049</v>
      </c>
      <c r="H1072" s="1">
        <f>'Unformatted Trip Summary'!H1070</f>
        <v>0.48580784910000002</v>
      </c>
    </row>
    <row r="1073" spans="1:8" x14ac:dyDescent="0.25">
      <c r="A1073" t="str">
        <f>'Unformatted Trip Summary'!A1071</f>
        <v>15 SOUTHLAND</v>
      </c>
      <c r="B1073" t="str">
        <f>'Unformatted Trip Summary'!J1071</f>
        <v>2037/38</v>
      </c>
      <c r="C1073" t="str">
        <f>'Unformatted Trip Summary'!I1071</f>
        <v>Non-Household Travel</v>
      </c>
      <c r="D1073">
        <f>'Unformatted Trip Summary'!D1071</f>
        <v>3</v>
      </c>
      <c r="E1073">
        <f>'Unformatted Trip Summary'!E1071</f>
        <v>9</v>
      </c>
      <c r="F1073" s="1">
        <f>'Unformatted Trip Summary'!F1071</f>
        <v>0.27635687050000002</v>
      </c>
      <c r="G1073" s="1">
        <f>'Unformatted Trip Summary'!G1071</f>
        <v>12.465720873</v>
      </c>
      <c r="H1073" s="1">
        <f>'Unformatted Trip Summary'!H1071</f>
        <v>0.52424049849999999</v>
      </c>
    </row>
    <row r="1074" spans="1:8" x14ac:dyDescent="0.25">
      <c r="A1074" t="str">
        <f>'Unformatted Trip Summary'!A1072</f>
        <v>15 SOUTHLAND</v>
      </c>
      <c r="B1074" t="str">
        <f>'Unformatted Trip Summary'!J1072</f>
        <v>2042/43</v>
      </c>
      <c r="C1074" t="str">
        <f>'Unformatted Trip Summary'!I1072</f>
        <v>Non-Household Travel</v>
      </c>
      <c r="D1074">
        <f>'Unformatted Trip Summary'!D1072</f>
        <v>3</v>
      </c>
      <c r="E1074">
        <f>'Unformatted Trip Summary'!E1072</f>
        <v>9</v>
      </c>
      <c r="F1074" s="1">
        <f>'Unformatted Trip Summary'!F1072</f>
        <v>0.27331743930000002</v>
      </c>
      <c r="G1074" s="1">
        <f>'Unformatted Trip Summary'!G1072</f>
        <v>12.798288286</v>
      </c>
      <c r="H1074" s="1">
        <f>'Unformatted Trip Summary'!H1072</f>
        <v>0.56388646809999998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72"/>
  <sheetViews>
    <sheetView topLeftCell="A530" workbookViewId="0">
      <selection activeCell="F563" sqref="F563"/>
    </sheetView>
  </sheetViews>
  <sheetFormatPr defaultRowHeight="12.5" x14ac:dyDescent="0.25"/>
  <cols>
    <col min="1" max="1" width="24.1796875" customWidth="1"/>
  </cols>
  <sheetData>
    <row r="1" spans="1:10" x14ac:dyDescent="0.25">
      <c r="A1" t="str">
        <f>[5]trip_summary_region!A1</f>
        <v>region_NS</v>
      </c>
      <c r="B1" t="str">
        <f>[5]trip_summary_region!B1</f>
        <v>outmode</v>
      </c>
      <c r="C1" t="str">
        <f>[5]trip_summary_region!C1</f>
        <v>Year</v>
      </c>
      <c r="D1" t="str">
        <f>[5]trip_summary_region!D1</f>
        <v>sampeopler</v>
      </c>
      <c r="E1" t="str">
        <f>[5]trip_summary_region!E1</f>
        <v>samcountr</v>
      </c>
      <c r="F1" t="str">
        <f>[5]trip_summary_region!F1</f>
        <v>tottripr</v>
      </c>
      <c r="G1" t="str">
        <f>[5]trip_summary_region!G1</f>
        <v>totdistr</v>
      </c>
      <c r="H1" t="str">
        <f>[5]trip_summary_region!H1</f>
        <v>totdurationr</v>
      </c>
      <c r="I1" t="str">
        <f>[5]trip_summary_region!I1</f>
        <v>modename</v>
      </c>
      <c r="J1" t="str">
        <f>[5]trip_summary_region!J1</f>
        <v>yearname</v>
      </c>
    </row>
    <row r="2" spans="1:10" x14ac:dyDescent="0.25">
      <c r="A2" t="str">
        <f>[5]trip_summary_region!A2</f>
        <v>01 NORTHLAND</v>
      </c>
      <c r="B2">
        <f>[5]trip_summary_region!B2</f>
        <v>0</v>
      </c>
      <c r="C2">
        <f>[5]trip_summary_region!C2</f>
        <v>2013</v>
      </c>
      <c r="D2">
        <f>[5]trip_summary_region!D2</f>
        <v>259</v>
      </c>
      <c r="E2">
        <f>[5]trip_summary_region!E2</f>
        <v>844</v>
      </c>
      <c r="F2">
        <f>[5]trip_summary_region!F2</f>
        <v>23.706864376999999</v>
      </c>
      <c r="G2">
        <f>[5]trip_summary_region!G2</f>
        <v>17.849116999</v>
      </c>
      <c r="H2">
        <f>[5]trip_summary_region!H2</f>
        <v>5.0772161771000004</v>
      </c>
      <c r="I2" t="str">
        <f>[5]trip_summary_region!I2</f>
        <v>Pedestrian</v>
      </c>
      <c r="J2" t="str">
        <f>[5]trip_summary_region!J2</f>
        <v>2012/13</v>
      </c>
    </row>
    <row r="3" spans="1:10" x14ac:dyDescent="0.25">
      <c r="A3" t="str">
        <f>[5]trip_summary_region!A3</f>
        <v>01 NORTHLAND</v>
      </c>
      <c r="B3">
        <f>[5]trip_summary_region!B3</f>
        <v>0</v>
      </c>
      <c r="C3">
        <f>[5]trip_summary_region!C3</f>
        <v>2018</v>
      </c>
      <c r="D3">
        <f>[5]trip_summary_region!D3</f>
        <v>259</v>
      </c>
      <c r="E3">
        <f>[5]trip_summary_region!E3</f>
        <v>844</v>
      </c>
      <c r="F3">
        <f>[5]trip_summary_region!F3</f>
        <v>23.759483304</v>
      </c>
      <c r="G3">
        <f>[5]trip_summary_region!G3</f>
        <v>17.735698363000001</v>
      </c>
      <c r="H3">
        <f>[5]trip_summary_region!H3</f>
        <v>5.0494150450999999</v>
      </c>
      <c r="I3" t="str">
        <f>[5]trip_summary_region!I3</f>
        <v>Pedestrian</v>
      </c>
      <c r="J3" t="str">
        <f>[5]trip_summary_region!J3</f>
        <v>2017/18</v>
      </c>
    </row>
    <row r="4" spans="1:10" x14ac:dyDescent="0.25">
      <c r="A4" t="str">
        <f>[5]trip_summary_region!A4</f>
        <v>01 NORTHLAND</v>
      </c>
      <c r="B4">
        <f>[5]trip_summary_region!B4</f>
        <v>0</v>
      </c>
      <c r="C4">
        <f>[5]trip_summary_region!C4</f>
        <v>2023</v>
      </c>
      <c r="D4">
        <f>[5]trip_summary_region!D4</f>
        <v>259</v>
      </c>
      <c r="E4">
        <f>[5]trip_summary_region!E4</f>
        <v>844</v>
      </c>
      <c r="F4">
        <f>[5]trip_summary_region!F4</f>
        <v>23.653599746000001</v>
      </c>
      <c r="G4">
        <f>[5]trip_summary_region!G4</f>
        <v>17.460780533000001</v>
      </c>
      <c r="H4">
        <f>[5]trip_summary_region!H4</f>
        <v>4.9817022490999996</v>
      </c>
      <c r="I4" t="str">
        <f>[5]trip_summary_region!I4</f>
        <v>Pedestrian</v>
      </c>
      <c r="J4" t="str">
        <f>[5]trip_summary_region!J4</f>
        <v>2022/23</v>
      </c>
    </row>
    <row r="5" spans="1:10" x14ac:dyDescent="0.25">
      <c r="A5" t="str">
        <f>[5]trip_summary_region!A5</f>
        <v>01 NORTHLAND</v>
      </c>
      <c r="B5">
        <f>[5]trip_summary_region!B5</f>
        <v>0</v>
      </c>
      <c r="C5">
        <f>[5]trip_summary_region!C5</f>
        <v>2028</v>
      </c>
      <c r="D5">
        <f>[5]trip_summary_region!D5</f>
        <v>259</v>
      </c>
      <c r="E5">
        <f>[5]trip_summary_region!E5</f>
        <v>844</v>
      </c>
      <c r="F5">
        <f>[5]trip_summary_region!F5</f>
        <v>23.444217078000001</v>
      </c>
      <c r="G5">
        <f>[5]trip_summary_region!G5</f>
        <v>17.146159603000001</v>
      </c>
      <c r="H5">
        <f>[5]trip_summary_region!H5</f>
        <v>4.8774643942999996</v>
      </c>
      <c r="I5" t="str">
        <f>[5]trip_summary_region!I5</f>
        <v>Pedestrian</v>
      </c>
      <c r="J5" t="str">
        <f>[5]trip_summary_region!J5</f>
        <v>2027/28</v>
      </c>
    </row>
    <row r="6" spans="1:10" x14ac:dyDescent="0.25">
      <c r="A6" t="str">
        <f>[5]trip_summary_region!A6</f>
        <v>01 NORTHLAND</v>
      </c>
      <c r="B6">
        <f>[5]trip_summary_region!B6</f>
        <v>0</v>
      </c>
      <c r="C6">
        <f>[5]trip_summary_region!C6</f>
        <v>2033</v>
      </c>
      <c r="D6">
        <f>[5]trip_summary_region!D6</f>
        <v>259</v>
      </c>
      <c r="E6">
        <f>[5]trip_summary_region!E6</f>
        <v>844</v>
      </c>
      <c r="F6">
        <f>[5]trip_summary_region!F6</f>
        <v>23.012227841000001</v>
      </c>
      <c r="G6">
        <f>[5]trip_summary_region!G6</f>
        <v>16.562222740999999</v>
      </c>
      <c r="H6">
        <f>[5]trip_summary_region!H6</f>
        <v>4.7161360483000001</v>
      </c>
      <c r="I6" t="str">
        <f>[5]trip_summary_region!I6</f>
        <v>Pedestrian</v>
      </c>
      <c r="J6" t="str">
        <f>[5]trip_summary_region!J6</f>
        <v>2032/33</v>
      </c>
    </row>
    <row r="7" spans="1:10" x14ac:dyDescent="0.25">
      <c r="A7" t="str">
        <f>[5]trip_summary_region!A7</f>
        <v>01 NORTHLAND</v>
      </c>
      <c r="B7">
        <f>[5]trip_summary_region!B7</f>
        <v>0</v>
      </c>
      <c r="C7">
        <f>[5]trip_summary_region!C7</f>
        <v>2038</v>
      </c>
      <c r="D7">
        <f>[5]trip_summary_region!D7</f>
        <v>259</v>
      </c>
      <c r="E7">
        <f>[5]trip_summary_region!E7</f>
        <v>844</v>
      </c>
      <c r="F7">
        <f>[5]trip_summary_region!F7</f>
        <v>22.360779773000001</v>
      </c>
      <c r="G7">
        <f>[5]trip_summary_region!G7</f>
        <v>15.760934551</v>
      </c>
      <c r="H7">
        <f>[5]trip_summary_region!H7</f>
        <v>4.4972940633</v>
      </c>
      <c r="I7" t="str">
        <f>[5]trip_summary_region!I7</f>
        <v>Pedestrian</v>
      </c>
      <c r="J7" t="str">
        <f>[5]trip_summary_region!J7</f>
        <v>2037/38</v>
      </c>
    </row>
    <row r="8" spans="1:10" x14ac:dyDescent="0.25">
      <c r="A8" t="str">
        <f>[5]trip_summary_region!A8</f>
        <v>01 NORTHLAND</v>
      </c>
      <c r="B8">
        <f>[5]trip_summary_region!B8</f>
        <v>0</v>
      </c>
      <c r="C8">
        <f>[5]trip_summary_region!C8</f>
        <v>2043</v>
      </c>
      <c r="D8">
        <f>[5]trip_summary_region!D8</f>
        <v>259</v>
      </c>
      <c r="E8">
        <f>[5]trip_summary_region!E8</f>
        <v>844</v>
      </c>
      <c r="F8">
        <f>[5]trip_summary_region!F8</f>
        <v>21.6530448</v>
      </c>
      <c r="G8">
        <f>[5]trip_summary_region!G8</f>
        <v>14.938009724</v>
      </c>
      <c r="H8">
        <f>[5]trip_summary_region!H8</f>
        <v>4.2669629675999996</v>
      </c>
      <c r="I8" t="str">
        <f>[5]trip_summary_region!I8</f>
        <v>Pedestrian</v>
      </c>
      <c r="J8" t="str">
        <f>[5]trip_summary_region!J8</f>
        <v>2042/43</v>
      </c>
    </row>
    <row r="9" spans="1:10" x14ac:dyDescent="0.25">
      <c r="A9" t="str">
        <f>[5]trip_summary_region!A9</f>
        <v>01 NORTHLAND</v>
      </c>
      <c r="B9">
        <f>[5]trip_summary_region!B9</f>
        <v>1</v>
      </c>
      <c r="C9">
        <f>[5]trip_summary_region!C9</f>
        <v>2013</v>
      </c>
      <c r="D9">
        <f>[5]trip_summary_region!D9</f>
        <v>5</v>
      </c>
      <c r="E9">
        <f>[5]trip_summary_region!E9</f>
        <v>19</v>
      </c>
      <c r="F9">
        <f>[5]trip_summary_region!F9</f>
        <v>0.66592947719999995</v>
      </c>
      <c r="G9">
        <f>[5]trip_summary_region!G9</f>
        <v>1.0072239942000001</v>
      </c>
      <c r="H9">
        <f>[5]trip_summary_region!H9</f>
        <v>0.15772883609999999</v>
      </c>
      <c r="I9" t="str">
        <f>[5]trip_summary_region!I9</f>
        <v>Cyclist</v>
      </c>
      <c r="J9" t="str">
        <f>[5]trip_summary_region!J9</f>
        <v>2012/13</v>
      </c>
    </row>
    <row r="10" spans="1:10" x14ac:dyDescent="0.25">
      <c r="A10" t="str">
        <f>[5]trip_summary_region!A10</f>
        <v>01 NORTHLAND</v>
      </c>
      <c r="B10">
        <f>[5]trip_summary_region!B10</f>
        <v>1</v>
      </c>
      <c r="C10">
        <f>[5]trip_summary_region!C10</f>
        <v>2018</v>
      </c>
      <c r="D10">
        <f>[5]trip_summary_region!D10</f>
        <v>5</v>
      </c>
      <c r="E10">
        <f>[5]trip_summary_region!E10</f>
        <v>19</v>
      </c>
      <c r="F10">
        <f>[5]trip_summary_region!F10</f>
        <v>0.62225861039999997</v>
      </c>
      <c r="G10">
        <f>[5]trip_summary_region!G10</f>
        <v>0.95358870829999998</v>
      </c>
      <c r="H10">
        <f>[5]trip_summary_region!H10</f>
        <v>0.14924559539999999</v>
      </c>
      <c r="I10" t="str">
        <f>[5]trip_summary_region!I10</f>
        <v>Cyclist</v>
      </c>
      <c r="J10" t="str">
        <f>[5]trip_summary_region!J10</f>
        <v>2017/18</v>
      </c>
    </row>
    <row r="11" spans="1:10" x14ac:dyDescent="0.25">
      <c r="A11" t="str">
        <f>[5]trip_summary_region!A11</f>
        <v>01 NORTHLAND</v>
      </c>
      <c r="B11">
        <f>[5]trip_summary_region!B11</f>
        <v>1</v>
      </c>
      <c r="C11">
        <f>[5]trip_summary_region!C11</f>
        <v>2023</v>
      </c>
      <c r="D11">
        <f>[5]trip_summary_region!D11</f>
        <v>5</v>
      </c>
      <c r="E11">
        <f>[5]trip_summary_region!E11</f>
        <v>19</v>
      </c>
      <c r="F11">
        <f>[5]trip_summary_region!F11</f>
        <v>0.62767138079999996</v>
      </c>
      <c r="G11">
        <f>[5]trip_summary_region!G11</f>
        <v>0.97165468779999997</v>
      </c>
      <c r="H11">
        <f>[5]trip_summary_region!H11</f>
        <v>0.15231914029999999</v>
      </c>
      <c r="I11" t="str">
        <f>[5]trip_summary_region!I11</f>
        <v>Cyclist</v>
      </c>
      <c r="J11" t="str">
        <f>[5]trip_summary_region!J11</f>
        <v>2022/23</v>
      </c>
    </row>
    <row r="12" spans="1:10" x14ac:dyDescent="0.25">
      <c r="A12" t="str">
        <f>[5]trip_summary_region!A12</f>
        <v>01 NORTHLAND</v>
      </c>
      <c r="B12">
        <f>[5]trip_summary_region!B12</f>
        <v>1</v>
      </c>
      <c r="C12">
        <f>[5]trip_summary_region!C12</f>
        <v>2028</v>
      </c>
      <c r="D12">
        <f>[5]trip_summary_region!D12</f>
        <v>5</v>
      </c>
      <c r="E12">
        <f>[5]trip_summary_region!E12</f>
        <v>19</v>
      </c>
      <c r="F12">
        <f>[5]trip_summary_region!F12</f>
        <v>0.61018096779999997</v>
      </c>
      <c r="G12">
        <f>[5]trip_summary_region!G12</f>
        <v>0.95155926359999998</v>
      </c>
      <c r="H12">
        <f>[5]trip_summary_region!H12</f>
        <v>0.1497336511</v>
      </c>
      <c r="I12" t="str">
        <f>[5]trip_summary_region!I12</f>
        <v>Cyclist</v>
      </c>
      <c r="J12" t="str">
        <f>[5]trip_summary_region!J12</f>
        <v>2027/28</v>
      </c>
    </row>
    <row r="13" spans="1:10" x14ac:dyDescent="0.25">
      <c r="A13" t="str">
        <f>[5]trip_summary_region!A13</f>
        <v>01 NORTHLAND</v>
      </c>
      <c r="B13">
        <f>[5]trip_summary_region!B13</f>
        <v>1</v>
      </c>
      <c r="C13">
        <f>[5]trip_summary_region!C13</f>
        <v>2033</v>
      </c>
      <c r="D13">
        <f>[5]trip_summary_region!D13</f>
        <v>5</v>
      </c>
      <c r="E13">
        <f>[5]trip_summary_region!E13</f>
        <v>19</v>
      </c>
      <c r="F13">
        <f>[5]trip_summary_region!F13</f>
        <v>0.56857701439999997</v>
      </c>
      <c r="G13">
        <f>[5]trip_summary_region!G13</f>
        <v>0.89215645580000003</v>
      </c>
      <c r="H13">
        <f>[5]trip_summary_region!H13</f>
        <v>0.140744068</v>
      </c>
      <c r="I13" t="str">
        <f>[5]trip_summary_region!I13</f>
        <v>Cyclist</v>
      </c>
      <c r="J13" t="str">
        <f>[5]trip_summary_region!J13</f>
        <v>2032/33</v>
      </c>
    </row>
    <row r="14" spans="1:10" x14ac:dyDescent="0.25">
      <c r="A14" t="str">
        <f>[5]trip_summary_region!A14</f>
        <v>01 NORTHLAND</v>
      </c>
      <c r="B14">
        <f>[5]trip_summary_region!B14</f>
        <v>1</v>
      </c>
      <c r="C14">
        <f>[5]trip_summary_region!C14</f>
        <v>2038</v>
      </c>
      <c r="D14">
        <f>[5]trip_summary_region!D14</f>
        <v>5</v>
      </c>
      <c r="E14">
        <f>[5]trip_summary_region!E14</f>
        <v>19</v>
      </c>
      <c r="F14">
        <f>[5]trip_summary_region!F14</f>
        <v>0.47133398240000002</v>
      </c>
      <c r="G14">
        <f>[5]trip_summary_region!G14</f>
        <v>0.74360667499999999</v>
      </c>
      <c r="H14">
        <f>[5]trip_summary_region!H14</f>
        <v>0.117295073</v>
      </c>
      <c r="I14" t="str">
        <f>[5]trip_summary_region!I14</f>
        <v>Cyclist</v>
      </c>
      <c r="J14" t="str">
        <f>[5]trip_summary_region!J14</f>
        <v>2037/38</v>
      </c>
    </row>
    <row r="15" spans="1:10" x14ac:dyDescent="0.25">
      <c r="A15" t="str">
        <f>[5]trip_summary_region!A15</f>
        <v>01 NORTHLAND</v>
      </c>
      <c r="B15">
        <f>[5]trip_summary_region!B15</f>
        <v>1</v>
      </c>
      <c r="C15">
        <f>[5]trip_summary_region!C15</f>
        <v>2043</v>
      </c>
      <c r="D15">
        <f>[5]trip_summary_region!D15</f>
        <v>5</v>
      </c>
      <c r="E15">
        <f>[5]trip_summary_region!E15</f>
        <v>19</v>
      </c>
      <c r="F15">
        <f>[5]trip_summary_region!F15</f>
        <v>0.38312130160000002</v>
      </c>
      <c r="G15">
        <f>[5]trip_summary_region!G15</f>
        <v>0.60775131100000002</v>
      </c>
      <c r="H15">
        <f>[5]trip_summary_region!H15</f>
        <v>9.5875978799999997E-2</v>
      </c>
      <c r="I15" t="str">
        <f>[5]trip_summary_region!I15</f>
        <v>Cyclist</v>
      </c>
      <c r="J15" t="str">
        <f>[5]trip_summary_region!J15</f>
        <v>2042/43</v>
      </c>
    </row>
    <row r="16" spans="1:10" x14ac:dyDescent="0.25">
      <c r="A16" t="str">
        <f>[5]trip_summary_region!A16</f>
        <v>01 NORTHLAND</v>
      </c>
      <c r="B16">
        <f>[5]trip_summary_region!B16</f>
        <v>2</v>
      </c>
      <c r="C16">
        <f>[5]trip_summary_region!C16</f>
        <v>2013</v>
      </c>
      <c r="D16">
        <f>[5]trip_summary_region!D16</f>
        <v>476</v>
      </c>
      <c r="E16">
        <f>[5]trip_summary_region!E16</f>
        <v>2980</v>
      </c>
      <c r="F16">
        <f>[5]trip_summary_region!F16</f>
        <v>86.333691700000003</v>
      </c>
      <c r="G16">
        <f>[5]trip_summary_region!G16</f>
        <v>1011.4273062</v>
      </c>
      <c r="H16">
        <f>[5]trip_summary_region!H16</f>
        <v>23.421840091</v>
      </c>
      <c r="I16" t="str">
        <f>[5]trip_summary_region!I16</f>
        <v>Light Vehicle Driver</v>
      </c>
      <c r="J16" t="str">
        <f>[5]trip_summary_region!J16</f>
        <v>2012/13</v>
      </c>
    </row>
    <row r="17" spans="1:10" x14ac:dyDescent="0.25">
      <c r="A17" t="str">
        <f>[5]trip_summary_region!A17</f>
        <v>01 NORTHLAND</v>
      </c>
      <c r="B17">
        <f>[5]trip_summary_region!B17</f>
        <v>2</v>
      </c>
      <c r="C17">
        <f>[5]trip_summary_region!C17</f>
        <v>2018</v>
      </c>
      <c r="D17">
        <f>[5]trip_summary_region!D17</f>
        <v>476</v>
      </c>
      <c r="E17">
        <f>[5]trip_summary_region!E17</f>
        <v>2980</v>
      </c>
      <c r="F17">
        <f>[5]trip_summary_region!F17</f>
        <v>89.291356045000001</v>
      </c>
      <c r="G17">
        <f>[5]trip_summary_region!G17</f>
        <v>1055.6674237</v>
      </c>
      <c r="H17">
        <f>[5]trip_summary_region!H17</f>
        <v>24.412828752999999</v>
      </c>
      <c r="I17" t="str">
        <f>[5]trip_summary_region!I17</f>
        <v>Light Vehicle Driver</v>
      </c>
      <c r="J17" t="str">
        <f>[5]trip_summary_region!J17</f>
        <v>2017/18</v>
      </c>
    </row>
    <row r="18" spans="1:10" x14ac:dyDescent="0.25">
      <c r="A18" t="str">
        <f>[5]trip_summary_region!A18</f>
        <v>01 NORTHLAND</v>
      </c>
      <c r="B18">
        <f>[5]trip_summary_region!B18</f>
        <v>2</v>
      </c>
      <c r="C18">
        <f>[5]trip_summary_region!C18</f>
        <v>2023</v>
      </c>
      <c r="D18">
        <f>[5]trip_summary_region!D18</f>
        <v>476</v>
      </c>
      <c r="E18">
        <f>[5]trip_summary_region!E18</f>
        <v>2980</v>
      </c>
      <c r="F18">
        <f>[5]trip_summary_region!F18</f>
        <v>90.732953387999999</v>
      </c>
      <c r="G18">
        <f>[5]trip_summary_region!G18</f>
        <v>1075.0867555</v>
      </c>
      <c r="H18">
        <f>[5]trip_summary_region!H18</f>
        <v>24.822783907000002</v>
      </c>
      <c r="I18" t="str">
        <f>[5]trip_summary_region!I18</f>
        <v>Light Vehicle Driver</v>
      </c>
      <c r="J18" t="str">
        <f>[5]trip_summary_region!J18</f>
        <v>2022/23</v>
      </c>
    </row>
    <row r="19" spans="1:10" x14ac:dyDescent="0.25">
      <c r="A19" t="str">
        <f>[5]trip_summary_region!A19</f>
        <v>01 NORTHLAND</v>
      </c>
      <c r="B19">
        <f>[5]trip_summary_region!B19</f>
        <v>2</v>
      </c>
      <c r="C19">
        <f>[5]trip_summary_region!C19</f>
        <v>2028</v>
      </c>
      <c r="D19">
        <f>[5]trip_summary_region!D19</f>
        <v>476</v>
      </c>
      <c r="E19">
        <f>[5]trip_summary_region!E19</f>
        <v>2980</v>
      </c>
      <c r="F19">
        <f>[5]trip_summary_region!F19</f>
        <v>93.275414163999997</v>
      </c>
      <c r="G19">
        <f>[5]trip_summary_region!G19</f>
        <v>1101.4805818</v>
      </c>
      <c r="H19">
        <f>[5]trip_summary_region!H19</f>
        <v>25.365476288</v>
      </c>
      <c r="I19" t="str">
        <f>[5]trip_summary_region!I19</f>
        <v>Light Vehicle Driver</v>
      </c>
      <c r="J19" t="str">
        <f>[5]trip_summary_region!J19</f>
        <v>2027/28</v>
      </c>
    </row>
    <row r="20" spans="1:10" x14ac:dyDescent="0.25">
      <c r="A20" t="str">
        <f>[5]trip_summary_region!A20</f>
        <v>01 NORTHLAND</v>
      </c>
      <c r="B20">
        <f>[5]trip_summary_region!B20</f>
        <v>2</v>
      </c>
      <c r="C20">
        <f>[5]trip_summary_region!C20</f>
        <v>2033</v>
      </c>
      <c r="D20">
        <f>[5]trip_summary_region!D20</f>
        <v>476</v>
      </c>
      <c r="E20">
        <f>[5]trip_summary_region!E20</f>
        <v>2980</v>
      </c>
      <c r="F20">
        <f>[5]trip_summary_region!F20</f>
        <v>95.255421698000006</v>
      </c>
      <c r="G20">
        <f>[5]trip_summary_region!G20</f>
        <v>1125.3273406999999</v>
      </c>
      <c r="H20">
        <f>[5]trip_summary_region!H20</f>
        <v>25.892064713</v>
      </c>
      <c r="I20" t="str">
        <f>[5]trip_summary_region!I20</f>
        <v>Light Vehicle Driver</v>
      </c>
      <c r="J20" t="str">
        <f>[5]trip_summary_region!J20</f>
        <v>2032/33</v>
      </c>
    </row>
    <row r="21" spans="1:10" x14ac:dyDescent="0.25">
      <c r="A21" t="str">
        <f>[5]trip_summary_region!A21</f>
        <v>01 NORTHLAND</v>
      </c>
      <c r="B21">
        <f>[5]trip_summary_region!B21</f>
        <v>2</v>
      </c>
      <c r="C21">
        <f>[5]trip_summary_region!C21</f>
        <v>2038</v>
      </c>
      <c r="D21">
        <f>[5]trip_summary_region!D21</f>
        <v>476</v>
      </c>
      <c r="E21">
        <f>[5]trip_summary_region!E21</f>
        <v>2980</v>
      </c>
      <c r="F21">
        <f>[5]trip_summary_region!F21</f>
        <v>95.342348017999996</v>
      </c>
      <c r="G21">
        <f>[5]trip_summary_region!G21</f>
        <v>1133.4092654999999</v>
      </c>
      <c r="H21">
        <f>[5]trip_summary_region!H21</f>
        <v>26.059886873</v>
      </c>
      <c r="I21" t="str">
        <f>[5]trip_summary_region!I21</f>
        <v>Light Vehicle Driver</v>
      </c>
      <c r="J21" t="str">
        <f>[5]trip_summary_region!J21</f>
        <v>2037/38</v>
      </c>
    </row>
    <row r="22" spans="1:10" x14ac:dyDescent="0.25">
      <c r="A22" t="str">
        <f>[5]trip_summary_region!A22</f>
        <v>01 NORTHLAND</v>
      </c>
      <c r="B22">
        <f>[5]trip_summary_region!B22</f>
        <v>2</v>
      </c>
      <c r="C22">
        <f>[5]trip_summary_region!C22</f>
        <v>2043</v>
      </c>
      <c r="D22">
        <f>[5]trip_summary_region!D22</f>
        <v>476</v>
      </c>
      <c r="E22">
        <f>[5]trip_summary_region!E22</f>
        <v>2980</v>
      </c>
      <c r="F22">
        <f>[5]trip_summary_region!F22</f>
        <v>95.149829177000001</v>
      </c>
      <c r="G22">
        <f>[5]trip_summary_region!G22</f>
        <v>1137.1598276</v>
      </c>
      <c r="H22">
        <f>[5]trip_summary_region!H22</f>
        <v>26.117896081000001</v>
      </c>
      <c r="I22" t="str">
        <f>[5]trip_summary_region!I22</f>
        <v>Light Vehicle Driver</v>
      </c>
      <c r="J22" t="str">
        <f>[5]trip_summary_region!J22</f>
        <v>2042/43</v>
      </c>
    </row>
    <row r="23" spans="1:10" x14ac:dyDescent="0.25">
      <c r="A23" t="str">
        <f>[5]trip_summary_region!A23</f>
        <v>01 NORTHLAND</v>
      </c>
      <c r="B23">
        <f>[5]trip_summary_region!B23</f>
        <v>3</v>
      </c>
      <c r="C23">
        <f>[5]trip_summary_region!C23</f>
        <v>2013</v>
      </c>
      <c r="D23">
        <f>[5]trip_summary_region!D23</f>
        <v>380</v>
      </c>
      <c r="E23">
        <f>[5]trip_summary_region!E23</f>
        <v>1743</v>
      </c>
      <c r="F23">
        <f>[5]trip_summary_region!F23</f>
        <v>50.299563868</v>
      </c>
      <c r="G23">
        <f>[5]trip_summary_region!G23</f>
        <v>666.23785996000004</v>
      </c>
      <c r="H23">
        <f>[5]trip_summary_region!H23</f>
        <v>15.174949781</v>
      </c>
      <c r="I23" t="str">
        <f>[5]trip_summary_region!I23</f>
        <v>Light Vehicle Passenger</v>
      </c>
      <c r="J23" t="str">
        <f>[5]trip_summary_region!J23</f>
        <v>2012/13</v>
      </c>
    </row>
    <row r="24" spans="1:10" x14ac:dyDescent="0.25">
      <c r="A24" t="str">
        <f>[5]trip_summary_region!A24</f>
        <v>01 NORTHLAND</v>
      </c>
      <c r="B24">
        <f>[5]trip_summary_region!B24</f>
        <v>3</v>
      </c>
      <c r="C24">
        <f>[5]trip_summary_region!C24</f>
        <v>2018</v>
      </c>
      <c r="D24">
        <f>[5]trip_summary_region!D24</f>
        <v>380</v>
      </c>
      <c r="E24">
        <f>[5]trip_summary_region!E24</f>
        <v>1743</v>
      </c>
      <c r="F24">
        <f>[5]trip_summary_region!F24</f>
        <v>49.088961003000001</v>
      </c>
      <c r="G24">
        <f>[5]trip_summary_region!G24</f>
        <v>663.84112298000002</v>
      </c>
      <c r="H24">
        <f>[5]trip_summary_region!H24</f>
        <v>15.043693887</v>
      </c>
      <c r="I24" t="str">
        <f>[5]trip_summary_region!I24</f>
        <v>Light Vehicle Passenger</v>
      </c>
      <c r="J24" t="str">
        <f>[5]trip_summary_region!J24</f>
        <v>2017/18</v>
      </c>
    </row>
    <row r="25" spans="1:10" x14ac:dyDescent="0.25">
      <c r="A25" t="str">
        <f>[5]trip_summary_region!A25</f>
        <v>01 NORTHLAND</v>
      </c>
      <c r="B25">
        <f>[5]trip_summary_region!B25</f>
        <v>3</v>
      </c>
      <c r="C25">
        <f>[5]trip_summary_region!C25</f>
        <v>2023</v>
      </c>
      <c r="D25">
        <f>[5]trip_summary_region!D25</f>
        <v>380</v>
      </c>
      <c r="E25">
        <f>[5]trip_summary_region!E25</f>
        <v>1743</v>
      </c>
      <c r="F25">
        <f>[5]trip_summary_region!F25</f>
        <v>47.890576781999997</v>
      </c>
      <c r="G25">
        <f>[5]trip_summary_region!G25</f>
        <v>656.87455413999999</v>
      </c>
      <c r="H25">
        <f>[5]trip_summary_region!H25</f>
        <v>14.815408416</v>
      </c>
      <c r="I25" t="str">
        <f>[5]trip_summary_region!I25</f>
        <v>Light Vehicle Passenger</v>
      </c>
      <c r="J25" t="str">
        <f>[5]trip_summary_region!J25</f>
        <v>2022/23</v>
      </c>
    </row>
    <row r="26" spans="1:10" x14ac:dyDescent="0.25">
      <c r="A26" t="str">
        <f>[5]trip_summary_region!A26</f>
        <v>01 NORTHLAND</v>
      </c>
      <c r="B26">
        <f>[5]trip_summary_region!B26</f>
        <v>3</v>
      </c>
      <c r="C26">
        <f>[5]trip_summary_region!C26</f>
        <v>2028</v>
      </c>
      <c r="D26">
        <f>[5]trip_summary_region!D26</f>
        <v>380</v>
      </c>
      <c r="E26">
        <f>[5]trip_summary_region!E26</f>
        <v>1743</v>
      </c>
      <c r="F26">
        <f>[5]trip_summary_region!F26</f>
        <v>47.323475776000002</v>
      </c>
      <c r="G26">
        <f>[5]trip_summary_region!G26</f>
        <v>658.16193868000005</v>
      </c>
      <c r="H26">
        <f>[5]trip_summary_region!H26</f>
        <v>14.732585072999999</v>
      </c>
      <c r="I26" t="str">
        <f>[5]trip_summary_region!I26</f>
        <v>Light Vehicle Passenger</v>
      </c>
      <c r="J26" t="str">
        <f>[5]trip_summary_region!J26</f>
        <v>2027/28</v>
      </c>
    </row>
    <row r="27" spans="1:10" x14ac:dyDescent="0.25">
      <c r="A27" t="str">
        <f>[5]trip_summary_region!A27</f>
        <v>01 NORTHLAND</v>
      </c>
      <c r="B27">
        <f>[5]trip_summary_region!B27</f>
        <v>3</v>
      </c>
      <c r="C27">
        <f>[5]trip_summary_region!C27</f>
        <v>2033</v>
      </c>
      <c r="D27">
        <f>[5]trip_summary_region!D27</f>
        <v>380</v>
      </c>
      <c r="E27">
        <f>[5]trip_summary_region!E27</f>
        <v>1743</v>
      </c>
      <c r="F27">
        <f>[5]trip_summary_region!F27</f>
        <v>46.880439357</v>
      </c>
      <c r="G27">
        <f>[5]trip_summary_region!G27</f>
        <v>655.67660107999995</v>
      </c>
      <c r="H27">
        <f>[5]trip_summary_region!H27</f>
        <v>14.611382581999999</v>
      </c>
      <c r="I27" t="str">
        <f>[5]trip_summary_region!I27</f>
        <v>Light Vehicle Passenger</v>
      </c>
      <c r="J27" t="str">
        <f>[5]trip_summary_region!J27</f>
        <v>2032/33</v>
      </c>
    </row>
    <row r="28" spans="1:10" x14ac:dyDescent="0.25">
      <c r="A28" t="str">
        <f>[5]trip_summary_region!A28</f>
        <v>01 NORTHLAND</v>
      </c>
      <c r="B28">
        <f>[5]trip_summary_region!B28</f>
        <v>3</v>
      </c>
      <c r="C28">
        <f>[5]trip_summary_region!C28</f>
        <v>2038</v>
      </c>
      <c r="D28">
        <f>[5]trip_summary_region!D28</f>
        <v>380</v>
      </c>
      <c r="E28">
        <f>[5]trip_summary_region!E28</f>
        <v>1743</v>
      </c>
      <c r="F28">
        <f>[5]trip_summary_region!F28</f>
        <v>45.884686504999998</v>
      </c>
      <c r="G28">
        <f>[5]trip_summary_region!G28</f>
        <v>650.79562777000001</v>
      </c>
      <c r="H28">
        <f>[5]trip_summary_region!H28</f>
        <v>14.407955576999999</v>
      </c>
      <c r="I28" t="str">
        <f>[5]trip_summary_region!I28</f>
        <v>Light Vehicle Passenger</v>
      </c>
      <c r="J28" t="str">
        <f>[5]trip_summary_region!J28</f>
        <v>2037/38</v>
      </c>
    </row>
    <row r="29" spans="1:10" x14ac:dyDescent="0.25">
      <c r="A29" t="str">
        <f>[5]trip_summary_region!A29</f>
        <v>01 NORTHLAND</v>
      </c>
      <c r="B29">
        <f>[5]trip_summary_region!B29</f>
        <v>3</v>
      </c>
      <c r="C29">
        <f>[5]trip_summary_region!C29</f>
        <v>2043</v>
      </c>
      <c r="D29">
        <f>[5]trip_summary_region!D29</f>
        <v>380</v>
      </c>
      <c r="E29">
        <f>[5]trip_summary_region!E29</f>
        <v>1743</v>
      </c>
      <c r="F29">
        <f>[5]trip_summary_region!F29</f>
        <v>44.819244707999999</v>
      </c>
      <c r="G29">
        <f>[5]trip_summary_region!G29</f>
        <v>644.06478465999999</v>
      </c>
      <c r="H29">
        <f>[5]trip_summary_region!H29</f>
        <v>14.167354896999999</v>
      </c>
      <c r="I29" t="str">
        <f>[5]trip_summary_region!I29</f>
        <v>Light Vehicle Passenger</v>
      </c>
      <c r="J29" t="str">
        <f>[5]trip_summary_region!J29</f>
        <v>2042/43</v>
      </c>
    </row>
    <row r="30" spans="1:10" x14ac:dyDescent="0.25">
      <c r="A30" t="str">
        <f>[5]trip_summary_region!A30</f>
        <v>01 NORTHLAND</v>
      </c>
      <c r="B30">
        <f>[5]trip_summary_region!B30</f>
        <v>4</v>
      </c>
      <c r="C30">
        <f>[5]trip_summary_region!C30</f>
        <v>2013</v>
      </c>
      <c r="D30">
        <f>[5]trip_summary_region!D30</f>
        <v>4</v>
      </c>
      <c r="E30">
        <f>[5]trip_summary_region!E30</f>
        <v>6</v>
      </c>
      <c r="F30">
        <f>[5]trip_summary_region!F30</f>
        <v>0.18126348840000001</v>
      </c>
      <c r="G30">
        <f>[5]trip_summary_region!G30</f>
        <v>0.75976041549999995</v>
      </c>
      <c r="H30">
        <f>[5]trip_summary_region!H30</f>
        <v>2.5131369800000001E-2</v>
      </c>
      <c r="I30" t="s">
        <v>116</v>
      </c>
      <c r="J30" t="str">
        <f>[5]trip_summary_region!J30</f>
        <v>2012/13</v>
      </c>
    </row>
    <row r="31" spans="1:10" x14ac:dyDescent="0.25">
      <c r="A31" t="str">
        <f>[5]trip_summary_region!A31</f>
        <v>01 NORTHLAND</v>
      </c>
      <c r="B31">
        <f>[5]trip_summary_region!B31</f>
        <v>4</v>
      </c>
      <c r="C31">
        <f>[5]trip_summary_region!C31</f>
        <v>2018</v>
      </c>
      <c r="D31">
        <f>[5]trip_summary_region!D31</f>
        <v>4</v>
      </c>
      <c r="E31">
        <f>[5]trip_summary_region!E31</f>
        <v>6</v>
      </c>
      <c r="F31">
        <f>[5]trip_summary_region!F31</f>
        <v>0.1802249548</v>
      </c>
      <c r="G31">
        <f>[5]trip_summary_region!G31</f>
        <v>0.75231248009999996</v>
      </c>
      <c r="H31">
        <f>[5]trip_summary_region!H31</f>
        <v>2.4523769599999998E-2</v>
      </c>
      <c r="I31" t="s">
        <v>116</v>
      </c>
      <c r="J31" t="str">
        <f>[5]trip_summary_region!J31</f>
        <v>2017/18</v>
      </c>
    </row>
    <row r="32" spans="1:10" x14ac:dyDescent="0.25">
      <c r="A32" t="str">
        <f>[5]trip_summary_region!A32</f>
        <v>01 NORTHLAND</v>
      </c>
      <c r="B32">
        <f>[5]trip_summary_region!B32</f>
        <v>4</v>
      </c>
      <c r="C32">
        <f>[5]trip_summary_region!C32</f>
        <v>2023</v>
      </c>
      <c r="D32">
        <f>[5]trip_summary_region!D32</f>
        <v>4</v>
      </c>
      <c r="E32">
        <f>[5]trip_summary_region!E32</f>
        <v>6</v>
      </c>
      <c r="F32">
        <f>[5]trip_summary_region!F32</f>
        <v>0.18175987299999999</v>
      </c>
      <c r="G32">
        <f>[5]trip_summary_region!G32</f>
        <v>0.80318269279999999</v>
      </c>
      <c r="H32">
        <f>[5]trip_summary_region!H32</f>
        <v>2.50800487E-2</v>
      </c>
      <c r="I32" t="s">
        <v>116</v>
      </c>
      <c r="J32" t="str">
        <f>[5]trip_summary_region!J32</f>
        <v>2022/23</v>
      </c>
    </row>
    <row r="33" spans="1:10" x14ac:dyDescent="0.25">
      <c r="A33" t="str">
        <f>[5]trip_summary_region!A33</f>
        <v>01 NORTHLAND</v>
      </c>
      <c r="B33">
        <f>[5]trip_summary_region!B33</f>
        <v>4</v>
      </c>
      <c r="C33">
        <f>[5]trip_summary_region!C33</f>
        <v>2028</v>
      </c>
      <c r="D33">
        <f>[5]trip_summary_region!D33</f>
        <v>4</v>
      </c>
      <c r="E33">
        <f>[5]trip_summary_region!E33</f>
        <v>6</v>
      </c>
      <c r="F33">
        <f>[5]trip_summary_region!F33</f>
        <v>0.18936623899999999</v>
      </c>
      <c r="G33">
        <f>[5]trip_summary_region!G33</f>
        <v>0.92505622180000002</v>
      </c>
      <c r="H33">
        <f>[5]trip_summary_region!H33</f>
        <v>2.71595863E-2</v>
      </c>
      <c r="I33" t="s">
        <v>116</v>
      </c>
      <c r="J33" t="str">
        <f>[5]trip_summary_region!J33</f>
        <v>2027/28</v>
      </c>
    </row>
    <row r="34" spans="1:10" x14ac:dyDescent="0.25">
      <c r="A34" t="str">
        <f>[5]trip_summary_region!A34</f>
        <v>01 NORTHLAND</v>
      </c>
      <c r="B34">
        <f>[5]trip_summary_region!B34</f>
        <v>4</v>
      </c>
      <c r="C34">
        <f>[5]trip_summary_region!C34</f>
        <v>2033</v>
      </c>
      <c r="D34">
        <f>[5]trip_summary_region!D34</f>
        <v>4</v>
      </c>
      <c r="E34">
        <f>[5]trip_summary_region!E34</f>
        <v>6</v>
      </c>
      <c r="F34">
        <f>[5]trip_summary_region!F34</f>
        <v>0.1816627167</v>
      </c>
      <c r="G34">
        <f>[5]trip_summary_region!G34</f>
        <v>0.99687324580000003</v>
      </c>
      <c r="H34">
        <f>[5]trip_summary_region!H34</f>
        <v>2.7386666E-2</v>
      </c>
      <c r="I34" t="s">
        <v>116</v>
      </c>
      <c r="J34" t="str">
        <f>[5]trip_summary_region!J34</f>
        <v>2032/33</v>
      </c>
    </row>
    <row r="35" spans="1:10" x14ac:dyDescent="0.25">
      <c r="A35" t="str">
        <f>[5]trip_summary_region!A35</f>
        <v>01 NORTHLAND</v>
      </c>
      <c r="B35">
        <f>[5]trip_summary_region!B35</f>
        <v>4</v>
      </c>
      <c r="C35">
        <f>[5]trip_summary_region!C35</f>
        <v>2038</v>
      </c>
      <c r="D35">
        <f>[5]trip_summary_region!D35</f>
        <v>4</v>
      </c>
      <c r="E35">
        <f>[5]trip_summary_region!E35</f>
        <v>6</v>
      </c>
      <c r="F35">
        <f>[5]trip_summary_region!F35</f>
        <v>0.16972872520000001</v>
      </c>
      <c r="G35">
        <f>[5]trip_summary_region!G35</f>
        <v>0.98051401120000004</v>
      </c>
      <c r="H35">
        <f>[5]trip_summary_region!H35</f>
        <v>2.6032977299999999E-2</v>
      </c>
      <c r="I35" t="s">
        <v>116</v>
      </c>
      <c r="J35" t="str">
        <f>[5]trip_summary_region!J35</f>
        <v>2037/38</v>
      </c>
    </row>
    <row r="36" spans="1:10" x14ac:dyDescent="0.25">
      <c r="A36" t="str">
        <f>[5]trip_summary_region!A36</f>
        <v>01 NORTHLAND</v>
      </c>
      <c r="B36">
        <f>[5]trip_summary_region!B36</f>
        <v>4</v>
      </c>
      <c r="C36">
        <f>[5]trip_summary_region!C36</f>
        <v>2043</v>
      </c>
      <c r="D36">
        <f>[5]trip_summary_region!D36</f>
        <v>4</v>
      </c>
      <c r="E36">
        <f>[5]trip_summary_region!E36</f>
        <v>6</v>
      </c>
      <c r="F36">
        <f>[5]trip_summary_region!F36</f>
        <v>0.1575792308</v>
      </c>
      <c r="G36">
        <f>[5]trip_summary_region!G36</f>
        <v>0.95688894339999997</v>
      </c>
      <c r="H36">
        <f>[5]trip_summary_region!H36</f>
        <v>2.4568605300000001E-2</v>
      </c>
      <c r="I36" t="s">
        <v>116</v>
      </c>
      <c r="J36" t="str">
        <f>[5]trip_summary_region!J36</f>
        <v>2042/43</v>
      </c>
    </row>
    <row r="37" spans="1:10" x14ac:dyDescent="0.25">
      <c r="A37" t="str">
        <f>[5]trip_summary_region!A37</f>
        <v>01 NORTHLAND</v>
      </c>
      <c r="B37">
        <f>[5]trip_summary_region!B37</f>
        <v>5</v>
      </c>
      <c r="C37">
        <f>[5]trip_summary_region!C37</f>
        <v>2013</v>
      </c>
      <c r="D37">
        <f>[5]trip_summary_region!D37</f>
        <v>5</v>
      </c>
      <c r="E37">
        <f>[5]trip_summary_region!E37</f>
        <v>28</v>
      </c>
      <c r="F37">
        <f>[5]trip_summary_region!F37</f>
        <v>1.4141085707000001</v>
      </c>
      <c r="G37">
        <f>[5]trip_summary_region!G37</f>
        <v>9.2423909657000003</v>
      </c>
      <c r="H37">
        <f>[5]trip_summary_region!H37</f>
        <v>0.28382488960000002</v>
      </c>
      <c r="I37" t="str">
        <f>[5]trip_summary_region!I37</f>
        <v>Motorcyclist</v>
      </c>
      <c r="J37" t="str">
        <f>[5]trip_summary_region!J37</f>
        <v>2012/13</v>
      </c>
    </row>
    <row r="38" spans="1:10" x14ac:dyDescent="0.25">
      <c r="A38" t="str">
        <f>[5]trip_summary_region!A38</f>
        <v>01 NORTHLAND</v>
      </c>
      <c r="B38">
        <f>[5]trip_summary_region!B38</f>
        <v>5</v>
      </c>
      <c r="C38">
        <f>[5]trip_summary_region!C38</f>
        <v>2018</v>
      </c>
      <c r="D38">
        <f>[5]trip_summary_region!D38</f>
        <v>5</v>
      </c>
      <c r="E38">
        <f>[5]trip_summary_region!E38</f>
        <v>28</v>
      </c>
      <c r="F38">
        <f>[5]trip_summary_region!F38</f>
        <v>1.4184689704</v>
      </c>
      <c r="G38">
        <f>[5]trip_summary_region!G38</f>
        <v>9.4484881807000001</v>
      </c>
      <c r="H38">
        <f>[5]trip_summary_region!H38</f>
        <v>0.28996502120000001</v>
      </c>
      <c r="I38" t="str">
        <f>[5]trip_summary_region!I38</f>
        <v>Motorcyclist</v>
      </c>
      <c r="J38" t="str">
        <f>[5]trip_summary_region!J38</f>
        <v>2017/18</v>
      </c>
    </row>
    <row r="39" spans="1:10" x14ac:dyDescent="0.25">
      <c r="A39" t="str">
        <f>[5]trip_summary_region!A39</f>
        <v>01 NORTHLAND</v>
      </c>
      <c r="B39">
        <f>[5]trip_summary_region!B39</f>
        <v>5</v>
      </c>
      <c r="C39">
        <f>[5]trip_summary_region!C39</f>
        <v>2023</v>
      </c>
      <c r="D39">
        <f>[5]trip_summary_region!D39</f>
        <v>5</v>
      </c>
      <c r="E39">
        <f>[5]trip_summary_region!E39</f>
        <v>28</v>
      </c>
      <c r="F39">
        <f>[5]trip_summary_region!F39</f>
        <v>1.3625385753000001</v>
      </c>
      <c r="G39">
        <f>[5]trip_summary_region!G39</f>
        <v>9.1273042885999995</v>
      </c>
      <c r="H39">
        <f>[5]trip_summary_region!H39</f>
        <v>0.28125119609999999</v>
      </c>
      <c r="I39" t="str">
        <f>[5]trip_summary_region!I39</f>
        <v>Motorcyclist</v>
      </c>
      <c r="J39" t="str">
        <f>[5]trip_summary_region!J39</f>
        <v>2022/23</v>
      </c>
    </row>
    <row r="40" spans="1:10" x14ac:dyDescent="0.25">
      <c r="A40" t="str">
        <f>[5]trip_summary_region!A40</f>
        <v>01 NORTHLAND</v>
      </c>
      <c r="B40">
        <f>[5]trip_summary_region!B40</f>
        <v>5</v>
      </c>
      <c r="C40">
        <f>[5]trip_summary_region!C40</f>
        <v>2028</v>
      </c>
      <c r="D40">
        <f>[5]trip_summary_region!D40</f>
        <v>5</v>
      </c>
      <c r="E40">
        <f>[5]trip_summary_region!E40</f>
        <v>28</v>
      </c>
      <c r="F40">
        <f>[5]trip_summary_region!F40</f>
        <v>1.2809998005000001</v>
      </c>
      <c r="G40">
        <f>[5]trip_summary_region!G40</f>
        <v>8.8117765380000002</v>
      </c>
      <c r="H40">
        <f>[5]trip_summary_region!H40</f>
        <v>0.26925596299999999</v>
      </c>
      <c r="I40" t="str">
        <f>[5]trip_summary_region!I40</f>
        <v>Motorcyclist</v>
      </c>
      <c r="J40" t="str">
        <f>[5]trip_summary_region!J40</f>
        <v>2027/28</v>
      </c>
    </row>
    <row r="41" spans="1:10" x14ac:dyDescent="0.25">
      <c r="A41" t="str">
        <f>[5]trip_summary_region!A41</f>
        <v>01 NORTHLAND</v>
      </c>
      <c r="B41">
        <f>[5]trip_summary_region!B41</f>
        <v>5</v>
      </c>
      <c r="C41">
        <f>[5]trip_summary_region!C41</f>
        <v>2033</v>
      </c>
      <c r="D41">
        <f>[5]trip_summary_region!D41</f>
        <v>5</v>
      </c>
      <c r="E41">
        <f>[5]trip_summary_region!E41</f>
        <v>28</v>
      </c>
      <c r="F41">
        <f>[5]trip_summary_region!F41</f>
        <v>1.2547294113</v>
      </c>
      <c r="G41">
        <f>[5]trip_summary_region!G41</f>
        <v>8.6562204023000007</v>
      </c>
      <c r="H41">
        <f>[5]trip_summary_region!H41</f>
        <v>0.26373218679999999</v>
      </c>
      <c r="I41" t="str">
        <f>[5]trip_summary_region!I41</f>
        <v>Motorcyclist</v>
      </c>
      <c r="J41" t="str">
        <f>[5]trip_summary_region!J41</f>
        <v>2032/33</v>
      </c>
    </row>
    <row r="42" spans="1:10" x14ac:dyDescent="0.25">
      <c r="A42" t="str">
        <f>[5]trip_summary_region!A42</f>
        <v>01 NORTHLAND</v>
      </c>
      <c r="B42">
        <f>[5]trip_summary_region!B42</f>
        <v>5</v>
      </c>
      <c r="C42">
        <f>[5]trip_summary_region!C42</f>
        <v>2038</v>
      </c>
      <c r="D42">
        <f>[5]trip_summary_region!D42</f>
        <v>5</v>
      </c>
      <c r="E42">
        <f>[5]trip_summary_region!E42</f>
        <v>28</v>
      </c>
      <c r="F42">
        <f>[5]trip_summary_region!F42</f>
        <v>1.2678676129999999</v>
      </c>
      <c r="G42">
        <f>[5]trip_summary_region!G42</f>
        <v>8.7235747392</v>
      </c>
      <c r="H42">
        <f>[5]trip_summary_region!H42</f>
        <v>0.26546521039999998</v>
      </c>
      <c r="I42" t="str">
        <f>[5]trip_summary_region!I42</f>
        <v>Motorcyclist</v>
      </c>
      <c r="J42" t="str">
        <f>[5]trip_summary_region!J42</f>
        <v>2037/38</v>
      </c>
    </row>
    <row r="43" spans="1:10" x14ac:dyDescent="0.25">
      <c r="A43" t="str">
        <f>[5]trip_summary_region!A43</f>
        <v>01 NORTHLAND</v>
      </c>
      <c r="B43">
        <f>[5]trip_summary_region!B43</f>
        <v>5</v>
      </c>
      <c r="C43">
        <f>[5]trip_summary_region!C43</f>
        <v>2043</v>
      </c>
      <c r="D43">
        <f>[5]trip_summary_region!D43</f>
        <v>5</v>
      </c>
      <c r="E43">
        <f>[5]trip_summary_region!E43</f>
        <v>28</v>
      </c>
      <c r="F43">
        <f>[5]trip_summary_region!F43</f>
        <v>1.2646877831000001</v>
      </c>
      <c r="G43">
        <f>[5]trip_summary_region!G43</f>
        <v>8.6428281432999992</v>
      </c>
      <c r="H43">
        <f>[5]trip_summary_region!H43</f>
        <v>0.26341807249999999</v>
      </c>
      <c r="I43" t="str">
        <f>[5]trip_summary_region!I43</f>
        <v>Motorcyclist</v>
      </c>
      <c r="J43" t="str">
        <f>[5]trip_summary_region!J43</f>
        <v>2042/43</v>
      </c>
    </row>
    <row r="44" spans="1:10" x14ac:dyDescent="0.25">
      <c r="A44" t="str">
        <f>[5]trip_summary_region!A44</f>
        <v>01 NORTHLAND</v>
      </c>
      <c r="B44">
        <f>[5]trip_summary_region!B44</f>
        <v>7</v>
      </c>
      <c r="C44">
        <f>[5]trip_summary_region!C44</f>
        <v>2013</v>
      </c>
      <c r="D44">
        <f>[5]trip_summary_region!D44</f>
        <v>50</v>
      </c>
      <c r="E44">
        <f>[5]trip_summary_region!E44</f>
        <v>135</v>
      </c>
      <c r="F44">
        <f>[5]trip_summary_region!F44</f>
        <v>3.6339219343</v>
      </c>
      <c r="G44">
        <f>[5]trip_summary_region!G44</f>
        <v>44.734594063999999</v>
      </c>
      <c r="H44">
        <f>[5]trip_summary_region!H44</f>
        <v>1.5691203781</v>
      </c>
      <c r="I44" t="str">
        <f>[5]trip_summary_region!I44</f>
        <v>Local Bus</v>
      </c>
      <c r="J44" t="str">
        <f>[5]trip_summary_region!J44</f>
        <v>2012/13</v>
      </c>
    </row>
    <row r="45" spans="1:10" x14ac:dyDescent="0.25">
      <c r="A45" t="str">
        <f>[5]trip_summary_region!A45</f>
        <v>01 NORTHLAND</v>
      </c>
      <c r="B45">
        <f>[5]trip_summary_region!B45</f>
        <v>7</v>
      </c>
      <c r="C45">
        <f>[5]trip_summary_region!C45</f>
        <v>2018</v>
      </c>
      <c r="D45">
        <f>[5]trip_summary_region!D45</f>
        <v>50</v>
      </c>
      <c r="E45">
        <f>[5]trip_summary_region!E45</f>
        <v>135</v>
      </c>
      <c r="F45">
        <f>[5]trip_summary_region!F45</f>
        <v>3.2202030538000002</v>
      </c>
      <c r="G45">
        <f>[5]trip_summary_region!G45</f>
        <v>38.885458948999997</v>
      </c>
      <c r="H45">
        <f>[5]trip_summary_region!H45</f>
        <v>1.3896212617999999</v>
      </c>
      <c r="I45" t="str">
        <f>[5]trip_summary_region!I45</f>
        <v>Local Bus</v>
      </c>
      <c r="J45" t="str">
        <f>[5]trip_summary_region!J45</f>
        <v>2017/18</v>
      </c>
    </row>
    <row r="46" spans="1:10" x14ac:dyDescent="0.25">
      <c r="A46" t="str">
        <f>[5]trip_summary_region!A46</f>
        <v>01 NORTHLAND</v>
      </c>
      <c r="B46">
        <f>[5]trip_summary_region!B46</f>
        <v>7</v>
      </c>
      <c r="C46">
        <f>[5]trip_summary_region!C46</f>
        <v>2023</v>
      </c>
      <c r="D46">
        <f>[5]trip_summary_region!D46</f>
        <v>50</v>
      </c>
      <c r="E46">
        <f>[5]trip_summary_region!E46</f>
        <v>135</v>
      </c>
      <c r="F46">
        <f>[5]trip_summary_region!F46</f>
        <v>2.95278229</v>
      </c>
      <c r="G46">
        <f>[5]trip_summary_region!G46</f>
        <v>35.233701803000002</v>
      </c>
      <c r="H46">
        <f>[5]trip_summary_region!H46</f>
        <v>1.2708586776999999</v>
      </c>
      <c r="I46" t="str">
        <f>[5]trip_summary_region!I46</f>
        <v>Local Bus</v>
      </c>
      <c r="J46" t="str">
        <f>[5]trip_summary_region!J46</f>
        <v>2022/23</v>
      </c>
    </row>
    <row r="47" spans="1:10" x14ac:dyDescent="0.25">
      <c r="A47" t="str">
        <f>[5]trip_summary_region!A47</f>
        <v>01 NORTHLAND</v>
      </c>
      <c r="B47">
        <f>[5]trip_summary_region!B47</f>
        <v>7</v>
      </c>
      <c r="C47">
        <f>[5]trip_summary_region!C47</f>
        <v>2028</v>
      </c>
      <c r="D47">
        <f>[5]trip_summary_region!D47</f>
        <v>50</v>
      </c>
      <c r="E47">
        <f>[5]trip_summary_region!E47</f>
        <v>135</v>
      </c>
      <c r="F47">
        <f>[5]trip_summary_region!F47</f>
        <v>2.7214231332000001</v>
      </c>
      <c r="G47">
        <f>[5]trip_summary_region!G47</f>
        <v>32.726104001000003</v>
      </c>
      <c r="H47">
        <f>[5]trip_summary_region!H47</f>
        <v>1.1651312556</v>
      </c>
      <c r="I47" t="str">
        <f>[5]trip_summary_region!I47</f>
        <v>Local Bus</v>
      </c>
      <c r="J47" t="str">
        <f>[5]trip_summary_region!J47</f>
        <v>2027/28</v>
      </c>
    </row>
    <row r="48" spans="1:10" x14ac:dyDescent="0.25">
      <c r="A48" t="str">
        <f>[5]trip_summary_region!A48</f>
        <v>01 NORTHLAND</v>
      </c>
      <c r="B48">
        <f>[5]trip_summary_region!B48</f>
        <v>7</v>
      </c>
      <c r="C48">
        <f>[5]trip_summary_region!C48</f>
        <v>2033</v>
      </c>
      <c r="D48">
        <f>[5]trip_summary_region!D48</f>
        <v>50</v>
      </c>
      <c r="E48">
        <f>[5]trip_summary_region!E48</f>
        <v>135</v>
      </c>
      <c r="F48">
        <f>[5]trip_summary_region!F48</f>
        <v>2.5082747197000002</v>
      </c>
      <c r="G48">
        <f>[5]trip_summary_region!G48</f>
        <v>30.241396865999999</v>
      </c>
      <c r="H48">
        <f>[5]trip_summary_region!H48</f>
        <v>1.068456176</v>
      </c>
      <c r="I48" t="str">
        <f>[5]trip_summary_region!I48</f>
        <v>Local Bus</v>
      </c>
      <c r="J48" t="str">
        <f>[5]trip_summary_region!J48</f>
        <v>2032/33</v>
      </c>
    </row>
    <row r="49" spans="1:10" x14ac:dyDescent="0.25">
      <c r="A49" t="str">
        <f>[5]trip_summary_region!A49</f>
        <v>01 NORTHLAND</v>
      </c>
      <c r="B49">
        <f>[5]trip_summary_region!B49</f>
        <v>7</v>
      </c>
      <c r="C49">
        <f>[5]trip_summary_region!C49</f>
        <v>2038</v>
      </c>
      <c r="D49">
        <f>[5]trip_summary_region!D49</f>
        <v>50</v>
      </c>
      <c r="E49">
        <f>[5]trip_summary_region!E49</f>
        <v>135</v>
      </c>
      <c r="F49">
        <f>[5]trip_summary_region!F49</f>
        <v>2.318397064</v>
      </c>
      <c r="G49">
        <f>[5]trip_summary_region!G49</f>
        <v>28.233342477000001</v>
      </c>
      <c r="H49">
        <f>[5]trip_summary_region!H49</f>
        <v>0.98547679099999996</v>
      </c>
      <c r="I49" t="str">
        <f>[5]trip_summary_region!I49</f>
        <v>Local Bus</v>
      </c>
      <c r="J49" t="str">
        <f>[5]trip_summary_region!J49</f>
        <v>2037/38</v>
      </c>
    </row>
    <row r="50" spans="1:10" x14ac:dyDescent="0.25">
      <c r="A50" t="str">
        <f>[5]trip_summary_region!A50</f>
        <v>01 NORTHLAND</v>
      </c>
      <c r="B50">
        <f>[5]trip_summary_region!B50</f>
        <v>7</v>
      </c>
      <c r="C50">
        <f>[5]trip_summary_region!C50</f>
        <v>2043</v>
      </c>
      <c r="D50">
        <f>[5]trip_summary_region!D50</f>
        <v>50</v>
      </c>
      <c r="E50">
        <f>[5]trip_summary_region!E50</f>
        <v>135</v>
      </c>
      <c r="F50">
        <f>[5]trip_summary_region!F50</f>
        <v>2.1276577350000001</v>
      </c>
      <c r="G50">
        <f>[5]trip_summary_region!G50</f>
        <v>26.183232593</v>
      </c>
      <c r="H50">
        <f>[5]trip_summary_region!H50</f>
        <v>0.90229195200000001</v>
      </c>
      <c r="I50" t="str">
        <f>[5]trip_summary_region!I50</f>
        <v>Local Bus</v>
      </c>
      <c r="J50" t="str">
        <f>[5]trip_summary_region!J50</f>
        <v>2042/43</v>
      </c>
    </row>
    <row r="51" spans="1:10" x14ac:dyDescent="0.25">
      <c r="A51" t="str">
        <f>[5]trip_summary_region!A51</f>
        <v>01 NORTHLAND</v>
      </c>
      <c r="B51">
        <f>[5]trip_summary_region!B51</f>
        <v>8</v>
      </c>
      <c r="C51">
        <f>[5]trip_summary_region!C51</f>
        <v>2013</v>
      </c>
      <c r="D51">
        <f>[5]trip_summary_region!D51</f>
        <v>2</v>
      </c>
      <c r="E51">
        <f>[5]trip_summary_region!E51</f>
        <v>3</v>
      </c>
      <c r="F51">
        <f>[5]trip_summary_region!F51</f>
        <v>4.69171767E-2</v>
      </c>
      <c r="G51">
        <f>[5]trip_summary_region!G51</f>
        <v>0</v>
      </c>
      <c r="H51">
        <f>[5]trip_summary_region!H51</f>
        <v>1.43058123E-2</v>
      </c>
      <c r="I51" t="str">
        <f>[5]trip_summary_region!I51</f>
        <v>Local Ferry</v>
      </c>
      <c r="J51" t="str">
        <f>[5]trip_summary_region!J51</f>
        <v>2012/13</v>
      </c>
    </row>
    <row r="52" spans="1:10" x14ac:dyDescent="0.25">
      <c r="A52" t="str">
        <f>[5]trip_summary_region!A52</f>
        <v>01 NORTHLAND</v>
      </c>
      <c r="B52">
        <f>[5]trip_summary_region!B52</f>
        <v>8</v>
      </c>
      <c r="C52">
        <f>[5]trip_summary_region!C52</f>
        <v>2018</v>
      </c>
      <c r="D52">
        <f>[5]trip_summary_region!D52</f>
        <v>2</v>
      </c>
      <c r="E52">
        <f>[5]trip_summary_region!E52</f>
        <v>3</v>
      </c>
      <c r="F52">
        <f>[5]trip_summary_region!F52</f>
        <v>5.1749943899999998E-2</v>
      </c>
      <c r="G52">
        <f>[5]trip_summary_region!G52</f>
        <v>0</v>
      </c>
      <c r="H52">
        <f>[5]trip_summary_region!H52</f>
        <v>1.4898411E-2</v>
      </c>
      <c r="I52" t="str">
        <f>[5]trip_summary_region!I52</f>
        <v>Local Ferry</v>
      </c>
      <c r="J52" t="str">
        <f>[5]trip_summary_region!J52</f>
        <v>2017/18</v>
      </c>
    </row>
    <row r="53" spans="1:10" x14ac:dyDescent="0.25">
      <c r="A53" t="str">
        <f>[5]trip_summary_region!A53</f>
        <v>01 NORTHLAND</v>
      </c>
      <c r="B53">
        <f>[5]trip_summary_region!B53</f>
        <v>8</v>
      </c>
      <c r="C53">
        <f>[5]trip_summary_region!C53</f>
        <v>2023</v>
      </c>
      <c r="D53">
        <f>[5]trip_summary_region!D53</f>
        <v>2</v>
      </c>
      <c r="E53">
        <f>[5]trip_summary_region!E53</f>
        <v>3</v>
      </c>
      <c r="F53">
        <f>[5]trip_summary_region!F53</f>
        <v>5.3289510999999998E-2</v>
      </c>
      <c r="G53">
        <f>[5]trip_summary_region!G53</f>
        <v>0</v>
      </c>
      <c r="H53">
        <f>[5]trip_summary_region!H53</f>
        <v>1.46412895E-2</v>
      </c>
      <c r="I53" t="str">
        <f>[5]trip_summary_region!I53</f>
        <v>Local Ferry</v>
      </c>
      <c r="J53" t="str">
        <f>[5]trip_summary_region!J53</f>
        <v>2022/23</v>
      </c>
    </row>
    <row r="54" spans="1:10" x14ac:dyDescent="0.25">
      <c r="A54" t="str">
        <f>[5]trip_summary_region!A54</f>
        <v>01 NORTHLAND</v>
      </c>
      <c r="B54">
        <f>[5]trip_summary_region!B54</f>
        <v>8</v>
      </c>
      <c r="C54">
        <f>[5]trip_summary_region!C54</f>
        <v>2028</v>
      </c>
      <c r="D54">
        <f>[5]trip_summary_region!D54</f>
        <v>2</v>
      </c>
      <c r="E54">
        <f>[5]trip_summary_region!E54</f>
        <v>3</v>
      </c>
      <c r="F54">
        <f>[5]trip_summary_region!F54</f>
        <v>5.6046743099999997E-2</v>
      </c>
      <c r="G54">
        <f>[5]trip_summary_region!G54</f>
        <v>0</v>
      </c>
      <c r="H54">
        <f>[5]trip_summary_region!H54</f>
        <v>1.4547354300000001E-2</v>
      </c>
      <c r="I54" t="str">
        <f>[5]trip_summary_region!I54</f>
        <v>Local Ferry</v>
      </c>
      <c r="J54" t="str">
        <f>[5]trip_summary_region!J54</f>
        <v>2027/28</v>
      </c>
    </row>
    <row r="55" spans="1:10" x14ac:dyDescent="0.25">
      <c r="A55" t="str">
        <f>[5]trip_summary_region!A55</f>
        <v>01 NORTHLAND</v>
      </c>
      <c r="B55">
        <f>[5]trip_summary_region!B55</f>
        <v>8</v>
      </c>
      <c r="C55">
        <f>[5]trip_summary_region!C55</f>
        <v>2033</v>
      </c>
      <c r="D55">
        <f>[5]trip_summary_region!D55</f>
        <v>2</v>
      </c>
      <c r="E55">
        <f>[5]trip_summary_region!E55</f>
        <v>3</v>
      </c>
      <c r="F55">
        <f>[5]trip_summary_region!F55</f>
        <v>5.5691695700000002E-2</v>
      </c>
      <c r="G55">
        <f>[5]trip_summary_region!G55</f>
        <v>0</v>
      </c>
      <c r="H55">
        <f>[5]trip_summary_region!H55</f>
        <v>1.38609962E-2</v>
      </c>
      <c r="I55" t="str">
        <f>[5]trip_summary_region!I55</f>
        <v>Local Ferry</v>
      </c>
      <c r="J55" t="str">
        <f>[5]trip_summary_region!J55</f>
        <v>2032/33</v>
      </c>
    </row>
    <row r="56" spans="1:10" x14ac:dyDescent="0.25">
      <c r="A56" t="str">
        <f>[5]trip_summary_region!A56</f>
        <v>01 NORTHLAND</v>
      </c>
      <c r="B56">
        <f>[5]trip_summary_region!B56</f>
        <v>8</v>
      </c>
      <c r="C56">
        <f>[5]trip_summary_region!C56</f>
        <v>2038</v>
      </c>
      <c r="D56">
        <f>[5]trip_summary_region!D56</f>
        <v>2</v>
      </c>
      <c r="E56">
        <f>[5]trip_summary_region!E56</f>
        <v>3</v>
      </c>
      <c r="F56">
        <f>[5]trip_summary_region!F56</f>
        <v>5.24892239E-2</v>
      </c>
      <c r="G56">
        <f>[5]trip_summary_region!G56</f>
        <v>0</v>
      </c>
      <c r="H56">
        <f>[5]trip_summary_region!H56</f>
        <v>1.2677626399999999E-2</v>
      </c>
      <c r="I56" t="str">
        <f>[5]trip_summary_region!I56</f>
        <v>Local Ferry</v>
      </c>
      <c r="J56" t="str">
        <f>[5]trip_summary_region!J56</f>
        <v>2037/38</v>
      </c>
    </row>
    <row r="57" spans="1:10" x14ac:dyDescent="0.25">
      <c r="A57" t="str">
        <f>[5]trip_summary_region!A57</f>
        <v>01 NORTHLAND</v>
      </c>
      <c r="B57">
        <f>[5]trip_summary_region!B57</f>
        <v>8</v>
      </c>
      <c r="C57">
        <f>[5]trip_summary_region!C57</f>
        <v>2043</v>
      </c>
      <c r="D57">
        <f>[5]trip_summary_region!D57</f>
        <v>2</v>
      </c>
      <c r="E57">
        <f>[5]trip_summary_region!E57</f>
        <v>3</v>
      </c>
      <c r="F57">
        <f>[5]trip_summary_region!F57</f>
        <v>4.9081237200000002E-2</v>
      </c>
      <c r="G57">
        <f>[5]trip_summary_region!G57</f>
        <v>0</v>
      </c>
      <c r="H57">
        <f>[5]trip_summary_region!H57</f>
        <v>1.15424681E-2</v>
      </c>
      <c r="I57" t="str">
        <f>[5]trip_summary_region!I57</f>
        <v>Local Ferry</v>
      </c>
      <c r="J57" t="str">
        <f>[5]trip_summary_region!J57</f>
        <v>2042/43</v>
      </c>
    </row>
    <row r="58" spans="1:10" x14ac:dyDescent="0.25">
      <c r="A58" t="str">
        <f>[5]trip_summary_region!A58</f>
        <v>01 NORTHLAND</v>
      </c>
      <c r="B58">
        <f>[5]trip_summary_region!B58</f>
        <v>9</v>
      </c>
      <c r="C58">
        <f>[5]trip_summary_region!C58</f>
        <v>2013</v>
      </c>
      <c r="D58">
        <f>[5]trip_summary_region!D58</f>
        <v>2</v>
      </c>
      <c r="E58">
        <f>[5]trip_summary_region!E58</f>
        <v>3</v>
      </c>
      <c r="F58">
        <f>[5]trip_summary_region!F58</f>
        <v>0.1184310407</v>
      </c>
      <c r="G58">
        <f>[5]trip_summary_region!G58</f>
        <v>0</v>
      </c>
      <c r="H58">
        <f>[5]trip_summary_region!H58</f>
        <v>0</v>
      </c>
      <c r="I58" t="str">
        <f>[5]trip_summary_region!I58</f>
        <v>Other Household Travel</v>
      </c>
      <c r="J58" t="str">
        <f>[5]trip_summary_region!J58</f>
        <v>2012/13</v>
      </c>
    </row>
    <row r="59" spans="1:10" x14ac:dyDescent="0.25">
      <c r="A59" t="str">
        <f>[5]trip_summary_region!A59</f>
        <v>01 NORTHLAND</v>
      </c>
      <c r="B59">
        <f>[5]trip_summary_region!B59</f>
        <v>9</v>
      </c>
      <c r="C59">
        <f>[5]trip_summary_region!C59</f>
        <v>2018</v>
      </c>
      <c r="D59">
        <f>[5]trip_summary_region!D59</f>
        <v>2</v>
      </c>
      <c r="E59">
        <f>[5]trip_summary_region!E59</f>
        <v>3</v>
      </c>
      <c r="F59">
        <f>[5]trip_summary_region!F59</f>
        <v>0.12575020510000001</v>
      </c>
      <c r="G59">
        <f>[5]trip_summary_region!G59</f>
        <v>0</v>
      </c>
      <c r="H59">
        <f>[5]trip_summary_region!H59</f>
        <v>0</v>
      </c>
      <c r="I59" t="str">
        <f>[5]trip_summary_region!I59</f>
        <v>Other Household Travel</v>
      </c>
      <c r="J59" t="str">
        <f>[5]trip_summary_region!J59</f>
        <v>2017/18</v>
      </c>
    </row>
    <row r="60" spans="1:10" x14ac:dyDescent="0.25">
      <c r="A60" t="str">
        <f>[5]trip_summary_region!A60</f>
        <v>01 NORTHLAND</v>
      </c>
      <c r="B60">
        <f>[5]trip_summary_region!B60</f>
        <v>9</v>
      </c>
      <c r="C60">
        <f>[5]trip_summary_region!C60</f>
        <v>2023</v>
      </c>
      <c r="D60">
        <f>[5]trip_summary_region!D60</f>
        <v>2</v>
      </c>
      <c r="E60">
        <f>[5]trip_summary_region!E60</f>
        <v>3</v>
      </c>
      <c r="F60">
        <f>[5]trip_summary_region!F60</f>
        <v>0.1245642459</v>
      </c>
      <c r="G60">
        <f>[5]trip_summary_region!G60</f>
        <v>0</v>
      </c>
      <c r="H60">
        <f>[5]trip_summary_region!H60</f>
        <v>0</v>
      </c>
      <c r="I60" t="str">
        <f>[5]trip_summary_region!I60</f>
        <v>Other Household Travel</v>
      </c>
      <c r="J60" t="str">
        <f>[5]trip_summary_region!J60</f>
        <v>2022/23</v>
      </c>
    </row>
    <row r="61" spans="1:10" x14ac:dyDescent="0.25">
      <c r="A61" t="str">
        <f>[5]trip_summary_region!A61</f>
        <v>01 NORTHLAND</v>
      </c>
      <c r="B61">
        <f>[5]trip_summary_region!B61</f>
        <v>9</v>
      </c>
      <c r="C61">
        <f>[5]trip_summary_region!C61</f>
        <v>2028</v>
      </c>
      <c r="D61">
        <f>[5]trip_summary_region!D61</f>
        <v>2</v>
      </c>
      <c r="E61">
        <f>[5]trip_summary_region!E61</f>
        <v>3</v>
      </c>
      <c r="F61">
        <f>[5]trip_summary_region!F61</f>
        <v>0.1226553625</v>
      </c>
      <c r="G61">
        <f>[5]trip_summary_region!G61</f>
        <v>0</v>
      </c>
      <c r="H61">
        <f>[5]trip_summary_region!H61</f>
        <v>0</v>
      </c>
      <c r="I61" t="str">
        <f>[5]trip_summary_region!I61</f>
        <v>Other Household Travel</v>
      </c>
      <c r="J61" t="str">
        <f>[5]trip_summary_region!J61</f>
        <v>2027/28</v>
      </c>
    </row>
    <row r="62" spans="1:10" x14ac:dyDescent="0.25">
      <c r="A62" t="str">
        <f>[5]trip_summary_region!A62</f>
        <v>01 NORTHLAND</v>
      </c>
      <c r="B62">
        <f>[5]trip_summary_region!B62</f>
        <v>9</v>
      </c>
      <c r="C62">
        <f>[5]trip_summary_region!C62</f>
        <v>2033</v>
      </c>
      <c r="D62">
        <f>[5]trip_summary_region!D62</f>
        <v>2</v>
      </c>
      <c r="E62">
        <f>[5]trip_summary_region!E62</f>
        <v>3</v>
      </c>
      <c r="F62">
        <f>[5]trip_summary_region!F62</f>
        <v>0.11947937760000001</v>
      </c>
      <c r="G62">
        <f>[5]trip_summary_region!G62</f>
        <v>0</v>
      </c>
      <c r="H62">
        <f>[5]trip_summary_region!H62</f>
        <v>0</v>
      </c>
      <c r="I62" t="str">
        <f>[5]trip_summary_region!I62</f>
        <v>Other Household Travel</v>
      </c>
      <c r="J62" t="str">
        <f>[5]trip_summary_region!J62</f>
        <v>2032/33</v>
      </c>
    </row>
    <row r="63" spans="1:10" x14ac:dyDescent="0.25">
      <c r="A63" t="str">
        <f>[5]trip_summary_region!A63</f>
        <v>01 NORTHLAND</v>
      </c>
      <c r="B63">
        <f>[5]trip_summary_region!B63</f>
        <v>9</v>
      </c>
      <c r="C63">
        <f>[5]trip_summary_region!C63</f>
        <v>2038</v>
      </c>
      <c r="D63">
        <f>[5]trip_summary_region!D63</f>
        <v>2</v>
      </c>
      <c r="E63">
        <f>[5]trip_summary_region!E63</f>
        <v>3</v>
      </c>
      <c r="F63">
        <f>[5]trip_summary_region!F63</f>
        <v>0.1152561377</v>
      </c>
      <c r="G63">
        <f>[5]trip_summary_region!G63</f>
        <v>0</v>
      </c>
      <c r="H63">
        <f>[5]trip_summary_region!H63</f>
        <v>0</v>
      </c>
      <c r="I63" t="str">
        <f>[5]trip_summary_region!I63</f>
        <v>Other Household Travel</v>
      </c>
      <c r="J63" t="str">
        <f>[5]trip_summary_region!J63</f>
        <v>2037/38</v>
      </c>
    </row>
    <row r="64" spans="1:10" x14ac:dyDescent="0.25">
      <c r="A64" t="str">
        <f>[5]trip_summary_region!A64</f>
        <v>01 NORTHLAND</v>
      </c>
      <c r="B64">
        <f>[5]trip_summary_region!B64</f>
        <v>9</v>
      </c>
      <c r="C64">
        <f>[5]trip_summary_region!C64</f>
        <v>2043</v>
      </c>
      <c r="D64">
        <f>[5]trip_summary_region!D64</f>
        <v>2</v>
      </c>
      <c r="E64">
        <f>[5]trip_summary_region!E64</f>
        <v>3</v>
      </c>
      <c r="F64">
        <f>[5]trip_summary_region!F64</f>
        <v>0.1101477317</v>
      </c>
      <c r="G64">
        <f>[5]trip_summary_region!G64</f>
        <v>0</v>
      </c>
      <c r="H64">
        <f>[5]trip_summary_region!H64</f>
        <v>0</v>
      </c>
      <c r="I64" t="str">
        <f>[5]trip_summary_region!I64</f>
        <v>Other Household Travel</v>
      </c>
      <c r="J64" t="str">
        <f>[5]trip_summary_region!J64</f>
        <v>2042/43</v>
      </c>
    </row>
    <row r="65" spans="1:10" x14ac:dyDescent="0.25">
      <c r="A65" t="str">
        <f>[5]trip_summary_region!A65</f>
        <v>01 NORTHLAND</v>
      </c>
      <c r="B65">
        <f>[5]trip_summary_region!B65</f>
        <v>10</v>
      </c>
      <c r="C65">
        <f>[5]trip_summary_region!C65</f>
        <v>2013</v>
      </c>
      <c r="D65">
        <f>[5]trip_summary_region!D65</f>
        <v>5</v>
      </c>
      <c r="E65">
        <f>[5]trip_summary_region!E65</f>
        <v>8</v>
      </c>
      <c r="F65">
        <f>[5]trip_summary_region!F65</f>
        <v>0.226285661</v>
      </c>
      <c r="G65">
        <f>[5]trip_summary_region!G65</f>
        <v>0</v>
      </c>
      <c r="H65">
        <f>[5]trip_summary_region!H65</f>
        <v>0.25491621720000002</v>
      </c>
      <c r="I65" t="str">
        <f>[5]trip_summary_region!I65</f>
        <v>Air/Non-Local PT</v>
      </c>
      <c r="J65" t="str">
        <f>[5]trip_summary_region!J65</f>
        <v>2012/13</v>
      </c>
    </row>
    <row r="66" spans="1:10" x14ac:dyDescent="0.25">
      <c r="A66" t="str">
        <f>[5]trip_summary_region!A66</f>
        <v>01 NORTHLAND</v>
      </c>
      <c r="B66">
        <f>[5]trip_summary_region!B66</f>
        <v>10</v>
      </c>
      <c r="C66">
        <f>[5]trip_summary_region!C66</f>
        <v>2018</v>
      </c>
      <c r="D66">
        <f>[5]trip_summary_region!D66</f>
        <v>5</v>
      </c>
      <c r="E66">
        <f>[5]trip_summary_region!E66</f>
        <v>8</v>
      </c>
      <c r="F66">
        <f>[5]trip_summary_region!F66</f>
        <v>0.24256647519999999</v>
      </c>
      <c r="G66">
        <f>[5]trip_summary_region!G66</f>
        <v>0</v>
      </c>
      <c r="H66">
        <f>[5]trip_summary_region!H66</f>
        <v>0.28677772769999998</v>
      </c>
      <c r="I66" t="str">
        <f>[5]trip_summary_region!I66</f>
        <v>Air/Non-Local PT</v>
      </c>
      <c r="J66" t="str">
        <f>[5]trip_summary_region!J66</f>
        <v>2017/18</v>
      </c>
    </row>
    <row r="67" spans="1:10" x14ac:dyDescent="0.25">
      <c r="A67" t="str">
        <f>[5]trip_summary_region!A67</f>
        <v>01 NORTHLAND</v>
      </c>
      <c r="B67">
        <f>[5]trip_summary_region!B67</f>
        <v>10</v>
      </c>
      <c r="C67">
        <f>[5]trip_summary_region!C67</f>
        <v>2023</v>
      </c>
      <c r="D67">
        <f>[5]trip_summary_region!D67</f>
        <v>5</v>
      </c>
      <c r="E67">
        <f>[5]trip_summary_region!E67</f>
        <v>8</v>
      </c>
      <c r="F67">
        <f>[5]trip_summary_region!F67</f>
        <v>0.26222735149999998</v>
      </c>
      <c r="G67">
        <f>[5]trip_summary_region!G67</f>
        <v>0</v>
      </c>
      <c r="H67">
        <f>[5]trip_summary_region!H67</f>
        <v>0.3143623693</v>
      </c>
      <c r="I67" t="str">
        <f>[5]trip_summary_region!I67</f>
        <v>Air/Non-Local PT</v>
      </c>
      <c r="J67" t="str">
        <f>[5]trip_summary_region!J67</f>
        <v>2022/23</v>
      </c>
    </row>
    <row r="68" spans="1:10" x14ac:dyDescent="0.25">
      <c r="A68" t="str">
        <f>[5]trip_summary_region!A68</f>
        <v>01 NORTHLAND</v>
      </c>
      <c r="B68">
        <f>[5]trip_summary_region!B68</f>
        <v>10</v>
      </c>
      <c r="C68">
        <f>[5]trip_summary_region!C68</f>
        <v>2028</v>
      </c>
      <c r="D68">
        <f>[5]trip_summary_region!D68</f>
        <v>5</v>
      </c>
      <c r="E68">
        <f>[5]trip_summary_region!E68</f>
        <v>8</v>
      </c>
      <c r="F68">
        <f>[5]trip_summary_region!F68</f>
        <v>0.29950101169999999</v>
      </c>
      <c r="G68">
        <f>[5]trip_summary_region!G68</f>
        <v>0</v>
      </c>
      <c r="H68">
        <f>[5]trip_summary_region!H68</f>
        <v>0.36013574199999998</v>
      </c>
      <c r="I68" t="str">
        <f>[5]trip_summary_region!I68</f>
        <v>Air/Non-Local PT</v>
      </c>
      <c r="J68" t="str">
        <f>[5]trip_summary_region!J68</f>
        <v>2027/28</v>
      </c>
    </row>
    <row r="69" spans="1:10" x14ac:dyDescent="0.25">
      <c r="A69" t="str">
        <f>[5]trip_summary_region!A69</f>
        <v>01 NORTHLAND</v>
      </c>
      <c r="B69">
        <f>[5]trip_summary_region!B69</f>
        <v>10</v>
      </c>
      <c r="C69">
        <f>[5]trip_summary_region!C69</f>
        <v>2033</v>
      </c>
      <c r="D69">
        <f>[5]trip_summary_region!D69</f>
        <v>5</v>
      </c>
      <c r="E69">
        <f>[5]trip_summary_region!E69</f>
        <v>8</v>
      </c>
      <c r="F69">
        <f>[5]trip_summary_region!F69</f>
        <v>0.31891769510000001</v>
      </c>
      <c r="G69">
        <f>[5]trip_summary_region!G69</f>
        <v>0</v>
      </c>
      <c r="H69">
        <f>[5]trip_summary_region!H69</f>
        <v>0.38338052700000003</v>
      </c>
      <c r="I69" t="str">
        <f>[5]trip_summary_region!I69</f>
        <v>Air/Non-Local PT</v>
      </c>
      <c r="J69" t="str">
        <f>[5]trip_summary_region!J69</f>
        <v>2032/33</v>
      </c>
    </row>
    <row r="70" spans="1:10" x14ac:dyDescent="0.25">
      <c r="A70" t="str">
        <f>[5]trip_summary_region!A70</f>
        <v>01 NORTHLAND</v>
      </c>
      <c r="B70">
        <f>[5]trip_summary_region!B70</f>
        <v>10</v>
      </c>
      <c r="C70">
        <f>[5]trip_summary_region!C70</f>
        <v>2038</v>
      </c>
      <c r="D70">
        <f>[5]trip_summary_region!D70</f>
        <v>5</v>
      </c>
      <c r="E70">
        <f>[5]trip_summary_region!E70</f>
        <v>8</v>
      </c>
      <c r="F70">
        <f>[5]trip_summary_region!F70</f>
        <v>0.31243932120000001</v>
      </c>
      <c r="G70">
        <f>[5]trip_summary_region!G70</f>
        <v>0</v>
      </c>
      <c r="H70">
        <f>[5]trip_summary_region!H70</f>
        <v>0.37749951599999998</v>
      </c>
      <c r="I70" t="str">
        <f>[5]trip_summary_region!I70</f>
        <v>Air/Non-Local PT</v>
      </c>
      <c r="J70" t="str">
        <f>[5]trip_summary_region!J70</f>
        <v>2037/38</v>
      </c>
    </row>
    <row r="71" spans="1:10" x14ac:dyDescent="0.25">
      <c r="A71" t="str">
        <f>[5]trip_summary_region!A71</f>
        <v>01 NORTHLAND</v>
      </c>
      <c r="B71">
        <f>[5]trip_summary_region!B71</f>
        <v>10</v>
      </c>
      <c r="C71">
        <f>[5]trip_summary_region!C71</f>
        <v>2043</v>
      </c>
      <c r="D71">
        <f>[5]trip_summary_region!D71</f>
        <v>5</v>
      </c>
      <c r="E71">
        <f>[5]trip_summary_region!E71</f>
        <v>8</v>
      </c>
      <c r="F71">
        <f>[5]trip_summary_region!F71</f>
        <v>0.30266599779999998</v>
      </c>
      <c r="G71">
        <f>[5]trip_summary_region!G71</f>
        <v>0</v>
      </c>
      <c r="H71">
        <f>[5]trip_summary_region!H71</f>
        <v>0.36735472450000001</v>
      </c>
      <c r="I71" t="str">
        <f>[5]trip_summary_region!I71</f>
        <v>Air/Non-Local PT</v>
      </c>
      <c r="J71" t="str">
        <f>[5]trip_summary_region!J71</f>
        <v>2042/43</v>
      </c>
    </row>
    <row r="72" spans="1:10" x14ac:dyDescent="0.25">
      <c r="A72" t="str">
        <f>[5]trip_summary_region!A72</f>
        <v>01 NORTHLAND</v>
      </c>
      <c r="B72">
        <f>[5]trip_summary_region!B72</f>
        <v>11</v>
      </c>
      <c r="C72">
        <f>[5]trip_summary_region!C72</f>
        <v>2013</v>
      </c>
      <c r="D72">
        <f>[5]trip_summary_region!D72</f>
        <v>13</v>
      </c>
      <c r="E72">
        <f>[5]trip_summary_region!E72</f>
        <v>59</v>
      </c>
      <c r="F72">
        <f>[5]trip_summary_region!F72</f>
        <v>2.0613233212000002</v>
      </c>
      <c r="G72">
        <f>[5]trip_summary_region!G72</f>
        <v>34.810730239000002</v>
      </c>
      <c r="H72">
        <f>[5]trip_summary_region!H72</f>
        <v>0.70164482120000005</v>
      </c>
      <c r="I72" t="str">
        <f>[5]trip_summary_region!I72</f>
        <v>Non-Household Travel</v>
      </c>
      <c r="J72" t="str">
        <f>[5]trip_summary_region!J72</f>
        <v>2012/13</v>
      </c>
    </row>
    <row r="73" spans="1:10" x14ac:dyDescent="0.25">
      <c r="A73" t="str">
        <f>[5]trip_summary_region!A73</f>
        <v>01 NORTHLAND</v>
      </c>
      <c r="B73">
        <f>[5]trip_summary_region!B73</f>
        <v>11</v>
      </c>
      <c r="C73">
        <f>[5]trip_summary_region!C73</f>
        <v>2018</v>
      </c>
      <c r="D73">
        <f>[5]trip_summary_region!D73</f>
        <v>13</v>
      </c>
      <c r="E73">
        <f>[5]trip_summary_region!E73</f>
        <v>59</v>
      </c>
      <c r="F73">
        <f>[5]trip_summary_region!F73</f>
        <v>2.0637641513</v>
      </c>
      <c r="G73">
        <f>[5]trip_summary_region!G73</f>
        <v>32.823063337000001</v>
      </c>
      <c r="H73">
        <f>[5]trip_summary_region!H73</f>
        <v>0.68187938199999998</v>
      </c>
      <c r="I73" t="str">
        <f>[5]trip_summary_region!I73</f>
        <v>Non-Household Travel</v>
      </c>
      <c r="J73" t="str">
        <f>[5]trip_summary_region!J73</f>
        <v>2017/18</v>
      </c>
    </row>
    <row r="74" spans="1:10" x14ac:dyDescent="0.25">
      <c r="A74" t="str">
        <f>[5]trip_summary_region!A74</f>
        <v>01 NORTHLAND</v>
      </c>
      <c r="B74">
        <f>[5]trip_summary_region!B74</f>
        <v>11</v>
      </c>
      <c r="C74">
        <f>[5]trip_summary_region!C74</f>
        <v>2023</v>
      </c>
      <c r="D74">
        <f>[5]trip_summary_region!D74</f>
        <v>13</v>
      </c>
      <c r="E74">
        <f>[5]trip_summary_region!E74</f>
        <v>59</v>
      </c>
      <c r="F74">
        <f>[5]trip_summary_region!F74</f>
        <v>2.1570903528000001</v>
      </c>
      <c r="G74">
        <f>[5]trip_summary_region!G74</f>
        <v>32.904629638999999</v>
      </c>
      <c r="H74">
        <f>[5]trip_summary_region!H74</f>
        <v>0.70214047000000002</v>
      </c>
      <c r="I74" t="str">
        <f>[5]trip_summary_region!I74</f>
        <v>Non-Household Travel</v>
      </c>
      <c r="J74" t="str">
        <f>[5]trip_summary_region!J74</f>
        <v>2022/23</v>
      </c>
    </row>
    <row r="75" spans="1:10" x14ac:dyDescent="0.25">
      <c r="A75" t="str">
        <f>[5]trip_summary_region!A75</f>
        <v>01 NORTHLAND</v>
      </c>
      <c r="B75">
        <f>[5]trip_summary_region!B75</f>
        <v>11</v>
      </c>
      <c r="C75">
        <f>[5]trip_summary_region!C75</f>
        <v>2028</v>
      </c>
      <c r="D75">
        <f>[5]trip_summary_region!D75</f>
        <v>13</v>
      </c>
      <c r="E75">
        <f>[5]trip_summary_region!E75</f>
        <v>59</v>
      </c>
      <c r="F75">
        <f>[5]trip_summary_region!F75</f>
        <v>2.3756529533999999</v>
      </c>
      <c r="G75">
        <f>[5]trip_summary_region!G75</f>
        <v>35.624722497999997</v>
      </c>
      <c r="H75">
        <f>[5]trip_summary_region!H75</f>
        <v>0.7744384379</v>
      </c>
      <c r="I75" t="str">
        <f>[5]trip_summary_region!I75</f>
        <v>Non-Household Travel</v>
      </c>
      <c r="J75" t="str">
        <f>[5]trip_summary_region!J75</f>
        <v>2027/28</v>
      </c>
    </row>
    <row r="76" spans="1:10" x14ac:dyDescent="0.25">
      <c r="A76" t="str">
        <f>[5]trip_summary_region!A76</f>
        <v>01 NORTHLAND</v>
      </c>
      <c r="B76">
        <f>[5]trip_summary_region!B76</f>
        <v>11</v>
      </c>
      <c r="C76">
        <f>[5]trip_summary_region!C76</f>
        <v>2033</v>
      </c>
      <c r="D76">
        <f>[5]trip_summary_region!D76</f>
        <v>13</v>
      </c>
      <c r="E76">
        <f>[5]trip_summary_region!E76</f>
        <v>59</v>
      </c>
      <c r="F76">
        <f>[5]trip_summary_region!F76</f>
        <v>2.5383479699999998</v>
      </c>
      <c r="G76">
        <f>[5]trip_summary_region!G76</f>
        <v>37.454841946000002</v>
      </c>
      <c r="H76">
        <f>[5]trip_summary_region!H76</f>
        <v>0.82600734200000003</v>
      </c>
      <c r="I76" t="str">
        <f>[5]trip_summary_region!I76</f>
        <v>Non-Household Travel</v>
      </c>
      <c r="J76" t="str">
        <f>[5]trip_summary_region!J76</f>
        <v>2032/33</v>
      </c>
    </row>
    <row r="77" spans="1:10" x14ac:dyDescent="0.25">
      <c r="A77" t="str">
        <f>[5]trip_summary_region!A77</f>
        <v>01 NORTHLAND</v>
      </c>
      <c r="B77">
        <f>[5]trip_summary_region!B77</f>
        <v>11</v>
      </c>
      <c r="C77">
        <f>[5]trip_summary_region!C77</f>
        <v>2038</v>
      </c>
      <c r="D77">
        <f>[5]trip_summary_region!D77</f>
        <v>13</v>
      </c>
      <c r="E77">
        <f>[5]trip_summary_region!E77</f>
        <v>59</v>
      </c>
      <c r="F77">
        <f>[5]trip_summary_region!F77</f>
        <v>2.4949277579000002</v>
      </c>
      <c r="G77">
        <f>[5]trip_summary_region!G77</f>
        <v>36.496927655</v>
      </c>
      <c r="H77">
        <f>[5]trip_summary_region!H77</f>
        <v>0.81018887910000004</v>
      </c>
      <c r="I77" t="str">
        <f>[5]trip_summary_region!I77</f>
        <v>Non-Household Travel</v>
      </c>
      <c r="J77" t="str">
        <f>[5]trip_summary_region!J77</f>
        <v>2037/38</v>
      </c>
    </row>
    <row r="78" spans="1:10" x14ac:dyDescent="0.25">
      <c r="A78" t="str">
        <f>[5]trip_summary_region!A78</f>
        <v>01 NORTHLAND</v>
      </c>
      <c r="B78">
        <f>[5]trip_summary_region!B78</f>
        <v>11</v>
      </c>
      <c r="C78">
        <f>[5]trip_summary_region!C78</f>
        <v>2043</v>
      </c>
      <c r="D78">
        <f>[5]trip_summary_region!D78</f>
        <v>13</v>
      </c>
      <c r="E78">
        <f>[5]trip_summary_region!E78</f>
        <v>59</v>
      </c>
      <c r="F78">
        <f>[5]trip_summary_region!F78</f>
        <v>2.4344914873999999</v>
      </c>
      <c r="G78">
        <f>[5]trip_summary_region!G78</f>
        <v>35.295600491000002</v>
      </c>
      <c r="H78">
        <f>[5]trip_summary_region!H78</f>
        <v>0.78858922389999997</v>
      </c>
      <c r="I78" t="str">
        <f>[5]trip_summary_region!I78</f>
        <v>Non-Household Travel</v>
      </c>
      <c r="J78" t="str">
        <f>[5]trip_summary_region!J78</f>
        <v>2042/43</v>
      </c>
    </row>
    <row r="79" spans="1:10" x14ac:dyDescent="0.25">
      <c r="A79" t="str">
        <f>[5]trip_summary_region!A79</f>
        <v>02 AUCKLAND</v>
      </c>
      <c r="B79">
        <f>[5]trip_summary_region!B79</f>
        <v>0</v>
      </c>
      <c r="C79">
        <f>[5]trip_summary_region!C79</f>
        <v>2013</v>
      </c>
      <c r="D79">
        <f>[5]trip_summary_region!D79</f>
        <v>1541</v>
      </c>
      <c r="E79">
        <f>[5]trip_summary_region!E79</f>
        <v>5702</v>
      </c>
      <c r="F79">
        <f>[5]trip_summary_region!F79</f>
        <v>324.81096006000001</v>
      </c>
      <c r="G79">
        <f>[5]trip_summary_region!G79</f>
        <v>294.55939388000002</v>
      </c>
      <c r="H79">
        <f>[5]trip_summary_region!H79</f>
        <v>73.381071999</v>
      </c>
      <c r="I79" t="str">
        <f>[5]trip_summary_region!I79</f>
        <v>Pedestrian</v>
      </c>
      <c r="J79" t="str">
        <f>[5]trip_summary_region!J79</f>
        <v>2012/13</v>
      </c>
    </row>
    <row r="80" spans="1:10" x14ac:dyDescent="0.25">
      <c r="A80" t="str">
        <f>[5]trip_summary_region!A80</f>
        <v>02 AUCKLAND</v>
      </c>
      <c r="B80">
        <f>[5]trip_summary_region!B80</f>
        <v>0</v>
      </c>
      <c r="C80">
        <f>[5]trip_summary_region!C80</f>
        <v>2018</v>
      </c>
      <c r="D80">
        <f>[5]trip_summary_region!D80</f>
        <v>1541</v>
      </c>
      <c r="E80">
        <f>[5]trip_summary_region!E80</f>
        <v>5702</v>
      </c>
      <c r="F80">
        <f>[5]trip_summary_region!F80</f>
        <v>354.85239390999999</v>
      </c>
      <c r="G80">
        <f>[5]trip_summary_region!G80</f>
        <v>321.12046136999999</v>
      </c>
      <c r="H80">
        <f>[5]trip_summary_region!H80</f>
        <v>79.967850558999999</v>
      </c>
      <c r="I80" t="str">
        <f>[5]trip_summary_region!I80</f>
        <v>Pedestrian</v>
      </c>
      <c r="J80" t="str">
        <f>[5]trip_summary_region!J80</f>
        <v>2017/18</v>
      </c>
    </row>
    <row r="81" spans="1:10" x14ac:dyDescent="0.25">
      <c r="A81" t="str">
        <f>[5]trip_summary_region!A81</f>
        <v>02 AUCKLAND</v>
      </c>
      <c r="B81">
        <f>[5]trip_summary_region!B81</f>
        <v>0</v>
      </c>
      <c r="C81">
        <f>[5]trip_summary_region!C81</f>
        <v>2023</v>
      </c>
      <c r="D81">
        <f>[5]trip_summary_region!D81</f>
        <v>1541</v>
      </c>
      <c r="E81">
        <f>[5]trip_summary_region!E81</f>
        <v>5702</v>
      </c>
      <c r="F81">
        <f>[5]trip_summary_region!F81</f>
        <v>375.66733532000001</v>
      </c>
      <c r="G81">
        <f>[5]trip_summary_region!G81</f>
        <v>338.35782426999998</v>
      </c>
      <c r="H81">
        <f>[5]trip_summary_region!H81</f>
        <v>84.451213323999994</v>
      </c>
      <c r="I81" t="str">
        <f>[5]trip_summary_region!I81</f>
        <v>Pedestrian</v>
      </c>
      <c r="J81" t="str">
        <f>[5]trip_summary_region!J81</f>
        <v>2022/23</v>
      </c>
    </row>
    <row r="82" spans="1:10" x14ac:dyDescent="0.25">
      <c r="A82" t="str">
        <f>[5]trip_summary_region!A82</f>
        <v>02 AUCKLAND</v>
      </c>
      <c r="B82">
        <f>[5]trip_summary_region!B82</f>
        <v>0</v>
      </c>
      <c r="C82">
        <f>[5]trip_summary_region!C82</f>
        <v>2028</v>
      </c>
      <c r="D82">
        <f>[5]trip_summary_region!D82</f>
        <v>1541</v>
      </c>
      <c r="E82">
        <f>[5]trip_summary_region!E82</f>
        <v>5702</v>
      </c>
      <c r="F82">
        <f>[5]trip_summary_region!F82</f>
        <v>390.74489007</v>
      </c>
      <c r="G82">
        <f>[5]trip_summary_region!G82</f>
        <v>349.85260097999998</v>
      </c>
      <c r="H82">
        <f>[5]trip_summary_region!H82</f>
        <v>87.793270063999998</v>
      </c>
      <c r="I82" t="str">
        <f>[5]trip_summary_region!I82</f>
        <v>Pedestrian</v>
      </c>
      <c r="J82" t="str">
        <f>[5]trip_summary_region!J82</f>
        <v>2027/28</v>
      </c>
    </row>
    <row r="83" spans="1:10" x14ac:dyDescent="0.25">
      <c r="A83" t="str">
        <f>[5]trip_summary_region!A83</f>
        <v>02 AUCKLAND</v>
      </c>
      <c r="B83">
        <f>[5]trip_summary_region!B83</f>
        <v>0</v>
      </c>
      <c r="C83">
        <f>[5]trip_summary_region!C83</f>
        <v>2033</v>
      </c>
      <c r="D83">
        <f>[5]trip_summary_region!D83</f>
        <v>1541</v>
      </c>
      <c r="E83">
        <f>[5]trip_summary_region!E83</f>
        <v>5702</v>
      </c>
      <c r="F83">
        <f>[5]trip_summary_region!F83</f>
        <v>402.26598626999998</v>
      </c>
      <c r="G83">
        <f>[5]trip_summary_region!G83</f>
        <v>358.28383523000002</v>
      </c>
      <c r="H83">
        <f>[5]trip_summary_region!H83</f>
        <v>90.364741006000003</v>
      </c>
      <c r="I83" t="str">
        <f>[5]trip_summary_region!I83</f>
        <v>Pedestrian</v>
      </c>
      <c r="J83" t="str">
        <f>[5]trip_summary_region!J83</f>
        <v>2032/33</v>
      </c>
    </row>
    <row r="84" spans="1:10" x14ac:dyDescent="0.25">
      <c r="A84" t="str">
        <f>[5]trip_summary_region!A84</f>
        <v>02 AUCKLAND</v>
      </c>
      <c r="B84">
        <f>[5]trip_summary_region!B84</f>
        <v>0</v>
      </c>
      <c r="C84">
        <f>[5]trip_summary_region!C84</f>
        <v>2038</v>
      </c>
      <c r="D84">
        <f>[5]trip_summary_region!D84</f>
        <v>1541</v>
      </c>
      <c r="E84">
        <f>[5]trip_summary_region!E84</f>
        <v>5702</v>
      </c>
      <c r="F84">
        <f>[5]trip_summary_region!F84</f>
        <v>411.57737580999998</v>
      </c>
      <c r="G84">
        <f>[5]trip_summary_region!G84</f>
        <v>366.08544594</v>
      </c>
      <c r="H84">
        <f>[5]trip_summary_region!H84</f>
        <v>92.731500874000005</v>
      </c>
      <c r="I84" t="str">
        <f>[5]trip_summary_region!I84</f>
        <v>Pedestrian</v>
      </c>
      <c r="J84" t="str">
        <f>[5]trip_summary_region!J84</f>
        <v>2037/38</v>
      </c>
    </row>
    <row r="85" spans="1:10" x14ac:dyDescent="0.25">
      <c r="A85" t="str">
        <f>[5]trip_summary_region!A85</f>
        <v>02 AUCKLAND</v>
      </c>
      <c r="B85">
        <f>[5]trip_summary_region!B85</f>
        <v>0</v>
      </c>
      <c r="C85">
        <f>[5]trip_summary_region!C85</f>
        <v>2043</v>
      </c>
      <c r="D85">
        <f>[5]trip_summary_region!D85</f>
        <v>1541</v>
      </c>
      <c r="E85">
        <f>[5]trip_summary_region!E85</f>
        <v>5702</v>
      </c>
      <c r="F85">
        <f>[5]trip_summary_region!F85</f>
        <v>417.72874179000002</v>
      </c>
      <c r="G85">
        <f>[5]trip_summary_region!G85</f>
        <v>371.31070032000002</v>
      </c>
      <c r="H85">
        <f>[5]trip_summary_region!H85</f>
        <v>94.395595791999995</v>
      </c>
      <c r="I85" t="str">
        <f>[5]trip_summary_region!I85</f>
        <v>Pedestrian</v>
      </c>
      <c r="J85" t="str">
        <f>[5]trip_summary_region!J85</f>
        <v>2042/43</v>
      </c>
    </row>
    <row r="86" spans="1:10" x14ac:dyDescent="0.25">
      <c r="A86" t="str">
        <f>[5]trip_summary_region!A86</f>
        <v>02 AUCKLAND</v>
      </c>
      <c r="B86">
        <f>[5]trip_summary_region!B86</f>
        <v>1</v>
      </c>
      <c r="C86">
        <f>[5]trip_summary_region!C86</f>
        <v>2013</v>
      </c>
      <c r="D86">
        <f>[5]trip_summary_region!D86</f>
        <v>49</v>
      </c>
      <c r="E86">
        <f>[5]trip_summary_region!E86</f>
        <v>125</v>
      </c>
      <c r="F86">
        <f>[5]trip_summary_region!F86</f>
        <v>7.0506319707999996</v>
      </c>
      <c r="G86">
        <f>[5]trip_summary_region!G86</f>
        <v>55.843008154000003</v>
      </c>
      <c r="H86">
        <f>[5]trip_summary_region!H86</f>
        <v>4.3659429593999999</v>
      </c>
      <c r="I86" t="str">
        <f>[5]trip_summary_region!I86</f>
        <v>Cyclist</v>
      </c>
      <c r="J86" t="str">
        <f>[5]trip_summary_region!J86</f>
        <v>2012/13</v>
      </c>
    </row>
    <row r="87" spans="1:10" x14ac:dyDescent="0.25">
      <c r="A87" t="str">
        <f>[5]trip_summary_region!A87</f>
        <v>02 AUCKLAND</v>
      </c>
      <c r="B87">
        <f>[5]trip_summary_region!B87</f>
        <v>1</v>
      </c>
      <c r="C87">
        <f>[5]trip_summary_region!C87</f>
        <v>2018</v>
      </c>
      <c r="D87">
        <f>[5]trip_summary_region!D87</f>
        <v>49</v>
      </c>
      <c r="E87">
        <f>[5]trip_summary_region!E87</f>
        <v>125</v>
      </c>
      <c r="F87">
        <f>[5]trip_summary_region!F87</f>
        <v>7.8063247726</v>
      </c>
      <c r="G87">
        <f>[5]trip_summary_region!G87</f>
        <v>63.684796933000001</v>
      </c>
      <c r="H87">
        <f>[5]trip_summary_region!H87</f>
        <v>4.9329345321</v>
      </c>
      <c r="I87" t="str">
        <f>[5]trip_summary_region!I87</f>
        <v>Cyclist</v>
      </c>
      <c r="J87" t="str">
        <f>[5]trip_summary_region!J87</f>
        <v>2017/18</v>
      </c>
    </row>
    <row r="88" spans="1:10" x14ac:dyDescent="0.25">
      <c r="A88" t="str">
        <f>[5]trip_summary_region!A88</f>
        <v>02 AUCKLAND</v>
      </c>
      <c r="B88">
        <f>[5]trip_summary_region!B88</f>
        <v>1</v>
      </c>
      <c r="C88">
        <f>[5]trip_summary_region!C88</f>
        <v>2023</v>
      </c>
      <c r="D88">
        <f>[5]trip_summary_region!D88</f>
        <v>49</v>
      </c>
      <c r="E88">
        <f>[5]trip_summary_region!E88</f>
        <v>125</v>
      </c>
      <c r="F88">
        <f>[5]trip_summary_region!F88</f>
        <v>8.3698082226999997</v>
      </c>
      <c r="G88">
        <f>[5]trip_summary_region!G88</f>
        <v>69.036761009000003</v>
      </c>
      <c r="H88">
        <f>[5]trip_summary_region!H88</f>
        <v>5.3194263725999997</v>
      </c>
      <c r="I88" t="str">
        <f>[5]trip_summary_region!I88</f>
        <v>Cyclist</v>
      </c>
      <c r="J88" t="str">
        <f>[5]trip_summary_region!J88</f>
        <v>2022/23</v>
      </c>
    </row>
    <row r="89" spans="1:10" x14ac:dyDescent="0.25">
      <c r="A89" t="str">
        <f>[5]trip_summary_region!A89</f>
        <v>02 AUCKLAND</v>
      </c>
      <c r="B89">
        <f>[5]trip_summary_region!B89</f>
        <v>1</v>
      </c>
      <c r="C89">
        <f>[5]trip_summary_region!C89</f>
        <v>2028</v>
      </c>
      <c r="D89">
        <f>[5]trip_summary_region!D89</f>
        <v>49</v>
      </c>
      <c r="E89">
        <f>[5]trip_summary_region!E89</f>
        <v>125</v>
      </c>
      <c r="F89">
        <f>[5]trip_summary_region!F89</f>
        <v>8.8292402498999998</v>
      </c>
      <c r="G89">
        <f>[5]trip_summary_region!G89</f>
        <v>73.540929696000006</v>
      </c>
      <c r="H89">
        <f>[5]trip_summary_region!H89</f>
        <v>5.6513226292000001</v>
      </c>
      <c r="I89" t="str">
        <f>[5]trip_summary_region!I89</f>
        <v>Cyclist</v>
      </c>
      <c r="J89" t="str">
        <f>[5]trip_summary_region!J89</f>
        <v>2027/28</v>
      </c>
    </row>
    <row r="90" spans="1:10" x14ac:dyDescent="0.25">
      <c r="A90" t="str">
        <f>[5]trip_summary_region!A90</f>
        <v>02 AUCKLAND</v>
      </c>
      <c r="B90">
        <f>[5]trip_summary_region!B90</f>
        <v>1</v>
      </c>
      <c r="C90">
        <f>[5]trip_summary_region!C90</f>
        <v>2033</v>
      </c>
      <c r="D90">
        <f>[5]trip_summary_region!D90</f>
        <v>49</v>
      </c>
      <c r="E90">
        <f>[5]trip_summary_region!E90</f>
        <v>125</v>
      </c>
      <c r="F90">
        <f>[5]trip_summary_region!F90</f>
        <v>9.1735518752999994</v>
      </c>
      <c r="G90">
        <f>[5]trip_summary_region!G90</f>
        <v>79.041909404999998</v>
      </c>
      <c r="H90">
        <f>[5]trip_summary_region!H90</f>
        <v>6.0358919294</v>
      </c>
      <c r="I90" t="str">
        <f>[5]trip_summary_region!I90</f>
        <v>Cyclist</v>
      </c>
      <c r="J90" t="str">
        <f>[5]trip_summary_region!J90</f>
        <v>2032/33</v>
      </c>
    </row>
    <row r="91" spans="1:10" x14ac:dyDescent="0.25">
      <c r="A91" t="str">
        <f>[5]trip_summary_region!A91</f>
        <v>02 AUCKLAND</v>
      </c>
      <c r="B91">
        <f>[5]trip_summary_region!B91</f>
        <v>1</v>
      </c>
      <c r="C91">
        <f>[5]trip_summary_region!C91</f>
        <v>2038</v>
      </c>
      <c r="D91">
        <f>[5]trip_summary_region!D91</f>
        <v>49</v>
      </c>
      <c r="E91">
        <f>[5]trip_summary_region!E91</f>
        <v>125</v>
      </c>
      <c r="F91">
        <f>[5]trip_summary_region!F91</f>
        <v>9.7187032191</v>
      </c>
      <c r="G91">
        <f>[5]trip_summary_region!G91</f>
        <v>86.924678517999993</v>
      </c>
      <c r="H91">
        <f>[5]trip_summary_region!H91</f>
        <v>6.5796398320999998</v>
      </c>
      <c r="I91" t="str">
        <f>[5]trip_summary_region!I91</f>
        <v>Cyclist</v>
      </c>
      <c r="J91" t="str">
        <f>[5]trip_summary_region!J91</f>
        <v>2037/38</v>
      </c>
    </row>
    <row r="92" spans="1:10" x14ac:dyDescent="0.25">
      <c r="A92" t="str">
        <f>[5]trip_summary_region!A92</f>
        <v>02 AUCKLAND</v>
      </c>
      <c r="B92">
        <f>[5]trip_summary_region!B92</f>
        <v>1</v>
      </c>
      <c r="C92">
        <f>[5]trip_summary_region!C92</f>
        <v>2043</v>
      </c>
      <c r="D92">
        <f>[5]trip_summary_region!D92</f>
        <v>49</v>
      </c>
      <c r="E92">
        <f>[5]trip_summary_region!E92</f>
        <v>125</v>
      </c>
      <c r="F92">
        <f>[5]trip_summary_region!F92</f>
        <v>10.233804469000001</v>
      </c>
      <c r="G92">
        <f>[5]trip_summary_region!G92</f>
        <v>94.903238408000007</v>
      </c>
      <c r="H92">
        <f>[5]trip_summary_region!H92</f>
        <v>7.1283229733000004</v>
      </c>
      <c r="I92" t="str">
        <f>[5]trip_summary_region!I92</f>
        <v>Cyclist</v>
      </c>
      <c r="J92" t="str">
        <f>[5]trip_summary_region!J92</f>
        <v>2042/43</v>
      </c>
    </row>
    <row r="93" spans="1:10" x14ac:dyDescent="0.25">
      <c r="A93" t="str">
        <f>[5]trip_summary_region!A93</f>
        <v>02 AUCKLAND</v>
      </c>
      <c r="B93">
        <f>[5]trip_summary_region!B93</f>
        <v>2</v>
      </c>
      <c r="C93">
        <f>[5]trip_summary_region!C93</f>
        <v>2013</v>
      </c>
      <c r="D93">
        <f>[5]trip_summary_region!D93</f>
        <v>2765</v>
      </c>
      <c r="E93">
        <f>[5]trip_summary_region!E93</f>
        <v>18286</v>
      </c>
      <c r="F93">
        <f>[5]trip_summary_region!F93</f>
        <v>981.24355252999999</v>
      </c>
      <c r="G93">
        <f>[5]trip_summary_region!G93</f>
        <v>9374.4733825999992</v>
      </c>
      <c r="H93">
        <f>[5]trip_summary_region!H93</f>
        <v>295.36669345000001</v>
      </c>
      <c r="I93" t="str">
        <f>[5]trip_summary_region!I93</f>
        <v>Light Vehicle Driver</v>
      </c>
      <c r="J93" t="str">
        <f>[5]trip_summary_region!J93</f>
        <v>2012/13</v>
      </c>
    </row>
    <row r="94" spans="1:10" x14ac:dyDescent="0.25">
      <c r="A94" t="str">
        <f>[5]trip_summary_region!A94</f>
        <v>02 AUCKLAND</v>
      </c>
      <c r="B94">
        <f>[5]trip_summary_region!B94</f>
        <v>2</v>
      </c>
      <c r="C94">
        <f>[5]trip_summary_region!C94</f>
        <v>2018</v>
      </c>
      <c r="D94">
        <f>[5]trip_summary_region!D94</f>
        <v>2765</v>
      </c>
      <c r="E94">
        <f>[5]trip_summary_region!E94</f>
        <v>18286</v>
      </c>
      <c r="F94">
        <f>[5]trip_summary_region!F94</f>
        <v>1101.4431067</v>
      </c>
      <c r="G94">
        <f>[5]trip_summary_region!G94</f>
        <v>10561.901644</v>
      </c>
      <c r="H94">
        <f>[5]trip_summary_region!H94</f>
        <v>332.59414728000002</v>
      </c>
      <c r="I94" t="str">
        <f>[5]trip_summary_region!I94</f>
        <v>Light Vehicle Driver</v>
      </c>
      <c r="J94" t="str">
        <f>[5]trip_summary_region!J94</f>
        <v>2017/18</v>
      </c>
    </row>
    <row r="95" spans="1:10" x14ac:dyDescent="0.25">
      <c r="A95" t="str">
        <f>[5]trip_summary_region!A95</f>
        <v>02 AUCKLAND</v>
      </c>
      <c r="B95">
        <f>[5]trip_summary_region!B95</f>
        <v>2</v>
      </c>
      <c r="C95">
        <f>[5]trip_summary_region!C95</f>
        <v>2023</v>
      </c>
      <c r="D95">
        <f>[5]trip_summary_region!D95</f>
        <v>2765</v>
      </c>
      <c r="E95">
        <f>[5]trip_summary_region!E95</f>
        <v>18286</v>
      </c>
      <c r="F95">
        <f>[5]trip_summary_region!F95</f>
        <v>1178.3826509999999</v>
      </c>
      <c r="G95">
        <f>[5]trip_summary_region!G95</f>
        <v>11274.637494000001</v>
      </c>
      <c r="H95">
        <f>[5]trip_summary_region!H95</f>
        <v>355.24456429000003</v>
      </c>
      <c r="I95" t="str">
        <f>[5]trip_summary_region!I95</f>
        <v>Light Vehicle Driver</v>
      </c>
      <c r="J95" t="str">
        <f>[5]trip_summary_region!J95</f>
        <v>2022/23</v>
      </c>
    </row>
    <row r="96" spans="1:10" x14ac:dyDescent="0.25">
      <c r="A96" t="str">
        <f>[5]trip_summary_region!A96</f>
        <v>02 AUCKLAND</v>
      </c>
      <c r="B96">
        <f>[5]trip_summary_region!B96</f>
        <v>2</v>
      </c>
      <c r="C96">
        <f>[5]trip_summary_region!C96</f>
        <v>2028</v>
      </c>
      <c r="D96">
        <f>[5]trip_summary_region!D96</f>
        <v>2765</v>
      </c>
      <c r="E96">
        <f>[5]trip_summary_region!E96</f>
        <v>18286</v>
      </c>
      <c r="F96">
        <f>[5]trip_summary_region!F96</f>
        <v>1252.1048714999999</v>
      </c>
      <c r="G96">
        <f>[5]trip_summary_region!G96</f>
        <v>11985.832232999999</v>
      </c>
      <c r="H96">
        <f>[5]trip_summary_region!H96</f>
        <v>376.76705083000002</v>
      </c>
      <c r="I96" t="str">
        <f>[5]trip_summary_region!I96</f>
        <v>Light Vehicle Driver</v>
      </c>
      <c r="J96" t="str">
        <f>[5]trip_summary_region!J96</f>
        <v>2027/28</v>
      </c>
    </row>
    <row r="97" spans="1:10" x14ac:dyDescent="0.25">
      <c r="A97" t="str">
        <f>[5]trip_summary_region!A97</f>
        <v>02 AUCKLAND</v>
      </c>
      <c r="B97">
        <f>[5]trip_summary_region!B97</f>
        <v>2</v>
      </c>
      <c r="C97">
        <f>[5]trip_summary_region!C97</f>
        <v>2033</v>
      </c>
      <c r="D97">
        <f>[5]trip_summary_region!D97</f>
        <v>2765</v>
      </c>
      <c r="E97">
        <f>[5]trip_summary_region!E97</f>
        <v>18286</v>
      </c>
      <c r="F97">
        <f>[5]trip_summary_region!F97</f>
        <v>1326.9719379000001</v>
      </c>
      <c r="G97">
        <f>[5]trip_summary_region!G97</f>
        <v>12718.284267000001</v>
      </c>
      <c r="H97">
        <f>[5]trip_summary_region!H97</f>
        <v>399.08079777</v>
      </c>
      <c r="I97" t="str">
        <f>[5]trip_summary_region!I97</f>
        <v>Light Vehicle Driver</v>
      </c>
      <c r="J97" t="str">
        <f>[5]trip_summary_region!J97</f>
        <v>2032/33</v>
      </c>
    </row>
    <row r="98" spans="1:10" x14ac:dyDescent="0.25">
      <c r="A98" t="str">
        <f>[5]trip_summary_region!A98</f>
        <v>02 AUCKLAND</v>
      </c>
      <c r="B98">
        <f>[5]trip_summary_region!B98</f>
        <v>2</v>
      </c>
      <c r="C98">
        <f>[5]trip_summary_region!C98</f>
        <v>2038</v>
      </c>
      <c r="D98">
        <f>[5]trip_summary_region!D98</f>
        <v>2765</v>
      </c>
      <c r="E98">
        <f>[5]trip_summary_region!E98</f>
        <v>18286</v>
      </c>
      <c r="F98">
        <f>[5]trip_summary_region!F98</f>
        <v>1394.5386391</v>
      </c>
      <c r="G98">
        <f>[5]trip_summary_region!G98</f>
        <v>13361.369712</v>
      </c>
      <c r="H98">
        <f>[5]trip_summary_region!H98</f>
        <v>419.34631352000002</v>
      </c>
      <c r="I98" t="str">
        <f>[5]trip_summary_region!I98</f>
        <v>Light Vehicle Driver</v>
      </c>
      <c r="J98" t="str">
        <f>[5]trip_summary_region!J98</f>
        <v>2037/38</v>
      </c>
    </row>
    <row r="99" spans="1:10" x14ac:dyDescent="0.25">
      <c r="A99" t="str">
        <f>[5]trip_summary_region!A99</f>
        <v>02 AUCKLAND</v>
      </c>
      <c r="B99">
        <f>[5]trip_summary_region!B99</f>
        <v>2</v>
      </c>
      <c r="C99">
        <f>[5]trip_summary_region!C99</f>
        <v>2043</v>
      </c>
      <c r="D99">
        <f>[5]trip_summary_region!D99</f>
        <v>2765</v>
      </c>
      <c r="E99">
        <f>[5]trip_summary_region!E99</f>
        <v>18286</v>
      </c>
      <c r="F99">
        <f>[5]trip_summary_region!F99</f>
        <v>1454.5793063000001</v>
      </c>
      <c r="G99">
        <f>[5]trip_summary_region!G99</f>
        <v>13936.592035</v>
      </c>
      <c r="H99">
        <f>[5]trip_summary_region!H99</f>
        <v>437.41301440000001</v>
      </c>
      <c r="I99" t="str">
        <f>[5]trip_summary_region!I99</f>
        <v>Light Vehicle Driver</v>
      </c>
      <c r="J99" t="str">
        <f>[5]trip_summary_region!J99</f>
        <v>2042/43</v>
      </c>
    </row>
    <row r="100" spans="1:10" x14ac:dyDescent="0.25">
      <c r="A100" t="str">
        <f>[5]trip_summary_region!A100</f>
        <v>02 AUCKLAND</v>
      </c>
      <c r="B100">
        <f>[5]trip_summary_region!B100</f>
        <v>3</v>
      </c>
      <c r="C100">
        <f>[5]trip_summary_region!C100</f>
        <v>2013</v>
      </c>
      <c r="D100">
        <f>[5]trip_summary_region!D100</f>
        <v>2092</v>
      </c>
      <c r="E100">
        <f>[5]trip_summary_region!E100</f>
        <v>9587</v>
      </c>
      <c r="F100">
        <f>[5]trip_summary_region!F100</f>
        <v>488.06073574999999</v>
      </c>
      <c r="G100">
        <f>[5]trip_summary_region!G100</f>
        <v>4814.6436660999998</v>
      </c>
      <c r="H100">
        <f>[5]trip_summary_region!H100</f>
        <v>145.42645436999999</v>
      </c>
      <c r="I100" t="str">
        <f>[5]trip_summary_region!I100</f>
        <v>Light Vehicle Passenger</v>
      </c>
      <c r="J100" t="str">
        <f>[5]trip_summary_region!J100</f>
        <v>2012/13</v>
      </c>
    </row>
    <row r="101" spans="1:10" x14ac:dyDescent="0.25">
      <c r="A101" t="str">
        <f>[5]trip_summary_region!A101</f>
        <v>02 AUCKLAND</v>
      </c>
      <c r="B101">
        <f>[5]trip_summary_region!B101</f>
        <v>3</v>
      </c>
      <c r="C101">
        <f>[5]trip_summary_region!C101</f>
        <v>2018</v>
      </c>
      <c r="D101">
        <f>[5]trip_summary_region!D101</f>
        <v>2092</v>
      </c>
      <c r="E101">
        <f>[5]trip_summary_region!E101</f>
        <v>9587</v>
      </c>
      <c r="F101">
        <f>[5]trip_summary_region!F101</f>
        <v>524.99204458999998</v>
      </c>
      <c r="G101">
        <f>[5]trip_summary_region!G101</f>
        <v>5252.5287291000004</v>
      </c>
      <c r="H101">
        <f>[5]trip_summary_region!H101</f>
        <v>157.55915060999999</v>
      </c>
      <c r="I101" t="str">
        <f>[5]trip_summary_region!I101</f>
        <v>Light Vehicle Passenger</v>
      </c>
      <c r="J101" t="str">
        <f>[5]trip_summary_region!J101</f>
        <v>2017/18</v>
      </c>
    </row>
    <row r="102" spans="1:10" x14ac:dyDescent="0.25">
      <c r="A102" t="str">
        <f>[5]trip_summary_region!A102</f>
        <v>02 AUCKLAND</v>
      </c>
      <c r="B102">
        <f>[5]trip_summary_region!B102</f>
        <v>3</v>
      </c>
      <c r="C102">
        <f>[5]trip_summary_region!C102</f>
        <v>2023</v>
      </c>
      <c r="D102">
        <f>[5]trip_summary_region!D102</f>
        <v>2092</v>
      </c>
      <c r="E102">
        <f>[5]trip_summary_region!E102</f>
        <v>9587</v>
      </c>
      <c r="F102">
        <f>[5]trip_summary_region!F102</f>
        <v>552.75275709000005</v>
      </c>
      <c r="G102">
        <f>[5]trip_summary_region!G102</f>
        <v>5569.3224726999997</v>
      </c>
      <c r="H102">
        <f>[5]trip_summary_region!H102</f>
        <v>166.15393943999999</v>
      </c>
      <c r="I102" t="str">
        <f>[5]trip_summary_region!I102</f>
        <v>Light Vehicle Passenger</v>
      </c>
      <c r="J102" t="str">
        <f>[5]trip_summary_region!J102</f>
        <v>2022/23</v>
      </c>
    </row>
    <row r="103" spans="1:10" x14ac:dyDescent="0.25">
      <c r="A103" t="str">
        <f>[5]trip_summary_region!A103</f>
        <v>02 AUCKLAND</v>
      </c>
      <c r="B103">
        <f>[5]trip_summary_region!B103</f>
        <v>3</v>
      </c>
      <c r="C103">
        <f>[5]trip_summary_region!C103</f>
        <v>2028</v>
      </c>
      <c r="D103">
        <f>[5]trip_summary_region!D103</f>
        <v>2092</v>
      </c>
      <c r="E103">
        <f>[5]trip_summary_region!E103</f>
        <v>9587</v>
      </c>
      <c r="F103">
        <f>[5]trip_summary_region!F103</f>
        <v>578.03229285999998</v>
      </c>
      <c r="G103">
        <f>[5]trip_summary_region!G103</f>
        <v>5879.0933020000002</v>
      </c>
      <c r="H103">
        <f>[5]trip_summary_region!H103</f>
        <v>173.98645334</v>
      </c>
      <c r="I103" t="str">
        <f>[5]trip_summary_region!I103</f>
        <v>Light Vehicle Passenger</v>
      </c>
      <c r="J103" t="str">
        <f>[5]trip_summary_region!J103</f>
        <v>2027/28</v>
      </c>
    </row>
    <row r="104" spans="1:10" x14ac:dyDescent="0.25">
      <c r="A104" t="str">
        <f>[5]trip_summary_region!A104</f>
        <v>02 AUCKLAND</v>
      </c>
      <c r="B104">
        <f>[5]trip_summary_region!B104</f>
        <v>3</v>
      </c>
      <c r="C104">
        <f>[5]trip_summary_region!C104</f>
        <v>2033</v>
      </c>
      <c r="D104">
        <f>[5]trip_summary_region!D104</f>
        <v>2092</v>
      </c>
      <c r="E104">
        <f>[5]trip_summary_region!E104</f>
        <v>9587</v>
      </c>
      <c r="F104">
        <f>[5]trip_summary_region!F104</f>
        <v>601.07709752999995</v>
      </c>
      <c r="G104">
        <f>[5]trip_summary_region!G104</f>
        <v>6140.4497775</v>
      </c>
      <c r="H104">
        <f>[5]trip_summary_region!H104</f>
        <v>180.77922267</v>
      </c>
      <c r="I104" t="str">
        <f>[5]trip_summary_region!I104</f>
        <v>Light Vehicle Passenger</v>
      </c>
      <c r="J104" t="str">
        <f>[5]trip_summary_region!J104</f>
        <v>2032/33</v>
      </c>
    </row>
    <row r="105" spans="1:10" x14ac:dyDescent="0.25">
      <c r="A105" t="str">
        <f>[5]trip_summary_region!A105</f>
        <v>02 AUCKLAND</v>
      </c>
      <c r="B105">
        <f>[5]trip_summary_region!B105</f>
        <v>3</v>
      </c>
      <c r="C105">
        <f>[5]trip_summary_region!C105</f>
        <v>2038</v>
      </c>
      <c r="D105">
        <f>[5]trip_summary_region!D105</f>
        <v>2092</v>
      </c>
      <c r="E105">
        <f>[5]trip_summary_region!E105</f>
        <v>9587</v>
      </c>
      <c r="F105">
        <f>[5]trip_summary_region!F105</f>
        <v>619.48626358000001</v>
      </c>
      <c r="G105">
        <f>[5]trip_summary_region!G105</f>
        <v>6373.4716152999999</v>
      </c>
      <c r="H105">
        <f>[5]trip_summary_region!H105</f>
        <v>186.59708268</v>
      </c>
      <c r="I105" t="str">
        <f>[5]trip_summary_region!I105</f>
        <v>Light Vehicle Passenger</v>
      </c>
      <c r="J105" t="str">
        <f>[5]trip_summary_region!J105</f>
        <v>2037/38</v>
      </c>
    </row>
    <row r="106" spans="1:10" x14ac:dyDescent="0.25">
      <c r="A106" t="str">
        <f>[5]trip_summary_region!A106</f>
        <v>02 AUCKLAND</v>
      </c>
      <c r="B106">
        <f>[5]trip_summary_region!B106</f>
        <v>3</v>
      </c>
      <c r="C106">
        <f>[5]trip_summary_region!C106</f>
        <v>2043</v>
      </c>
      <c r="D106">
        <f>[5]trip_summary_region!D106</f>
        <v>2092</v>
      </c>
      <c r="E106">
        <f>[5]trip_summary_region!E106</f>
        <v>9587</v>
      </c>
      <c r="F106">
        <f>[5]trip_summary_region!F106</f>
        <v>633.56556293000006</v>
      </c>
      <c r="G106">
        <f>[5]trip_summary_region!G106</f>
        <v>6564.0998227</v>
      </c>
      <c r="H106">
        <f>[5]trip_summary_region!H106</f>
        <v>191.16581729999999</v>
      </c>
      <c r="I106" t="str">
        <f>[5]trip_summary_region!I106</f>
        <v>Light Vehicle Passenger</v>
      </c>
      <c r="J106" t="str">
        <f>[5]trip_summary_region!J106</f>
        <v>2042/43</v>
      </c>
    </row>
    <row r="107" spans="1:10" x14ac:dyDescent="0.25">
      <c r="A107" t="str">
        <f>[5]trip_summary_region!A107</f>
        <v>02 AUCKLAND</v>
      </c>
      <c r="B107">
        <f>[5]trip_summary_region!B107</f>
        <v>4</v>
      </c>
      <c r="C107">
        <f>[5]trip_summary_region!C107</f>
        <v>2013</v>
      </c>
      <c r="D107">
        <f>[5]trip_summary_region!D107</f>
        <v>54</v>
      </c>
      <c r="E107">
        <f>[5]trip_summary_region!E107</f>
        <v>94</v>
      </c>
      <c r="F107">
        <f>[5]trip_summary_region!F107</f>
        <v>6.0232688673999997</v>
      </c>
      <c r="G107">
        <f>[5]trip_summary_region!G107</f>
        <v>41.157157814999998</v>
      </c>
      <c r="H107">
        <f>[5]trip_summary_region!H107</f>
        <v>1.9131795197999999</v>
      </c>
      <c r="I107" t="s">
        <v>116</v>
      </c>
      <c r="J107" t="str">
        <f>[5]trip_summary_region!J107</f>
        <v>2012/13</v>
      </c>
    </row>
    <row r="108" spans="1:10" x14ac:dyDescent="0.25">
      <c r="A108" t="str">
        <f>[5]trip_summary_region!A108</f>
        <v>02 AUCKLAND</v>
      </c>
      <c r="B108">
        <f>[5]trip_summary_region!B108</f>
        <v>4</v>
      </c>
      <c r="C108">
        <f>[5]trip_summary_region!C108</f>
        <v>2018</v>
      </c>
      <c r="D108">
        <f>[5]trip_summary_region!D108</f>
        <v>54</v>
      </c>
      <c r="E108">
        <f>[5]trip_summary_region!E108</f>
        <v>94</v>
      </c>
      <c r="F108">
        <f>[5]trip_summary_region!F108</f>
        <v>7.1539202692000003</v>
      </c>
      <c r="G108">
        <f>[5]trip_summary_region!G108</f>
        <v>49.470833216000003</v>
      </c>
      <c r="H108">
        <f>[5]trip_summary_region!H108</f>
        <v>2.2700725880000001</v>
      </c>
      <c r="I108" t="s">
        <v>116</v>
      </c>
      <c r="J108" t="str">
        <f>[5]trip_summary_region!J108</f>
        <v>2017/18</v>
      </c>
    </row>
    <row r="109" spans="1:10" x14ac:dyDescent="0.25">
      <c r="A109" t="str">
        <f>[5]trip_summary_region!A109</f>
        <v>02 AUCKLAND</v>
      </c>
      <c r="B109">
        <f>[5]trip_summary_region!B109</f>
        <v>4</v>
      </c>
      <c r="C109">
        <f>[5]trip_summary_region!C109</f>
        <v>2023</v>
      </c>
      <c r="D109">
        <f>[5]trip_summary_region!D109</f>
        <v>54</v>
      </c>
      <c r="E109">
        <f>[5]trip_summary_region!E109</f>
        <v>94</v>
      </c>
      <c r="F109">
        <f>[5]trip_summary_region!F109</f>
        <v>8.1768000226000002</v>
      </c>
      <c r="G109">
        <f>[5]trip_summary_region!G109</f>
        <v>57.866944635999999</v>
      </c>
      <c r="H109">
        <f>[5]trip_summary_region!H109</f>
        <v>2.5969226477</v>
      </c>
      <c r="I109" t="s">
        <v>116</v>
      </c>
      <c r="J109" t="str">
        <f>[5]trip_summary_region!J109</f>
        <v>2022/23</v>
      </c>
    </row>
    <row r="110" spans="1:10" x14ac:dyDescent="0.25">
      <c r="A110" t="str">
        <f>[5]trip_summary_region!A110</f>
        <v>02 AUCKLAND</v>
      </c>
      <c r="B110">
        <f>[5]trip_summary_region!B110</f>
        <v>4</v>
      </c>
      <c r="C110">
        <f>[5]trip_summary_region!C110</f>
        <v>2028</v>
      </c>
      <c r="D110">
        <f>[5]trip_summary_region!D110</f>
        <v>54</v>
      </c>
      <c r="E110">
        <f>[5]trip_summary_region!E110</f>
        <v>94</v>
      </c>
      <c r="F110">
        <f>[5]trip_summary_region!F110</f>
        <v>9.1127637114999995</v>
      </c>
      <c r="G110">
        <f>[5]trip_summary_region!G110</f>
        <v>66.605562336000006</v>
      </c>
      <c r="H110">
        <f>[5]trip_summary_region!H110</f>
        <v>2.9130666788999999</v>
      </c>
      <c r="I110" t="s">
        <v>116</v>
      </c>
      <c r="J110" t="str">
        <f>[5]trip_summary_region!J110</f>
        <v>2027/28</v>
      </c>
    </row>
    <row r="111" spans="1:10" x14ac:dyDescent="0.25">
      <c r="A111" t="str">
        <f>[5]trip_summary_region!A111</f>
        <v>02 AUCKLAND</v>
      </c>
      <c r="B111">
        <f>[5]trip_summary_region!B111</f>
        <v>4</v>
      </c>
      <c r="C111">
        <f>[5]trip_summary_region!C111</f>
        <v>2033</v>
      </c>
      <c r="D111">
        <f>[5]trip_summary_region!D111</f>
        <v>54</v>
      </c>
      <c r="E111">
        <f>[5]trip_summary_region!E111</f>
        <v>94</v>
      </c>
      <c r="F111">
        <f>[5]trip_summary_region!F111</f>
        <v>9.9924814856000008</v>
      </c>
      <c r="G111">
        <f>[5]trip_summary_region!G111</f>
        <v>74.628617242000004</v>
      </c>
      <c r="H111">
        <f>[5]trip_summary_region!H111</f>
        <v>3.2119957585000001</v>
      </c>
      <c r="I111" t="s">
        <v>116</v>
      </c>
      <c r="J111" t="str">
        <f>[5]trip_summary_region!J111</f>
        <v>2032/33</v>
      </c>
    </row>
    <row r="112" spans="1:10" x14ac:dyDescent="0.25">
      <c r="A112" t="str">
        <f>[5]trip_summary_region!A112</f>
        <v>02 AUCKLAND</v>
      </c>
      <c r="B112">
        <f>[5]trip_summary_region!B112</f>
        <v>4</v>
      </c>
      <c r="C112">
        <f>[5]trip_summary_region!C112</f>
        <v>2038</v>
      </c>
      <c r="D112">
        <f>[5]trip_summary_region!D112</f>
        <v>54</v>
      </c>
      <c r="E112">
        <f>[5]trip_summary_region!E112</f>
        <v>94</v>
      </c>
      <c r="F112">
        <f>[5]trip_summary_region!F112</f>
        <v>10.714214554</v>
      </c>
      <c r="G112">
        <f>[5]trip_summary_region!G112</f>
        <v>81.385333059000004</v>
      </c>
      <c r="H112">
        <f>[5]trip_summary_region!H112</f>
        <v>3.4575040337999998</v>
      </c>
      <c r="I112" t="s">
        <v>116</v>
      </c>
      <c r="J112" t="str">
        <f>[5]trip_summary_region!J112</f>
        <v>2037/38</v>
      </c>
    </row>
    <row r="113" spans="1:10" x14ac:dyDescent="0.25">
      <c r="A113" t="str">
        <f>[5]trip_summary_region!A113</f>
        <v>02 AUCKLAND</v>
      </c>
      <c r="B113">
        <f>[5]trip_summary_region!B113</f>
        <v>4</v>
      </c>
      <c r="C113">
        <f>[5]trip_summary_region!C113</f>
        <v>2043</v>
      </c>
      <c r="D113">
        <f>[5]trip_summary_region!D113</f>
        <v>54</v>
      </c>
      <c r="E113">
        <f>[5]trip_summary_region!E113</f>
        <v>94</v>
      </c>
      <c r="F113">
        <f>[5]trip_summary_region!F113</f>
        <v>11.427583651000001</v>
      </c>
      <c r="G113">
        <f>[5]trip_summary_region!G113</f>
        <v>88.076069412999999</v>
      </c>
      <c r="H113">
        <f>[5]trip_summary_region!H113</f>
        <v>3.6974417935999999</v>
      </c>
      <c r="I113" t="s">
        <v>116</v>
      </c>
      <c r="J113" t="str">
        <f>[5]trip_summary_region!J113</f>
        <v>2042/43</v>
      </c>
    </row>
    <row r="114" spans="1:10" x14ac:dyDescent="0.25">
      <c r="A114" t="str">
        <f>[5]trip_summary_region!A114</f>
        <v>02 AUCKLAND</v>
      </c>
      <c r="B114">
        <f>[5]trip_summary_region!B114</f>
        <v>5</v>
      </c>
      <c r="C114">
        <f>[5]trip_summary_region!C114</f>
        <v>2013</v>
      </c>
      <c r="D114">
        <f>[5]trip_summary_region!D114</f>
        <v>15</v>
      </c>
      <c r="E114">
        <f>[5]trip_summary_region!E114</f>
        <v>69</v>
      </c>
      <c r="F114">
        <f>[5]trip_summary_region!F114</f>
        <v>4.1170216905999997</v>
      </c>
      <c r="G114">
        <f>[5]trip_summary_region!G114</f>
        <v>43.570185572</v>
      </c>
      <c r="H114">
        <f>[5]trip_summary_region!H114</f>
        <v>1.5334409518000001</v>
      </c>
      <c r="I114" t="str">
        <f>[5]trip_summary_region!I114</f>
        <v>Motorcyclist</v>
      </c>
      <c r="J114" t="str">
        <f>[5]trip_summary_region!J114</f>
        <v>2012/13</v>
      </c>
    </row>
    <row r="115" spans="1:10" x14ac:dyDescent="0.25">
      <c r="A115" t="str">
        <f>[5]trip_summary_region!A115</f>
        <v>02 AUCKLAND</v>
      </c>
      <c r="B115">
        <f>[5]trip_summary_region!B115</f>
        <v>5</v>
      </c>
      <c r="C115">
        <f>[5]trip_summary_region!C115</f>
        <v>2018</v>
      </c>
      <c r="D115">
        <f>[5]trip_summary_region!D115</f>
        <v>15</v>
      </c>
      <c r="E115">
        <f>[5]trip_summary_region!E115</f>
        <v>69</v>
      </c>
      <c r="F115">
        <f>[5]trip_summary_region!F115</f>
        <v>4.6680632031</v>
      </c>
      <c r="G115">
        <f>[5]trip_summary_region!G115</f>
        <v>49.254398813999998</v>
      </c>
      <c r="H115">
        <f>[5]trip_summary_region!H115</f>
        <v>1.7517811457000001</v>
      </c>
      <c r="I115" t="str">
        <f>[5]trip_summary_region!I115</f>
        <v>Motorcyclist</v>
      </c>
      <c r="J115" t="str">
        <f>[5]trip_summary_region!J115</f>
        <v>2017/18</v>
      </c>
    </row>
    <row r="116" spans="1:10" x14ac:dyDescent="0.25">
      <c r="A116" t="str">
        <f>[5]trip_summary_region!A116</f>
        <v>02 AUCKLAND</v>
      </c>
      <c r="B116">
        <f>[5]trip_summary_region!B116</f>
        <v>5</v>
      </c>
      <c r="C116">
        <f>[5]trip_summary_region!C116</f>
        <v>2023</v>
      </c>
      <c r="D116">
        <f>[5]trip_summary_region!D116</f>
        <v>15</v>
      </c>
      <c r="E116">
        <f>[5]trip_summary_region!E116</f>
        <v>69</v>
      </c>
      <c r="F116">
        <f>[5]trip_summary_region!F116</f>
        <v>5.1577772319999999</v>
      </c>
      <c r="G116">
        <f>[5]trip_summary_region!G116</f>
        <v>52.666048691</v>
      </c>
      <c r="H116">
        <f>[5]trip_summary_region!H116</f>
        <v>1.908512478</v>
      </c>
      <c r="I116" t="str">
        <f>[5]trip_summary_region!I116</f>
        <v>Motorcyclist</v>
      </c>
      <c r="J116" t="str">
        <f>[5]trip_summary_region!J116</f>
        <v>2022/23</v>
      </c>
    </row>
    <row r="117" spans="1:10" x14ac:dyDescent="0.25">
      <c r="A117" t="str">
        <f>[5]trip_summary_region!A117</f>
        <v>02 AUCKLAND</v>
      </c>
      <c r="B117">
        <f>[5]trip_summary_region!B117</f>
        <v>5</v>
      </c>
      <c r="C117">
        <f>[5]trip_summary_region!C117</f>
        <v>2028</v>
      </c>
      <c r="D117">
        <f>[5]trip_summary_region!D117</f>
        <v>15</v>
      </c>
      <c r="E117">
        <f>[5]trip_summary_region!E117</f>
        <v>69</v>
      </c>
      <c r="F117">
        <f>[5]trip_summary_region!F117</f>
        <v>5.7890965128999996</v>
      </c>
      <c r="G117">
        <f>[5]trip_summary_region!G117</f>
        <v>56.260513623999998</v>
      </c>
      <c r="H117">
        <f>[5]trip_summary_region!H117</f>
        <v>2.0802298845</v>
      </c>
      <c r="I117" t="str">
        <f>[5]trip_summary_region!I117</f>
        <v>Motorcyclist</v>
      </c>
      <c r="J117" t="str">
        <f>[5]trip_summary_region!J117</f>
        <v>2027/28</v>
      </c>
    </row>
    <row r="118" spans="1:10" x14ac:dyDescent="0.25">
      <c r="A118" t="str">
        <f>[5]trip_summary_region!A118</f>
        <v>02 AUCKLAND</v>
      </c>
      <c r="B118">
        <f>[5]trip_summary_region!B118</f>
        <v>5</v>
      </c>
      <c r="C118">
        <f>[5]trip_summary_region!C118</f>
        <v>2033</v>
      </c>
      <c r="D118">
        <f>[5]trip_summary_region!D118</f>
        <v>15</v>
      </c>
      <c r="E118">
        <f>[5]trip_summary_region!E118</f>
        <v>69</v>
      </c>
      <c r="F118">
        <f>[5]trip_summary_region!F118</f>
        <v>6.3308758220000003</v>
      </c>
      <c r="G118">
        <f>[5]trip_summary_region!G118</f>
        <v>60.020809297</v>
      </c>
      <c r="H118">
        <f>[5]trip_summary_region!H118</f>
        <v>2.2500069091000001</v>
      </c>
      <c r="I118" t="str">
        <f>[5]trip_summary_region!I118</f>
        <v>Motorcyclist</v>
      </c>
      <c r="J118" t="str">
        <f>[5]trip_summary_region!J118</f>
        <v>2032/33</v>
      </c>
    </row>
    <row r="119" spans="1:10" x14ac:dyDescent="0.25">
      <c r="A119" t="str">
        <f>[5]trip_summary_region!A119</f>
        <v>02 AUCKLAND</v>
      </c>
      <c r="B119">
        <f>[5]trip_summary_region!B119</f>
        <v>5</v>
      </c>
      <c r="C119">
        <f>[5]trip_summary_region!C119</f>
        <v>2038</v>
      </c>
      <c r="D119">
        <f>[5]trip_summary_region!D119</f>
        <v>15</v>
      </c>
      <c r="E119">
        <f>[5]trip_summary_region!E119</f>
        <v>69</v>
      </c>
      <c r="F119">
        <f>[5]trip_summary_region!F119</f>
        <v>6.5466259148999999</v>
      </c>
      <c r="G119">
        <f>[5]trip_summary_region!G119</f>
        <v>62.158337666000001</v>
      </c>
      <c r="H119">
        <f>[5]trip_summary_region!H119</f>
        <v>2.3556532342000001</v>
      </c>
      <c r="I119" t="str">
        <f>[5]trip_summary_region!I119</f>
        <v>Motorcyclist</v>
      </c>
      <c r="J119" t="str">
        <f>[5]trip_summary_region!J119</f>
        <v>2037/38</v>
      </c>
    </row>
    <row r="120" spans="1:10" x14ac:dyDescent="0.25">
      <c r="A120" t="str">
        <f>[5]trip_summary_region!A120</f>
        <v>02 AUCKLAND</v>
      </c>
      <c r="B120">
        <f>[5]trip_summary_region!B120</f>
        <v>5</v>
      </c>
      <c r="C120">
        <f>[5]trip_summary_region!C120</f>
        <v>2043</v>
      </c>
      <c r="D120">
        <f>[5]trip_summary_region!D120</f>
        <v>15</v>
      </c>
      <c r="E120">
        <f>[5]trip_summary_region!E120</f>
        <v>69</v>
      </c>
      <c r="F120">
        <f>[5]trip_summary_region!F120</f>
        <v>6.7158455575999998</v>
      </c>
      <c r="G120">
        <f>[5]trip_summary_region!G120</f>
        <v>64.098417706999996</v>
      </c>
      <c r="H120">
        <f>[5]trip_summary_region!H120</f>
        <v>2.4510354534999998</v>
      </c>
      <c r="I120" t="str">
        <f>[5]trip_summary_region!I120</f>
        <v>Motorcyclist</v>
      </c>
      <c r="J120" t="str">
        <f>[5]trip_summary_region!J120</f>
        <v>2042/43</v>
      </c>
    </row>
    <row r="121" spans="1:10" x14ac:dyDescent="0.25">
      <c r="A121" t="str">
        <f>[5]trip_summary_region!A121</f>
        <v>02 AUCKLAND</v>
      </c>
      <c r="B121">
        <f>[5]trip_summary_region!B121</f>
        <v>6</v>
      </c>
      <c r="C121">
        <f>[5]trip_summary_region!C121</f>
        <v>2013</v>
      </c>
      <c r="D121">
        <f>[5]trip_summary_region!D121</f>
        <v>83</v>
      </c>
      <c r="E121">
        <f>[5]trip_summary_region!E121</f>
        <v>197</v>
      </c>
      <c r="F121">
        <f>[5]trip_summary_region!F121</f>
        <v>10.588451037</v>
      </c>
      <c r="G121">
        <f>[5]trip_summary_region!G121</f>
        <v>126.27968744</v>
      </c>
      <c r="H121">
        <f>[5]trip_summary_region!H121</f>
        <v>4.2843438359999997</v>
      </c>
      <c r="I121" t="str">
        <f>[5]trip_summary_region!I121</f>
        <v>Local Train</v>
      </c>
      <c r="J121" t="str">
        <f>[5]trip_summary_region!J121</f>
        <v>2012/13</v>
      </c>
    </row>
    <row r="122" spans="1:10" x14ac:dyDescent="0.25">
      <c r="A122" t="str">
        <f>[5]trip_summary_region!A122</f>
        <v>02 AUCKLAND</v>
      </c>
      <c r="B122">
        <f>[5]trip_summary_region!B122</f>
        <v>6</v>
      </c>
      <c r="C122">
        <f>[5]trip_summary_region!C122</f>
        <v>2018</v>
      </c>
      <c r="D122">
        <f>[5]trip_summary_region!D122</f>
        <v>83</v>
      </c>
      <c r="E122">
        <f>[5]trip_summary_region!E122</f>
        <v>197</v>
      </c>
      <c r="F122">
        <f>[5]trip_summary_region!F122</f>
        <v>11.772808704999999</v>
      </c>
      <c r="G122">
        <f>[5]trip_summary_region!G122</f>
        <v>142.28315175</v>
      </c>
      <c r="H122">
        <f>[5]trip_summary_region!H122</f>
        <v>4.8306178031</v>
      </c>
      <c r="I122" t="str">
        <f>[5]trip_summary_region!I122</f>
        <v>Local Train</v>
      </c>
      <c r="J122" t="str">
        <f>[5]trip_summary_region!J122</f>
        <v>2017/18</v>
      </c>
    </row>
    <row r="123" spans="1:10" x14ac:dyDescent="0.25">
      <c r="A123" t="str">
        <f>[5]trip_summary_region!A123</f>
        <v>02 AUCKLAND</v>
      </c>
      <c r="B123">
        <f>[5]trip_summary_region!B123</f>
        <v>6</v>
      </c>
      <c r="C123">
        <f>[5]trip_summary_region!C123</f>
        <v>2023</v>
      </c>
      <c r="D123">
        <f>[5]trip_summary_region!D123</f>
        <v>83</v>
      </c>
      <c r="E123">
        <f>[5]trip_summary_region!E123</f>
        <v>197</v>
      </c>
      <c r="F123">
        <f>[5]trip_summary_region!F123</f>
        <v>12.518159804</v>
      </c>
      <c r="G123">
        <f>[5]trip_summary_region!G123</f>
        <v>151.9895195</v>
      </c>
      <c r="H123">
        <f>[5]trip_summary_region!H123</f>
        <v>5.1741002469000001</v>
      </c>
      <c r="I123" t="str">
        <f>[5]trip_summary_region!I123</f>
        <v>Local Train</v>
      </c>
      <c r="J123" t="str">
        <f>[5]trip_summary_region!J123</f>
        <v>2022/23</v>
      </c>
    </row>
    <row r="124" spans="1:10" x14ac:dyDescent="0.25">
      <c r="A124" t="str">
        <f>[5]trip_summary_region!A124</f>
        <v>02 AUCKLAND</v>
      </c>
      <c r="B124">
        <f>[5]trip_summary_region!B124</f>
        <v>6</v>
      </c>
      <c r="C124">
        <f>[5]trip_summary_region!C124</f>
        <v>2028</v>
      </c>
      <c r="D124">
        <f>[5]trip_summary_region!D124</f>
        <v>83</v>
      </c>
      <c r="E124">
        <f>[5]trip_summary_region!E124</f>
        <v>197</v>
      </c>
      <c r="F124">
        <f>[5]trip_summary_region!F124</f>
        <v>13.117502877</v>
      </c>
      <c r="G124">
        <f>[5]trip_summary_region!G124</f>
        <v>159.40260860999999</v>
      </c>
      <c r="H124">
        <f>[5]trip_summary_region!H124</f>
        <v>5.4176460397000001</v>
      </c>
      <c r="I124" t="str">
        <f>[5]trip_summary_region!I124</f>
        <v>Local Train</v>
      </c>
      <c r="J124" t="str">
        <f>[5]trip_summary_region!J124</f>
        <v>2027/28</v>
      </c>
    </row>
    <row r="125" spans="1:10" x14ac:dyDescent="0.25">
      <c r="A125" t="str">
        <f>[5]trip_summary_region!A125</f>
        <v>02 AUCKLAND</v>
      </c>
      <c r="B125">
        <f>[5]trip_summary_region!B125</f>
        <v>6</v>
      </c>
      <c r="C125">
        <f>[5]trip_summary_region!C125</f>
        <v>2033</v>
      </c>
      <c r="D125">
        <f>[5]trip_summary_region!D125</f>
        <v>83</v>
      </c>
      <c r="E125">
        <f>[5]trip_summary_region!E125</f>
        <v>197</v>
      </c>
      <c r="F125">
        <f>[5]trip_summary_region!F125</f>
        <v>13.542770880999999</v>
      </c>
      <c r="G125">
        <f>[5]trip_summary_region!G125</f>
        <v>165.52680409000001</v>
      </c>
      <c r="H125">
        <f>[5]trip_summary_region!H125</f>
        <v>5.5975750165000004</v>
      </c>
      <c r="I125" t="str">
        <f>[5]trip_summary_region!I125</f>
        <v>Local Train</v>
      </c>
      <c r="J125" t="str">
        <f>[5]trip_summary_region!J125</f>
        <v>2032/33</v>
      </c>
    </row>
    <row r="126" spans="1:10" x14ac:dyDescent="0.25">
      <c r="A126" t="str">
        <f>[5]trip_summary_region!A126</f>
        <v>02 AUCKLAND</v>
      </c>
      <c r="B126">
        <f>[5]trip_summary_region!B126</f>
        <v>6</v>
      </c>
      <c r="C126">
        <f>[5]trip_summary_region!C126</f>
        <v>2038</v>
      </c>
      <c r="D126">
        <f>[5]trip_summary_region!D126</f>
        <v>83</v>
      </c>
      <c r="E126">
        <f>[5]trip_summary_region!E126</f>
        <v>197</v>
      </c>
      <c r="F126">
        <f>[5]trip_summary_region!F126</f>
        <v>13.739815186</v>
      </c>
      <c r="G126">
        <f>[5]trip_summary_region!G126</f>
        <v>169.11231931</v>
      </c>
      <c r="H126">
        <f>[5]trip_summary_region!H126</f>
        <v>5.7109897118999999</v>
      </c>
      <c r="I126" t="str">
        <f>[5]trip_summary_region!I126</f>
        <v>Local Train</v>
      </c>
      <c r="J126" t="str">
        <f>[5]trip_summary_region!J126</f>
        <v>2037/38</v>
      </c>
    </row>
    <row r="127" spans="1:10" x14ac:dyDescent="0.25">
      <c r="A127" t="str">
        <f>[5]trip_summary_region!A127</f>
        <v>02 AUCKLAND</v>
      </c>
      <c r="B127">
        <f>[5]trip_summary_region!B127</f>
        <v>6</v>
      </c>
      <c r="C127">
        <f>[5]trip_summary_region!C127</f>
        <v>2043</v>
      </c>
      <c r="D127">
        <f>[5]trip_summary_region!D127</f>
        <v>83</v>
      </c>
      <c r="E127">
        <f>[5]trip_summary_region!E127</f>
        <v>197</v>
      </c>
      <c r="F127">
        <f>[5]trip_summary_region!F127</f>
        <v>13.822090773999999</v>
      </c>
      <c r="G127">
        <f>[5]trip_summary_region!G127</f>
        <v>171.32241389000001</v>
      </c>
      <c r="H127">
        <f>[5]trip_summary_region!H127</f>
        <v>5.7749043458999996</v>
      </c>
      <c r="I127" t="str">
        <f>[5]trip_summary_region!I127</f>
        <v>Local Train</v>
      </c>
      <c r="J127" t="str">
        <f>[5]trip_summary_region!J127</f>
        <v>2042/43</v>
      </c>
    </row>
    <row r="128" spans="1:10" x14ac:dyDescent="0.25">
      <c r="A128" t="str">
        <f>[5]trip_summary_region!A128</f>
        <v>02 AUCKLAND</v>
      </c>
      <c r="B128">
        <f>[5]trip_summary_region!B128</f>
        <v>7</v>
      </c>
      <c r="C128">
        <f>[5]trip_summary_region!C128</f>
        <v>2013</v>
      </c>
      <c r="D128">
        <f>[5]trip_summary_region!D128</f>
        <v>334</v>
      </c>
      <c r="E128">
        <f>[5]trip_summary_region!E128</f>
        <v>882</v>
      </c>
      <c r="F128">
        <f>[5]trip_summary_region!F128</f>
        <v>54.403429504999998</v>
      </c>
      <c r="G128">
        <f>[5]trip_summary_region!G128</f>
        <v>439.27566032999999</v>
      </c>
      <c r="H128">
        <f>[5]trip_summary_region!H128</f>
        <v>22.622672496</v>
      </c>
      <c r="I128" t="str">
        <f>[5]trip_summary_region!I128</f>
        <v>Local Bus</v>
      </c>
      <c r="J128" t="str">
        <f>[5]trip_summary_region!J128</f>
        <v>2012/13</v>
      </c>
    </row>
    <row r="129" spans="1:10" x14ac:dyDescent="0.25">
      <c r="A129" t="str">
        <f>[5]trip_summary_region!A129</f>
        <v>02 AUCKLAND</v>
      </c>
      <c r="B129">
        <f>[5]trip_summary_region!B129</f>
        <v>7</v>
      </c>
      <c r="C129">
        <f>[5]trip_summary_region!C129</f>
        <v>2018</v>
      </c>
      <c r="D129">
        <f>[5]trip_summary_region!D129</f>
        <v>334</v>
      </c>
      <c r="E129">
        <f>[5]trip_summary_region!E129</f>
        <v>882</v>
      </c>
      <c r="F129">
        <f>[5]trip_summary_region!F129</f>
        <v>58.696895283000003</v>
      </c>
      <c r="G129">
        <f>[5]trip_summary_region!G129</f>
        <v>478.77990081000002</v>
      </c>
      <c r="H129">
        <f>[5]trip_summary_region!H129</f>
        <v>24.62897491</v>
      </c>
      <c r="I129" t="str">
        <f>[5]trip_summary_region!I129</f>
        <v>Local Bus</v>
      </c>
      <c r="J129" t="str">
        <f>[5]trip_summary_region!J129</f>
        <v>2017/18</v>
      </c>
    </row>
    <row r="130" spans="1:10" x14ac:dyDescent="0.25">
      <c r="A130" t="str">
        <f>[5]trip_summary_region!A130</f>
        <v>02 AUCKLAND</v>
      </c>
      <c r="B130">
        <f>[5]trip_summary_region!B130</f>
        <v>7</v>
      </c>
      <c r="C130">
        <f>[5]trip_summary_region!C130</f>
        <v>2023</v>
      </c>
      <c r="D130">
        <f>[5]trip_summary_region!D130</f>
        <v>334</v>
      </c>
      <c r="E130">
        <f>[5]trip_summary_region!E130</f>
        <v>882</v>
      </c>
      <c r="F130">
        <f>[5]trip_summary_region!F130</f>
        <v>60.869013830999997</v>
      </c>
      <c r="G130">
        <f>[5]trip_summary_region!G130</f>
        <v>499.04930562999999</v>
      </c>
      <c r="H130">
        <f>[5]trip_summary_region!H130</f>
        <v>25.587975165</v>
      </c>
      <c r="I130" t="str">
        <f>[5]trip_summary_region!I130</f>
        <v>Local Bus</v>
      </c>
      <c r="J130" t="str">
        <f>[5]trip_summary_region!J130</f>
        <v>2022/23</v>
      </c>
    </row>
    <row r="131" spans="1:10" x14ac:dyDescent="0.25">
      <c r="A131" t="str">
        <f>[5]trip_summary_region!A131</f>
        <v>02 AUCKLAND</v>
      </c>
      <c r="B131">
        <f>[5]trip_summary_region!B131</f>
        <v>7</v>
      </c>
      <c r="C131">
        <f>[5]trip_summary_region!C131</f>
        <v>2028</v>
      </c>
      <c r="D131">
        <f>[5]trip_summary_region!D131</f>
        <v>334</v>
      </c>
      <c r="E131">
        <f>[5]trip_summary_region!E131</f>
        <v>882</v>
      </c>
      <c r="F131">
        <f>[5]trip_summary_region!F131</f>
        <v>61.567793471999998</v>
      </c>
      <c r="G131">
        <f>[5]trip_summary_region!G131</f>
        <v>509.52359158000002</v>
      </c>
      <c r="H131">
        <f>[5]trip_summary_region!H131</f>
        <v>25.9615078</v>
      </c>
      <c r="I131" t="str">
        <f>[5]trip_summary_region!I131</f>
        <v>Local Bus</v>
      </c>
      <c r="J131" t="str">
        <f>[5]trip_summary_region!J131</f>
        <v>2027/28</v>
      </c>
    </row>
    <row r="132" spans="1:10" x14ac:dyDescent="0.25">
      <c r="A132" t="str">
        <f>[5]trip_summary_region!A132</f>
        <v>02 AUCKLAND</v>
      </c>
      <c r="B132">
        <f>[5]trip_summary_region!B132</f>
        <v>7</v>
      </c>
      <c r="C132">
        <f>[5]trip_summary_region!C132</f>
        <v>2033</v>
      </c>
      <c r="D132">
        <f>[5]trip_summary_region!D132</f>
        <v>334</v>
      </c>
      <c r="E132">
        <f>[5]trip_summary_region!E132</f>
        <v>882</v>
      </c>
      <c r="F132">
        <f>[5]trip_summary_region!F132</f>
        <v>61.040067092999998</v>
      </c>
      <c r="G132">
        <f>[5]trip_summary_region!G132</f>
        <v>508.78029996999999</v>
      </c>
      <c r="H132">
        <f>[5]trip_summary_region!H132</f>
        <v>25.794363546</v>
      </c>
      <c r="I132" t="str">
        <f>[5]trip_summary_region!I132</f>
        <v>Local Bus</v>
      </c>
      <c r="J132" t="str">
        <f>[5]trip_summary_region!J132</f>
        <v>2032/33</v>
      </c>
    </row>
    <row r="133" spans="1:10" x14ac:dyDescent="0.25">
      <c r="A133" t="str">
        <f>[5]trip_summary_region!A133</f>
        <v>02 AUCKLAND</v>
      </c>
      <c r="B133">
        <f>[5]trip_summary_region!B133</f>
        <v>7</v>
      </c>
      <c r="C133">
        <f>[5]trip_summary_region!C133</f>
        <v>2038</v>
      </c>
      <c r="D133">
        <f>[5]trip_summary_region!D133</f>
        <v>334</v>
      </c>
      <c r="E133">
        <f>[5]trip_summary_region!E133</f>
        <v>882</v>
      </c>
      <c r="F133">
        <f>[5]trip_summary_region!F133</f>
        <v>60.164320037000003</v>
      </c>
      <c r="G133">
        <f>[5]trip_summary_region!G133</f>
        <v>506.05434568999999</v>
      </c>
      <c r="H133">
        <f>[5]trip_summary_region!H133</f>
        <v>25.516570415</v>
      </c>
      <c r="I133" t="str">
        <f>[5]trip_summary_region!I133</f>
        <v>Local Bus</v>
      </c>
      <c r="J133" t="str">
        <f>[5]trip_summary_region!J133</f>
        <v>2037/38</v>
      </c>
    </row>
    <row r="134" spans="1:10" x14ac:dyDescent="0.25">
      <c r="A134" t="str">
        <f>[5]trip_summary_region!A134</f>
        <v>02 AUCKLAND</v>
      </c>
      <c r="B134">
        <f>[5]trip_summary_region!B134</f>
        <v>7</v>
      </c>
      <c r="C134">
        <f>[5]trip_summary_region!C134</f>
        <v>2043</v>
      </c>
      <c r="D134">
        <f>[5]trip_summary_region!D134</f>
        <v>334</v>
      </c>
      <c r="E134">
        <f>[5]trip_summary_region!E134</f>
        <v>882</v>
      </c>
      <c r="F134">
        <f>[5]trip_summary_region!F134</f>
        <v>58.737581425000002</v>
      </c>
      <c r="G134">
        <f>[5]trip_summary_region!G134</f>
        <v>498.97802371</v>
      </c>
      <c r="H134">
        <f>[5]trip_summary_region!H134</f>
        <v>25.018416195</v>
      </c>
      <c r="I134" t="str">
        <f>[5]trip_summary_region!I134</f>
        <v>Local Bus</v>
      </c>
      <c r="J134" t="str">
        <f>[5]trip_summary_region!J134</f>
        <v>2042/43</v>
      </c>
    </row>
    <row r="135" spans="1:10" x14ac:dyDescent="0.25">
      <c r="A135" t="str">
        <f>[5]trip_summary_region!A135</f>
        <v>02 AUCKLAND</v>
      </c>
      <c r="B135">
        <f>[5]trip_summary_region!B135</f>
        <v>8</v>
      </c>
      <c r="C135">
        <f>[5]trip_summary_region!C135</f>
        <v>2013</v>
      </c>
      <c r="D135">
        <f>[5]trip_summary_region!D135</f>
        <v>33</v>
      </c>
      <c r="E135">
        <f>[5]trip_summary_region!E135</f>
        <v>75</v>
      </c>
      <c r="F135">
        <f>[5]trip_summary_region!F135</f>
        <v>4.3086283299000003</v>
      </c>
      <c r="G135">
        <f>[5]trip_summary_region!G135</f>
        <v>0</v>
      </c>
      <c r="H135">
        <f>[5]trip_summary_region!H135</f>
        <v>1.2124045342000001</v>
      </c>
      <c r="I135" t="str">
        <f>[5]trip_summary_region!I135</f>
        <v>Local Ferry</v>
      </c>
      <c r="J135" t="str">
        <f>[5]trip_summary_region!J135</f>
        <v>2012/13</v>
      </c>
    </row>
    <row r="136" spans="1:10" x14ac:dyDescent="0.25">
      <c r="A136" t="str">
        <f>[5]trip_summary_region!A136</f>
        <v>02 AUCKLAND</v>
      </c>
      <c r="B136">
        <f>[5]trip_summary_region!B136</f>
        <v>8</v>
      </c>
      <c r="C136">
        <f>[5]trip_summary_region!C136</f>
        <v>2018</v>
      </c>
      <c r="D136">
        <f>[5]trip_summary_region!D136</f>
        <v>33</v>
      </c>
      <c r="E136">
        <f>[5]trip_summary_region!E136</f>
        <v>75</v>
      </c>
      <c r="F136">
        <f>[5]trip_summary_region!F136</f>
        <v>4.8955005111999998</v>
      </c>
      <c r="G136">
        <f>[5]trip_summary_region!G136</f>
        <v>0</v>
      </c>
      <c r="H136">
        <f>[5]trip_summary_region!H136</f>
        <v>1.3848572970999999</v>
      </c>
      <c r="I136" t="str">
        <f>[5]trip_summary_region!I136</f>
        <v>Local Ferry</v>
      </c>
      <c r="J136" t="str">
        <f>[5]trip_summary_region!J136</f>
        <v>2017/18</v>
      </c>
    </row>
    <row r="137" spans="1:10" x14ac:dyDescent="0.25">
      <c r="A137" t="str">
        <f>[5]trip_summary_region!A137</f>
        <v>02 AUCKLAND</v>
      </c>
      <c r="B137">
        <f>[5]trip_summary_region!B137</f>
        <v>8</v>
      </c>
      <c r="C137">
        <f>[5]trip_summary_region!C137</f>
        <v>2023</v>
      </c>
      <c r="D137">
        <f>[5]trip_summary_region!D137</f>
        <v>33</v>
      </c>
      <c r="E137">
        <f>[5]trip_summary_region!E137</f>
        <v>75</v>
      </c>
      <c r="F137">
        <f>[5]trip_summary_region!F137</f>
        <v>5.3672243265999997</v>
      </c>
      <c r="G137">
        <f>[5]trip_summary_region!G137</f>
        <v>0</v>
      </c>
      <c r="H137">
        <f>[5]trip_summary_region!H137</f>
        <v>1.5098688897999999</v>
      </c>
      <c r="I137" t="str">
        <f>[5]trip_summary_region!I137</f>
        <v>Local Ferry</v>
      </c>
      <c r="J137" t="str">
        <f>[5]trip_summary_region!J137</f>
        <v>2022/23</v>
      </c>
    </row>
    <row r="138" spans="1:10" x14ac:dyDescent="0.25">
      <c r="A138" t="str">
        <f>[5]trip_summary_region!A138</f>
        <v>02 AUCKLAND</v>
      </c>
      <c r="B138">
        <f>[5]trip_summary_region!B138</f>
        <v>8</v>
      </c>
      <c r="C138">
        <f>[5]trip_summary_region!C138</f>
        <v>2028</v>
      </c>
      <c r="D138">
        <f>[5]trip_summary_region!D138</f>
        <v>33</v>
      </c>
      <c r="E138">
        <f>[5]trip_summary_region!E138</f>
        <v>75</v>
      </c>
      <c r="F138">
        <f>[5]trip_summary_region!F138</f>
        <v>5.6606843005999998</v>
      </c>
      <c r="G138">
        <f>[5]trip_summary_region!G138</f>
        <v>0</v>
      </c>
      <c r="H138">
        <f>[5]trip_summary_region!H138</f>
        <v>1.5959026862000001</v>
      </c>
      <c r="I138" t="str">
        <f>[5]trip_summary_region!I138</f>
        <v>Local Ferry</v>
      </c>
      <c r="J138" t="str">
        <f>[5]trip_summary_region!J138</f>
        <v>2027/28</v>
      </c>
    </row>
    <row r="139" spans="1:10" x14ac:dyDescent="0.25">
      <c r="A139" t="str">
        <f>[5]trip_summary_region!A139</f>
        <v>02 AUCKLAND</v>
      </c>
      <c r="B139">
        <f>[5]trip_summary_region!B139</f>
        <v>8</v>
      </c>
      <c r="C139">
        <f>[5]trip_summary_region!C139</f>
        <v>2033</v>
      </c>
      <c r="D139">
        <f>[5]trip_summary_region!D139</f>
        <v>33</v>
      </c>
      <c r="E139">
        <f>[5]trip_summary_region!E139</f>
        <v>75</v>
      </c>
      <c r="F139">
        <f>[5]trip_summary_region!F139</f>
        <v>5.8834432655000004</v>
      </c>
      <c r="G139">
        <f>[5]trip_summary_region!G139</f>
        <v>0</v>
      </c>
      <c r="H139">
        <f>[5]trip_summary_region!H139</f>
        <v>1.6664531492000001</v>
      </c>
      <c r="I139" t="str">
        <f>[5]trip_summary_region!I139</f>
        <v>Local Ferry</v>
      </c>
      <c r="J139" t="str">
        <f>[5]trip_summary_region!J139</f>
        <v>2032/33</v>
      </c>
    </row>
    <row r="140" spans="1:10" x14ac:dyDescent="0.25">
      <c r="A140" t="str">
        <f>[5]trip_summary_region!A140</f>
        <v>02 AUCKLAND</v>
      </c>
      <c r="B140">
        <f>[5]trip_summary_region!B140</f>
        <v>8</v>
      </c>
      <c r="C140">
        <f>[5]trip_summary_region!C140</f>
        <v>2038</v>
      </c>
      <c r="D140">
        <f>[5]trip_summary_region!D140</f>
        <v>33</v>
      </c>
      <c r="E140">
        <f>[5]trip_summary_region!E140</f>
        <v>75</v>
      </c>
      <c r="F140">
        <f>[5]trip_summary_region!F140</f>
        <v>6.2514925118000004</v>
      </c>
      <c r="G140">
        <f>[5]trip_summary_region!G140</f>
        <v>0</v>
      </c>
      <c r="H140">
        <f>[5]trip_summary_region!H140</f>
        <v>1.7738648131000001</v>
      </c>
      <c r="I140" t="str">
        <f>[5]trip_summary_region!I140</f>
        <v>Local Ferry</v>
      </c>
      <c r="J140" t="str">
        <f>[5]trip_summary_region!J140</f>
        <v>2037/38</v>
      </c>
    </row>
    <row r="141" spans="1:10" x14ac:dyDescent="0.25">
      <c r="A141" t="str">
        <f>[5]trip_summary_region!A141</f>
        <v>02 AUCKLAND</v>
      </c>
      <c r="B141">
        <f>[5]trip_summary_region!B141</f>
        <v>8</v>
      </c>
      <c r="C141">
        <f>[5]trip_summary_region!C141</f>
        <v>2043</v>
      </c>
      <c r="D141">
        <f>[5]trip_summary_region!D141</f>
        <v>33</v>
      </c>
      <c r="E141">
        <f>[5]trip_summary_region!E141</f>
        <v>75</v>
      </c>
      <c r="F141">
        <f>[5]trip_summary_region!F141</f>
        <v>6.5596065067999998</v>
      </c>
      <c r="G141">
        <f>[5]trip_summary_region!G141</f>
        <v>0</v>
      </c>
      <c r="H141">
        <f>[5]trip_summary_region!H141</f>
        <v>1.865466879</v>
      </c>
      <c r="I141" t="str">
        <f>[5]trip_summary_region!I141</f>
        <v>Local Ferry</v>
      </c>
      <c r="J141" t="str">
        <f>[5]trip_summary_region!J141</f>
        <v>2042/43</v>
      </c>
    </row>
    <row r="142" spans="1:10" x14ac:dyDescent="0.25">
      <c r="A142" t="str">
        <f>[5]trip_summary_region!A142</f>
        <v>02 AUCKLAND</v>
      </c>
      <c r="B142">
        <f>[5]trip_summary_region!B142</f>
        <v>9</v>
      </c>
      <c r="C142">
        <f>[5]trip_summary_region!C142</f>
        <v>2013</v>
      </c>
      <c r="D142">
        <f>[5]trip_summary_region!D142</f>
        <v>21</v>
      </c>
      <c r="E142">
        <f>[5]trip_summary_region!E142</f>
        <v>52</v>
      </c>
      <c r="F142">
        <f>[5]trip_summary_region!F142</f>
        <v>2.2145179384000002</v>
      </c>
      <c r="G142">
        <f>[5]trip_summary_region!G142</f>
        <v>1.8241938706</v>
      </c>
      <c r="H142">
        <f>[5]trip_summary_region!H142</f>
        <v>2.4325058500000001</v>
      </c>
      <c r="I142" t="str">
        <f>[5]trip_summary_region!I142</f>
        <v>Other Household Travel</v>
      </c>
      <c r="J142" t="str">
        <f>[5]trip_summary_region!J142</f>
        <v>2012/13</v>
      </c>
    </row>
    <row r="143" spans="1:10" x14ac:dyDescent="0.25">
      <c r="A143" t="str">
        <f>[5]trip_summary_region!A143</f>
        <v>02 AUCKLAND</v>
      </c>
      <c r="B143">
        <f>[5]trip_summary_region!B143</f>
        <v>9</v>
      </c>
      <c r="C143">
        <f>[5]trip_summary_region!C143</f>
        <v>2018</v>
      </c>
      <c r="D143">
        <f>[5]trip_summary_region!D143</f>
        <v>21</v>
      </c>
      <c r="E143">
        <f>[5]trip_summary_region!E143</f>
        <v>52</v>
      </c>
      <c r="F143">
        <f>[5]trip_summary_region!F143</f>
        <v>2.4819497302000002</v>
      </c>
      <c r="G143">
        <f>[5]trip_summary_region!G143</f>
        <v>1.8142999209999999</v>
      </c>
      <c r="H143">
        <f>[5]trip_summary_region!H143</f>
        <v>2.8478125609</v>
      </c>
      <c r="I143" t="str">
        <f>[5]trip_summary_region!I143</f>
        <v>Other Household Travel</v>
      </c>
      <c r="J143" t="str">
        <f>[5]trip_summary_region!J143</f>
        <v>2017/18</v>
      </c>
    </row>
    <row r="144" spans="1:10" x14ac:dyDescent="0.25">
      <c r="A144" t="str">
        <f>[5]trip_summary_region!A144</f>
        <v>02 AUCKLAND</v>
      </c>
      <c r="B144">
        <f>[5]trip_summary_region!B144</f>
        <v>9</v>
      </c>
      <c r="C144">
        <f>[5]trip_summary_region!C144</f>
        <v>2023</v>
      </c>
      <c r="D144">
        <f>[5]trip_summary_region!D144</f>
        <v>21</v>
      </c>
      <c r="E144">
        <f>[5]trip_summary_region!E144</f>
        <v>52</v>
      </c>
      <c r="F144">
        <f>[5]trip_summary_region!F144</f>
        <v>2.6817686563000001</v>
      </c>
      <c r="G144">
        <f>[5]trip_summary_region!G144</f>
        <v>1.7346656834</v>
      </c>
      <c r="H144">
        <f>[5]trip_summary_region!H144</f>
        <v>3.0745168120000002</v>
      </c>
      <c r="I144" t="str">
        <f>[5]trip_summary_region!I144</f>
        <v>Other Household Travel</v>
      </c>
      <c r="J144" t="str">
        <f>[5]trip_summary_region!J144</f>
        <v>2022/23</v>
      </c>
    </row>
    <row r="145" spans="1:10" x14ac:dyDescent="0.25">
      <c r="A145" t="str">
        <f>[5]trip_summary_region!A145</f>
        <v>02 AUCKLAND</v>
      </c>
      <c r="B145">
        <f>[5]trip_summary_region!B145</f>
        <v>9</v>
      </c>
      <c r="C145">
        <f>[5]trip_summary_region!C145</f>
        <v>2028</v>
      </c>
      <c r="D145">
        <f>[5]trip_summary_region!D145</f>
        <v>21</v>
      </c>
      <c r="E145">
        <f>[5]trip_summary_region!E145</f>
        <v>52</v>
      </c>
      <c r="F145">
        <f>[5]trip_summary_region!F145</f>
        <v>2.8748728911999999</v>
      </c>
      <c r="G145">
        <f>[5]trip_summary_region!G145</f>
        <v>2.0092229745000001</v>
      </c>
      <c r="H145">
        <f>[5]trip_summary_region!H145</f>
        <v>3.1512956763000002</v>
      </c>
      <c r="I145" t="str">
        <f>[5]trip_summary_region!I145</f>
        <v>Other Household Travel</v>
      </c>
      <c r="J145" t="str">
        <f>[5]trip_summary_region!J145</f>
        <v>2027/28</v>
      </c>
    </row>
    <row r="146" spans="1:10" x14ac:dyDescent="0.25">
      <c r="A146" t="str">
        <f>[5]trip_summary_region!A146</f>
        <v>02 AUCKLAND</v>
      </c>
      <c r="B146">
        <f>[5]trip_summary_region!B146</f>
        <v>9</v>
      </c>
      <c r="C146">
        <f>[5]trip_summary_region!C146</f>
        <v>2033</v>
      </c>
      <c r="D146">
        <f>[5]trip_summary_region!D146</f>
        <v>21</v>
      </c>
      <c r="E146">
        <f>[5]trip_summary_region!E146</f>
        <v>52</v>
      </c>
      <c r="F146">
        <f>[5]trip_summary_region!F146</f>
        <v>3.0554872954999999</v>
      </c>
      <c r="G146">
        <f>[5]trip_summary_region!G146</f>
        <v>2.1640008936999999</v>
      </c>
      <c r="H146">
        <f>[5]trip_summary_region!H146</f>
        <v>3.2519987989999999</v>
      </c>
      <c r="I146" t="str">
        <f>[5]trip_summary_region!I146</f>
        <v>Other Household Travel</v>
      </c>
      <c r="J146" t="str">
        <f>[5]trip_summary_region!J146</f>
        <v>2032/33</v>
      </c>
    </row>
    <row r="147" spans="1:10" x14ac:dyDescent="0.25">
      <c r="A147" t="str">
        <f>[5]trip_summary_region!A147</f>
        <v>02 AUCKLAND</v>
      </c>
      <c r="B147">
        <f>[5]trip_summary_region!B147</f>
        <v>9</v>
      </c>
      <c r="C147">
        <f>[5]trip_summary_region!C147</f>
        <v>2038</v>
      </c>
      <c r="D147">
        <f>[5]trip_summary_region!D147</f>
        <v>21</v>
      </c>
      <c r="E147">
        <f>[5]trip_summary_region!E147</f>
        <v>52</v>
      </c>
      <c r="F147">
        <f>[5]trip_summary_region!F147</f>
        <v>3.2539136363000001</v>
      </c>
      <c r="G147">
        <f>[5]trip_summary_region!G147</f>
        <v>2.1748583427999999</v>
      </c>
      <c r="H147">
        <f>[5]trip_summary_region!H147</f>
        <v>3.4261473482000002</v>
      </c>
      <c r="I147" t="str">
        <f>[5]trip_summary_region!I147</f>
        <v>Other Household Travel</v>
      </c>
      <c r="J147" t="str">
        <f>[5]trip_summary_region!J147</f>
        <v>2037/38</v>
      </c>
    </row>
    <row r="148" spans="1:10" x14ac:dyDescent="0.25">
      <c r="A148" t="str">
        <f>[5]trip_summary_region!A148</f>
        <v>02 AUCKLAND</v>
      </c>
      <c r="B148">
        <f>[5]trip_summary_region!B148</f>
        <v>9</v>
      </c>
      <c r="C148">
        <f>[5]trip_summary_region!C148</f>
        <v>2043</v>
      </c>
      <c r="D148">
        <f>[5]trip_summary_region!D148</f>
        <v>21</v>
      </c>
      <c r="E148">
        <f>[5]trip_summary_region!E148</f>
        <v>52</v>
      </c>
      <c r="F148">
        <f>[5]trip_summary_region!F148</f>
        <v>3.4451786977999999</v>
      </c>
      <c r="G148">
        <f>[5]trip_summary_region!G148</f>
        <v>2.1361527591999998</v>
      </c>
      <c r="H148">
        <f>[5]trip_summary_region!H148</f>
        <v>3.5962620317999998</v>
      </c>
      <c r="I148" t="str">
        <f>[5]trip_summary_region!I148</f>
        <v>Other Household Travel</v>
      </c>
      <c r="J148" t="str">
        <f>[5]trip_summary_region!J148</f>
        <v>2042/43</v>
      </c>
    </row>
    <row r="149" spans="1:10" x14ac:dyDescent="0.25">
      <c r="A149" t="str">
        <f>[5]trip_summary_region!A149</f>
        <v>02 AUCKLAND</v>
      </c>
      <c r="B149">
        <f>[5]trip_summary_region!B149</f>
        <v>10</v>
      </c>
      <c r="C149">
        <f>[5]trip_summary_region!C149</f>
        <v>2013</v>
      </c>
      <c r="D149">
        <f>[5]trip_summary_region!D149</f>
        <v>46</v>
      </c>
      <c r="E149">
        <f>[5]trip_summary_region!E149</f>
        <v>52</v>
      </c>
      <c r="F149">
        <f>[5]trip_summary_region!F149</f>
        <v>2.8879196329000001</v>
      </c>
      <c r="G149">
        <f>[5]trip_summary_region!G149</f>
        <v>37.321781539</v>
      </c>
      <c r="H149">
        <f>[5]trip_summary_region!H149</f>
        <v>5.1213278228999997</v>
      </c>
      <c r="I149" t="str">
        <f>[5]trip_summary_region!I149</f>
        <v>Air/Non-Local PT</v>
      </c>
      <c r="J149" t="str">
        <f>[5]trip_summary_region!J149</f>
        <v>2012/13</v>
      </c>
    </row>
    <row r="150" spans="1:10" x14ac:dyDescent="0.25">
      <c r="A150" t="str">
        <f>[5]trip_summary_region!A150</f>
        <v>02 AUCKLAND</v>
      </c>
      <c r="B150">
        <f>[5]trip_summary_region!B150</f>
        <v>10</v>
      </c>
      <c r="C150">
        <f>[5]trip_summary_region!C150</f>
        <v>2018</v>
      </c>
      <c r="D150">
        <f>[5]trip_summary_region!D150</f>
        <v>46</v>
      </c>
      <c r="E150">
        <f>[5]trip_summary_region!E150</f>
        <v>52</v>
      </c>
      <c r="F150">
        <f>[5]trip_summary_region!F150</f>
        <v>3.6253390777000001</v>
      </c>
      <c r="G150">
        <f>[5]trip_summary_region!G150</f>
        <v>44.160615550999999</v>
      </c>
      <c r="H150">
        <f>[5]trip_summary_region!H150</f>
        <v>6.3644454560000003</v>
      </c>
      <c r="I150" t="str">
        <f>[5]trip_summary_region!I150</f>
        <v>Air/Non-Local PT</v>
      </c>
      <c r="J150" t="str">
        <f>[5]trip_summary_region!J150</f>
        <v>2017/18</v>
      </c>
    </row>
    <row r="151" spans="1:10" x14ac:dyDescent="0.25">
      <c r="A151" t="str">
        <f>[5]trip_summary_region!A151</f>
        <v>02 AUCKLAND</v>
      </c>
      <c r="B151">
        <f>[5]trip_summary_region!B151</f>
        <v>10</v>
      </c>
      <c r="C151">
        <f>[5]trip_summary_region!C151</f>
        <v>2023</v>
      </c>
      <c r="D151">
        <f>[5]trip_summary_region!D151</f>
        <v>46</v>
      </c>
      <c r="E151">
        <f>[5]trip_summary_region!E151</f>
        <v>52</v>
      </c>
      <c r="F151">
        <f>[5]trip_summary_region!F151</f>
        <v>4.1760120080999998</v>
      </c>
      <c r="G151">
        <f>[5]trip_summary_region!G151</f>
        <v>49.320631413000001</v>
      </c>
      <c r="H151">
        <f>[5]trip_summary_region!H151</f>
        <v>7.2648962681000002</v>
      </c>
      <c r="I151" t="str">
        <f>[5]trip_summary_region!I151</f>
        <v>Air/Non-Local PT</v>
      </c>
      <c r="J151" t="str">
        <f>[5]trip_summary_region!J151</f>
        <v>2022/23</v>
      </c>
    </row>
    <row r="152" spans="1:10" x14ac:dyDescent="0.25">
      <c r="A152" t="str">
        <f>[5]trip_summary_region!A152</f>
        <v>02 AUCKLAND</v>
      </c>
      <c r="B152">
        <f>[5]trip_summary_region!B152</f>
        <v>10</v>
      </c>
      <c r="C152">
        <f>[5]trip_summary_region!C152</f>
        <v>2028</v>
      </c>
      <c r="D152">
        <f>[5]trip_summary_region!D152</f>
        <v>46</v>
      </c>
      <c r="E152">
        <f>[5]trip_summary_region!E152</f>
        <v>52</v>
      </c>
      <c r="F152">
        <f>[5]trip_summary_region!F152</f>
        <v>4.6437226107000003</v>
      </c>
      <c r="G152">
        <f>[5]trip_summary_region!G152</f>
        <v>52.560538303000001</v>
      </c>
      <c r="H152">
        <f>[5]trip_summary_region!H152</f>
        <v>7.9932608074999996</v>
      </c>
      <c r="I152" t="str">
        <f>[5]trip_summary_region!I152</f>
        <v>Air/Non-Local PT</v>
      </c>
      <c r="J152" t="str">
        <f>[5]trip_summary_region!J152</f>
        <v>2027/28</v>
      </c>
    </row>
    <row r="153" spans="1:10" x14ac:dyDescent="0.25">
      <c r="A153" t="str">
        <f>[5]trip_summary_region!A153</f>
        <v>02 AUCKLAND</v>
      </c>
      <c r="B153">
        <f>[5]trip_summary_region!B153</f>
        <v>10</v>
      </c>
      <c r="C153">
        <f>[5]trip_summary_region!C153</f>
        <v>2033</v>
      </c>
      <c r="D153">
        <f>[5]trip_summary_region!D153</f>
        <v>46</v>
      </c>
      <c r="E153">
        <f>[5]trip_summary_region!E153</f>
        <v>52</v>
      </c>
      <c r="F153">
        <f>[5]trip_summary_region!F153</f>
        <v>5.1620605131000001</v>
      </c>
      <c r="G153">
        <f>[5]trip_summary_region!G153</f>
        <v>53.798778755999997</v>
      </c>
      <c r="H153">
        <f>[5]trip_summary_region!H153</f>
        <v>8.8351298600000003</v>
      </c>
      <c r="I153" t="str">
        <f>[5]trip_summary_region!I153</f>
        <v>Air/Non-Local PT</v>
      </c>
      <c r="J153" t="str">
        <f>[5]trip_summary_region!J153</f>
        <v>2032/33</v>
      </c>
    </row>
    <row r="154" spans="1:10" x14ac:dyDescent="0.25">
      <c r="A154" t="str">
        <f>[5]trip_summary_region!A154</f>
        <v>02 AUCKLAND</v>
      </c>
      <c r="B154">
        <f>[5]trip_summary_region!B154</f>
        <v>10</v>
      </c>
      <c r="C154">
        <f>[5]trip_summary_region!C154</f>
        <v>2038</v>
      </c>
      <c r="D154">
        <f>[5]trip_summary_region!D154</f>
        <v>46</v>
      </c>
      <c r="E154">
        <f>[5]trip_summary_region!E154</f>
        <v>52</v>
      </c>
      <c r="F154">
        <f>[5]trip_summary_region!F154</f>
        <v>5.7355815082000001</v>
      </c>
      <c r="G154">
        <f>[5]trip_summary_region!G154</f>
        <v>58.051037495000003</v>
      </c>
      <c r="H154">
        <f>[5]trip_summary_region!H154</f>
        <v>9.8244199163000001</v>
      </c>
      <c r="I154" t="str">
        <f>[5]trip_summary_region!I154</f>
        <v>Air/Non-Local PT</v>
      </c>
      <c r="J154" t="str">
        <f>[5]trip_summary_region!J154</f>
        <v>2037/38</v>
      </c>
    </row>
    <row r="155" spans="1:10" x14ac:dyDescent="0.25">
      <c r="A155" t="str">
        <f>[5]trip_summary_region!A155</f>
        <v>02 AUCKLAND</v>
      </c>
      <c r="B155">
        <f>[5]trip_summary_region!B155</f>
        <v>10</v>
      </c>
      <c r="C155">
        <f>[5]trip_summary_region!C155</f>
        <v>2043</v>
      </c>
      <c r="D155">
        <f>[5]trip_summary_region!D155</f>
        <v>46</v>
      </c>
      <c r="E155">
        <f>[5]trip_summary_region!E155</f>
        <v>52</v>
      </c>
      <c r="F155">
        <f>[5]trip_summary_region!F155</f>
        <v>6.3163954517000001</v>
      </c>
      <c r="G155">
        <f>[5]trip_summary_region!G155</f>
        <v>62.990539380999998</v>
      </c>
      <c r="H155">
        <f>[5]trip_summary_region!H155</f>
        <v>10.829211659</v>
      </c>
      <c r="I155" t="str">
        <f>[5]trip_summary_region!I155</f>
        <v>Air/Non-Local PT</v>
      </c>
      <c r="J155" t="str">
        <f>[5]trip_summary_region!J155</f>
        <v>2042/43</v>
      </c>
    </row>
    <row r="156" spans="1:10" x14ac:dyDescent="0.25">
      <c r="A156" t="str">
        <f>[5]trip_summary_region!A156</f>
        <v>02 AUCKLAND</v>
      </c>
      <c r="B156">
        <f>[5]trip_summary_region!B156</f>
        <v>11</v>
      </c>
      <c r="C156">
        <f>[5]trip_summary_region!C156</f>
        <v>2013</v>
      </c>
      <c r="D156">
        <f>[5]trip_summary_region!D156</f>
        <v>49</v>
      </c>
      <c r="E156">
        <f>[5]trip_summary_region!E156</f>
        <v>220</v>
      </c>
      <c r="F156">
        <f>[5]trip_summary_region!F156</f>
        <v>12.895006201999999</v>
      </c>
      <c r="G156">
        <f>[5]trip_summary_region!G156</f>
        <v>179.51641304</v>
      </c>
      <c r="H156">
        <f>[5]trip_summary_region!H156</f>
        <v>5.2074041506000004</v>
      </c>
      <c r="I156" t="str">
        <f>[5]trip_summary_region!I156</f>
        <v>Non-Household Travel</v>
      </c>
      <c r="J156" t="str">
        <f>[5]trip_summary_region!J156</f>
        <v>2012/13</v>
      </c>
    </row>
    <row r="157" spans="1:10" x14ac:dyDescent="0.25">
      <c r="A157" t="str">
        <f>[5]trip_summary_region!A157</f>
        <v>02 AUCKLAND</v>
      </c>
      <c r="B157">
        <f>[5]trip_summary_region!B157</f>
        <v>11</v>
      </c>
      <c r="C157">
        <f>[5]trip_summary_region!C157</f>
        <v>2018</v>
      </c>
      <c r="D157">
        <f>[5]trip_summary_region!D157</f>
        <v>49</v>
      </c>
      <c r="E157">
        <f>[5]trip_summary_region!E157</f>
        <v>220</v>
      </c>
      <c r="F157">
        <f>[5]trip_summary_region!F157</f>
        <v>14.269898961999999</v>
      </c>
      <c r="G157">
        <f>[5]trip_summary_region!G157</f>
        <v>195.53655961999999</v>
      </c>
      <c r="H157">
        <f>[5]trip_summary_region!H157</f>
        <v>5.7255063754000002</v>
      </c>
      <c r="I157" t="str">
        <f>[5]trip_summary_region!I157</f>
        <v>Non-Household Travel</v>
      </c>
      <c r="J157" t="str">
        <f>[5]trip_summary_region!J157</f>
        <v>2017/18</v>
      </c>
    </row>
    <row r="158" spans="1:10" x14ac:dyDescent="0.25">
      <c r="A158" t="str">
        <f>[5]trip_summary_region!A158</f>
        <v>02 AUCKLAND</v>
      </c>
      <c r="B158">
        <f>[5]trip_summary_region!B158</f>
        <v>11</v>
      </c>
      <c r="C158">
        <f>[5]trip_summary_region!C158</f>
        <v>2023</v>
      </c>
      <c r="D158">
        <f>[5]trip_summary_region!D158</f>
        <v>49</v>
      </c>
      <c r="E158">
        <f>[5]trip_summary_region!E158</f>
        <v>220</v>
      </c>
      <c r="F158">
        <f>[5]trip_summary_region!F158</f>
        <v>15.119972141</v>
      </c>
      <c r="G158">
        <f>[5]trip_summary_region!G158</f>
        <v>204.78646727</v>
      </c>
      <c r="H158">
        <f>[5]trip_summary_region!H158</f>
        <v>6.0185847973</v>
      </c>
      <c r="I158" t="str">
        <f>[5]trip_summary_region!I158</f>
        <v>Non-Household Travel</v>
      </c>
      <c r="J158" t="str">
        <f>[5]trip_summary_region!J158</f>
        <v>2022/23</v>
      </c>
    </row>
    <row r="159" spans="1:10" x14ac:dyDescent="0.25">
      <c r="A159" t="str">
        <f>[5]trip_summary_region!A159</f>
        <v>02 AUCKLAND</v>
      </c>
      <c r="B159">
        <f>[5]trip_summary_region!B159</f>
        <v>11</v>
      </c>
      <c r="C159">
        <f>[5]trip_summary_region!C159</f>
        <v>2028</v>
      </c>
      <c r="D159">
        <f>[5]trip_summary_region!D159</f>
        <v>49</v>
      </c>
      <c r="E159">
        <f>[5]trip_summary_region!E159</f>
        <v>220</v>
      </c>
      <c r="F159">
        <f>[5]trip_summary_region!F159</f>
        <v>15.606446252</v>
      </c>
      <c r="G159">
        <f>[5]trip_summary_region!G159</f>
        <v>208.93073869</v>
      </c>
      <c r="H159">
        <f>[5]trip_summary_region!H159</f>
        <v>6.1488959158999998</v>
      </c>
      <c r="I159" t="str">
        <f>[5]trip_summary_region!I159</f>
        <v>Non-Household Travel</v>
      </c>
      <c r="J159" t="str">
        <f>[5]trip_summary_region!J159</f>
        <v>2027/28</v>
      </c>
    </row>
    <row r="160" spans="1:10" x14ac:dyDescent="0.25">
      <c r="A160" t="str">
        <f>[5]trip_summary_region!A160</f>
        <v>02 AUCKLAND</v>
      </c>
      <c r="B160">
        <f>[5]trip_summary_region!B160</f>
        <v>11</v>
      </c>
      <c r="C160">
        <f>[5]trip_summary_region!C160</f>
        <v>2033</v>
      </c>
      <c r="D160">
        <f>[5]trip_summary_region!D160</f>
        <v>49</v>
      </c>
      <c r="E160">
        <f>[5]trip_summary_region!E160</f>
        <v>220</v>
      </c>
      <c r="F160">
        <f>[5]trip_summary_region!F160</f>
        <v>16.282557100999998</v>
      </c>
      <c r="G160">
        <f>[5]trip_summary_region!G160</f>
        <v>215.50164715</v>
      </c>
      <c r="H160">
        <f>[5]trip_summary_region!H160</f>
        <v>6.3807271770999998</v>
      </c>
      <c r="I160" t="str">
        <f>[5]trip_summary_region!I160</f>
        <v>Non-Household Travel</v>
      </c>
      <c r="J160" t="str">
        <f>[5]trip_summary_region!J160</f>
        <v>2032/33</v>
      </c>
    </row>
    <row r="161" spans="1:10" x14ac:dyDescent="0.25">
      <c r="A161" t="str">
        <f>[5]trip_summary_region!A161</f>
        <v>02 AUCKLAND</v>
      </c>
      <c r="B161">
        <f>[5]trip_summary_region!B161</f>
        <v>11</v>
      </c>
      <c r="C161">
        <f>[5]trip_summary_region!C161</f>
        <v>2038</v>
      </c>
      <c r="D161">
        <f>[5]trip_summary_region!D161</f>
        <v>49</v>
      </c>
      <c r="E161">
        <f>[5]trip_summary_region!E161</f>
        <v>220</v>
      </c>
      <c r="F161">
        <f>[5]trip_summary_region!F161</f>
        <v>17.176481280000001</v>
      </c>
      <c r="G161">
        <f>[5]trip_summary_region!G161</f>
        <v>225.52970877999999</v>
      </c>
      <c r="H161">
        <f>[5]trip_summary_region!H161</f>
        <v>6.7040282923000003</v>
      </c>
      <c r="I161" t="str">
        <f>[5]trip_summary_region!I161</f>
        <v>Non-Household Travel</v>
      </c>
      <c r="J161" t="str">
        <f>[5]trip_summary_region!J161</f>
        <v>2037/38</v>
      </c>
    </row>
    <row r="162" spans="1:10" x14ac:dyDescent="0.25">
      <c r="A162" t="str">
        <f>[5]trip_summary_region!A162</f>
        <v>02 AUCKLAND</v>
      </c>
      <c r="B162">
        <f>[5]trip_summary_region!B162</f>
        <v>11</v>
      </c>
      <c r="C162">
        <f>[5]trip_summary_region!C162</f>
        <v>2043</v>
      </c>
      <c r="D162">
        <f>[5]trip_summary_region!D162</f>
        <v>49</v>
      </c>
      <c r="E162">
        <f>[5]trip_summary_region!E162</f>
        <v>220</v>
      </c>
      <c r="F162">
        <f>[5]trip_summary_region!F162</f>
        <v>17.955841285000002</v>
      </c>
      <c r="G162">
        <f>[5]trip_summary_region!G162</f>
        <v>233.98925068</v>
      </c>
      <c r="H162">
        <f>[5]trip_summary_region!H162</f>
        <v>6.9875755765000003</v>
      </c>
      <c r="I162" t="str">
        <f>[5]trip_summary_region!I162</f>
        <v>Non-Household Travel</v>
      </c>
      <c r="J162" t="str">
        <f>[5]trip_summary_region!J162</f>
        <v>2042/43</v>
      </c>
    </row>
    <row r="163" spans="1:10" x14ac:dyDescent="0.25">
      <c r="A163" t="str">
        <f>[5]trip_summary_region!A163</f>
        <v>03 WAIKATO</v>
      </c>
      <c r="B163">
        <f>[5]trip_summary_region!B163</f>
        <v>0</v>
      </c>
      <c r="C163">
        <f>[5]trip_summary_region!C163</f>
        <v>2013</v>
      </c>
      <c r="D163">
        <f>[5]trip_summary_region!D163</f>
        <v>628</v>
      </c>
      <c r="E163">
        <f>[5]trip_summary_region!E163</f>
        <v>2089</v>
      </c>
      <c r="F163">
        <f>[5]trip_summary_region!F163</f>
        <v>68.689195601999998</v>
      </c>
      <c r="G163">
        <f>[5]trip_summary_region!G163</f>
        <v>52.675735545000002</v>
      </c>
      <c r="H163">
        <f>[5]trip_summary_region!H163</f>
        <v>13.69170819</v>
      </c>
      <c r="I163" t="str">
        <f>[5]trip_summary_region!I163</f>
        <v>Pedestrian</v>
      </c>
      <c r="J163" t="str">
        <f>[5]trip_summary_region!J163</f>
        <v>2012/13</v>
      </c>
    </row>
    <row r="164" spans="1:10" x14ac:dyDescent="0.25">
      <c r="A164" t="str">
        <f>[5]trip_summary_region!A164</f>
        <v>03 WAIKATO</v>
      </c>
      <c r="B164">
        <f>[5]trip_summary_region!B164</f>
        <v>0</v>
      </c>
      <c r="C164">
        <f>[5]trip_summary_region!C164</f>
        <v>2018</v>
      </c>
      <c r="D164">
        <f>[5]trip_summary_region!D164</f>
        <v>628</v>
      </c>
      <c r="E164">
        <f>[5]trip_summary_region!E164</f>
        <v>2089</v>
      </c>
      <c r="F164">
        <f>[5]trip_summary_region!F164</f>
        <v>72.506485991000005</v>
      </c>
      <c r="G164">
        <f>[5]trip_summary_region!G164</f>
        <v>55.406616696</v>
      </c>
      <c r="H164">
        <f>[5]trip_summary_region!H164</f>
        <v>14.357342766</v>
      </c>
      <c r="I164" t="str">
        <f>[5]trip_summary_region!I164</f>
        <v>Pedestrian</v>
      </c>
      <c r="J164" t="str">
        <f>[5]trip_summary_region!J164</f>
        <v>2017/18</v>
      </c>
    </row>
    <row r="165" spans="1:10" x14ac:dyDescent="0.25">
      <c r="A165" t="str">
        <f>[5]trip_summary_region!A165</f>
        <v>03 WAIKATO</v>
      </c>
      <c r="B165">
        <f>[5]trip_summary_region!B165</f>
        <v>0</v>
      </c>
      <c r="C165">
        <f>[5]trip_summary_region!C165</f>
        <v>2023</v>
      </c>
      <c r="D165">
        <f>[5]trip_summary_region!D165</f>
        <v>628</v>
      </c>
      <c r="E165">
        <f>[5]trip_summary_region!E165</f>
        <v>2089</v>
      </c>
      <c r="F165">
        <f>[5]trip_summary_region!F165</f>
        <v>74.751320499000002</v>
      </c>
      <c r="G165">
        <f>[5]trip_summary_region!G165</f>
        <v>57.085431043</v>
      </c>
      <c r="H165">
        <f>[5]trip_summary_region!H165</f>
        <v>14.771664960000001</v>
      </c>
      <c r="I165" t="str">
        <f>[5]trip_summary_region!I165</f>
        <v>Pedestrian</v>
      </c>
      <c r="J165" t="str">
        <f>[5]trip_summary_region!J165</f>
        <v>2022/23</v>
      </c>
    </row>
    <row r="166" spans="1:10" x14ac:dyDescent="0.25">
      <c r="A166" t="str">
        <f>[5]trip_summary_region!A166</f>
        <v>03 WAIKATO</v>
      </c>
      <c r="B166">
        <f>[5]trip_summary_region!B166</f>
        <v>0</v>
      </c>
      <c r="C166">
        <f>[5]trip_summary_region!C166</f>
        <v>2028</v>
      </c>
      <c r="D166">
        <f>[5]trip_summary_region!D166</f>
        <v>628</v>
      </c>
      <c r="E166">
        <f>[5]trip_summary_region!E166</f>
        <v>2089</v>
      </c>
      <c r="F166">
        <f>[5]trip_summary_region!F166</f>
        <v>76.641057734</v>
      </c>
      <c r="G166">
        <f>[5]trip_summary_region!G166</f>
        <v>58.031914768</v>
      </c>
      <c r="H166">
        <f>[5]trip_summary_region!H166</f>
        <v>14.987517242999999</v>
      </c>
      <c r="I166" t="str">
        <f>[5]trip_summary_region!I166</f>
        <v>Pedestrian</v>
      </c>
      <c r="J166" t="str">
        <f>[5]trip_summary_region!J166</f>
        <v>2027/28</v>
      </c>
    </row>
    <row r="167" spans="1:10" x14ac:dyDescent="0.25">
      <c r="A167" t="str">
        <f>[5]trip_summary_region!A167</f>
        <v>03 WAIKATO</v>
      </c>
      <c r="B167">
        <f>[5]trip_summary_region!B167</f>
        <v>0</v>
      </c>
      <c r="C167">
        <f>[5]trip_summary_region!C167</f>
        <v>2033</v>
      </c>
      <c r="D167">
        <f>[5]trip_summary_region!D167</f>
        <v>628</v>
      </c>
      <c r="E167">
        <f>[5]trip_summary_region!E167</f>
        <v>2089</v>
      </c>
      <c r="F167">
        <f>[5]trip_summary_region!F167</f>
        <v>77.794420815999999</v>
      </c>
      <c r="G167">
        <f>[5]trip_summary_region!G167</f>
        <v>58.309579812999999</v>
      </c>
      <c r="H167">
        <f>[5]trip_summary_region!H167</f>
        <v>15.066862043</v>
      </c>
      <c r="I167" t="str">
        <f>[5]trip_summary_region!I167</f>
        <v>Pedestrian</v>
      </c>
      <c r="J167" t="str">
        <f>[5]trip_summary_region!J167</f>
        <v>2032/33</v>
      </c>
    </row>
    <row r="168" spans="1:10" x14ac:dyDescent="0.25">
      <c r="A168" t="str">
        <f>[5]trip_summary_region!A168</f>
        <v>03 WAIKATO</v>
      </c>
      <c r="B168">
        <f>[5]trip_summary_region!B168</f>
        <v>0</v>
      </c>
      <c r="C168">
        <f>[5]trip_summary_region!C168</f>
        <v>2038</v>
      </c>
      <c r="D168">
        <f>[5]trip_summary_region!D168</f>
        <v>628</v>
      </c>
      <c r="E168">
        <f>[5]trip_summary_region!E168</f>
        <v>2089</v>
      </c>
      <c r="F168">
        <f>[5]trip_summary_region!F168</f>
        <v>78.090368112999997</v>
      </c>
      <c r="G168">
        <f>[5]trip_summary_region!G168</f>
        <v>58.300039781000002</v>
      </c>
      <c r="H168">
        <f>[5]trip_summary_region!H168</f>
        <v>15.025476077</v>
      </c>
      <c r="I168" t="str">
        <f>[5]trip_summary_region!I168</f>
        <v>Pedestrian</v>
      </c>
      <c r="J168" t="str">
        <f>[5]trip_summary_region!J168</f>
        <v>2037/38</v>
      </c>
    </row>
    <row r="169" spans="1:10" x14ac:dyDescent="0.25">
      <c r="A169" t="str">
        <f>[5]trip_summary_region!A169</f>
        <v>03 WAIKATO</v>
      </c>
      <c r="B169">
        <f>[5]trip_summary_region!B169</f>
        <v>0</v>
      </c>
      <c r="C169">
        <f>[5]trip_summary_region!C169</f>
        <v>2043</v>
      </c>
      <c r="D169">
        <f>[5]trip_summary_region!D169</f>
        <v>628</v>
      </c>
      <c r="E169">
        <f>[5]trip_summary_region!E169</f>
        <v>2089</v>
      </c>
      <c r="F169">
        <f>[5]trip_summary_region!F169</f>
        <v>78.092554774999996</v>
      </c>
      <c r="G169">
        <f>[5]trip_summary_region!G169</f>
        <v>58.104213882000003</v>
      </c>
      <c r="H169">
        <f>[5]trip_summary_region!H169</f>
        <v>14.928543499</v>
      </c>
      <c r="I169" t="str">
        <f>[5]trip_summary_region!I169</f>
        <v>Pedestrian</v>
      </c>
      <c r="J169" t="str">
        <f>[5]trip_summary_region!J169</f>
        <v>2042/43</v>
      </c>
    </row>
    <row r="170" spans="1:10" x14ac:dyDescent="0.25">
      <c r="A170" t="str">
        <f>[5]trip_summary_region!A170</f>
        <v>03 WAIKATO</v>
      </c>
      <c r="B170">
        <f>[5]trip_summary_region!B170</f>
        <v>1</v>
      </c>
      <c r="C170">
        <f>[5]trip_summary_region!C170</f>
        <v>2013</v>
      </c>
      <c r="D170">
        <f>[5]trip_summary_region!D170</f>
        <v>60</v>
      </c>
      <c r="E170">
        <f>[5]trip_summary_region!E170</f>
        <v>183</v>
      </c>
      <c r="F170">
        <f>[5]trip_summary_region!F170</f>
        <v>5.8956498267999997</v>
      </c>
      <c r="G170">
        <f>[5]trip_summary_region!G170</f>
        <v>21.829422874999999</v>
      </c>
      <c r="H170">
        <f>[5]trip_summary_region!H170</f>
        <v>1.7805943500000001</v>
      </c>
      <c r="I170" t="str">
        <f>[5]trip_summary_region!I170</f>
        <v>Cyclist</v>
      </c>
      <c r="J170" t="str">
        <f>[5]trip_summary_region!J170</f>
        <v>2012/13</v>
      </c>
    </row>
    <row r="171" spans="1:10" x14ac:dyDescent="0.25">
      <c r="A171" t="str">
        <f>[5]trip_summary_region!A171</f>
        <v>03 WAIKATO</v>
      </c>
      <c r="B171">
        <f>[5]trip_summary_region!B171</f>
        <v>1</v>
      </c>
      <c r="C171">
        <f>[5]trip_summary_region!C171</f>
        <v>2018</v>
      </c>
      <c r="D171">
        <f>[5]trip_summary_region!D171</f>
        <v>60</v>
      </c>
      <c r="E171">
        <f>[5]trip_summary_region!E171</f>
        <v>183</v>
      </c>
      <c r="F171">
        <f>[5]trip_summary_region!F171</f>
        <v>6.2103844125999998</v>
      </c>
      <c r="G171">
        <f>[5]trip_summary_region!G171</f>
        <v>22.705936718</v>
      </c>
      <c r="H171">
        <f>[5]trip_summary_region!H171</f>
        <v>1.8936220923</v>
      </c>
      <c r="I171" t="str">
        <f>[5]trip_summary_region!I171</f>
        <v>Cyclist</v>
      </c>
      <c r="J171" t="str">
        <f>[5]trip_summary_region!J171</f>
        <v>2017/18</v>
      </c>
    </row>
    <row r="172" spans="1:10" x14ac:dyDescent="0.25">
      <c r="A172" t="str">
        <f>[5]trip_summary_region!A172</f>
        <v>03 WAIKATO</v>
      </c>
      <c r="B172">
        <f>[5]trip_summary_region!B172</f>
        <v>1</v>
      </c>
      <c r="C172">
        <f>[5]trip_summary_region!C172</f>
        <v>2023</v>
      </c>
      <c r="D172">
        <f>[5]trip_summary_region!D172</f>
        <v>60</v>
      </c>
      <c r="E172">
        <f>[5]trip_summary_region!E172</f>
        <v>183</v>
      </c>
      <c r="F172">
        <f>[5]trip_summary_region!F172</f>
        <v>6.5298013027000001</v>
      </c>
      <c r="G172">
        <f>[5]trip_summary_region!G172</f>
        <v>23.418774751000001</v>
      </c>
      <c r="H172">
        <f>[5]trip_summary_region!H172</f>
        <v>1.9994453813999999</v>
      </c>
      <c r="I172" t="str">
        <f>[5]trip_summary_region!I172</f>
        <v>Cyclist</v>
      </c>
      <c r="J172" t="str">
        <f>[5]trip_summary_region!J172</f>
        <v>2022/23</v>
      </c>
    </row>
    <row r="173" spans="1:10" x14ac:dyDescent="0.25">
      <c r="A173" t="str">
        <f>[5]trip_summary_region!A173</f>
        <v>03 WAIKATO</v>
      </c>
      <c r="B173">
        <f>[5]trip_summary_region!B173</f>
        <v>1</v>
      </c>
      <c r="C173">
        <f>[5]trip_summary_region!C173</f>
        <v>2028</v>
      </c>
      <c r="D173">
        <f>[5]trip_summary_region!D173</f>
        <v>60</v>
      </c>
      <c r="E173">
        <f>[5]trip_summary_region!E173</f>
        <v>183</v>
      </c>
      <c r="F173">
        <f>[5]trip_summary_region!F173</f>
        <v>6.7146378758000003</v>
      </c>
      <c r="G173">
        <f>[5]trip_summary_region!G173</f>
        <v>23.612433871</v>
      </c>
      <c r="H173">
        <f>[5]trip_summary_region!H173</f>
        <v>2.0528644739000002</v>
      </c>
      <c r="I173" t="str">
        <f>[5]trip_summary_region!I173</f>
        <v>Cyclist</v>
      </c>
      <c r="J173" t="str">
        <f>[5]trip_summary_region!J173</f>
        <v>2027/28</v>
      </c>
    </row>
    <row r="174" spans="1:10" x14ac:dyDescent="0.25">
      <c r="A174" t="str">
        <f>[5]trip_summary_region!A174</f>
        <v>03 WAIKATO</v>
      </c>
      <c r="B174">
        <f>[5]trip_summary_region!B174</f>
        <v>1</v>
      </c>
      <c r="C174">
        <f>[5]trip_summary_region!C174</f>
        <v>2033</v>
      </c>
      <c r="D174">
        <f>[5]trip_summary_region!D174</f>
        <v>60</v>
      </c>
      <c r="E174">
        <f>[5]trip_summary_region!E174</f>
        <v>183</v>
      </c>
      <c r="F174">
        <f>[5]trip_summary_region!F174</f>
        <v>6.9362837576</v>
      </c>
      <c r="G174">
        <f>[5]trip_summary_region!G174</f>
        <v>23.862754649999999</v>
      </c>
      <c r="H174">
        <f>[5]trip_summary_region!H174</f>
        <v>2.1156244746000001</v>
      </c>
      <c r="I174" t="str">
        <f>[5]trip_summary_region!I174</f>
        <v>Cyclist</v>
      </c>
      <c r="J174" t="str">
        <f>[5]trip_summary_region!J174</f>
        <v>2032/33</v>
      </c>
    </row>
    <row r="175" spans="1:10" x14ac:dyDescent="0.25">
      <c r="A175" t="str">
        <f>[5]trip_summary_region!A175</f>
        <v>03 WAIKATO</v>
      </c>
      <c r="B175">
        <f>[5]trip_summary_region!B175</f>
        <v>1</v>
      </c>
      <c r="C175">
        <f>[5]trip_summary_region!C175</f>
        <v>2038</v>
      </c>
      <c r="D175">
        <f>[5]trip_summary_region!D175</f>
        <v>60</v>
      </c>
      <c r="E175">
        <f>[5]trip_summary_region!E175</f>
        <v>183</v>
      </c>
      <c r="F175">
        <f>[5]trip_summary_region!F175</f>
        <v>7.2248806103999996</v>
      </c>
      <c r="G175">
        <f>[5]trip_summary_region!G175</f>
        <v>24.122131498000002</v>
      </c>
      <c r="H175">
        <f>[5]trip_summary_region!H175</f>
        <v>2.2083565195000001</v>
      </c>
      <c r="I175" t="str">
        <f>[5]trip_summary_region!I175</f>
        <v>Cyclist</v>
      </c>
      <c r="J175" t="str">
        <f>[5]trip_summary_region!J175</f>
        <v>2037/38</v>
      </c>
    </row>
    <row r="176" spans="1:10" x14ac:dyDescent="0.25">
      <c r="A176" t="str">
        <f>[5]trip_summary_region!A176</f>
        <v>03 WAIKATO</v>
      </c>
      <c r="B176">
        <f>[5]trip_summary_region!B176</f>
        <v>1</v>
      </c>
      <c r="C176">
        <f>[5]trip_summary_region!C176</f>
        <v>2043</v>
      </c>
      <c r="D176">
        <f>[5]trip_summary_region!D176</f>
        <v>60</v>
      </c>
      <c r="E176">
        <f>[5]trip_summary_region!E176</f>
        <v>183</v>
      </c>
      <c r="F176">
        <f>[5]trip_summary_region!F176</f>
        <v>7.5234553713999999</v>
      </c>
      <c r="G176">
        <f>[5]trip_summary_region!G176</f>
        <v>24.277213420999999</v>
      </c>
      <c r="H176">
        <f>[5]trip_summary_region!H176</f>
        <v>2.3056362991000001</v>
      </c>
      <c r="I176" t="str">
        <f>[5]trip_summary_region!I176</f>
        <v>Cyclist</v>
      </c>
      <c r="J176" t="str">
        <f>[5]trip_summary_region!J176</f>
        <v>2042/43</v>
      </c>
    </row>
    <row r="177" spans="1:10" x14ac:dyDescent="0.25">
      <c r="A177" t="str">
        <f>[5]trip_summary_region!A177</f>
        <v>03 WAIKATO</v>
      </c>
      <c r="B177">
        <f>[5]trip_summary_region!B177</f>
        <v>2</v>
      </c>
      <c r="C177">
        <f>[5]trip_summary_region!C177</f>
        <v>2013</v>
      </c>
      <c r="D177">
        <f>[5]trip_summary_region!D177</f>
        <v>1302</v>
      </c>
      <c r="E177">
        <f>[5]trip_summary_region!E177</f>
        <v>9074</v>
      </c>
      <c r="F177">
        <f>[5]trip_summary_region!F177</f>
        <v>305.41478153000003</v>
      </c>
      <c r="G177">
        <f>[5]trip_summary_region!G177</f>
        <v>3709.9843593000001</v>
      </c>
      <c r="H177">
        <f>[5]trip_summary_region!H177</f>
        <v>82.274552721999996</v>
      </c>
      <c r="I177" t="str">
        <f>[5]trip_summary_region!I177</f>
        <v>Light Vehicle Driver</v>
      </c>
      <c r="J177" t="str">
        <f>[5]trip_summary_region!J177</f>
        <v>2012/13</v>
      </c>
    </row>
    <row r="178" spans="1:10" x14ac:dyDescent="0.25">
      <c r="A178" t="str">
        <f>[5]trip_summary_region!A178</f>
        <v>03 WAIKATO</v>
      </c>
      <c r="B178">
        <f>[5]trip_summary_region!B178</f>
        <v>2</v>
      </c>
      <c r="C178">
        <f>[5]trip_summary_region!C178</f>
        <v>2018</v>
      </c>
      <c r="D178">
        <f>[5]trip_summary_region!D178</f>
        <v>1302</v>
      </c>
      <c r="E178">
        <f>[5]trip_summary_region!E178</f>
        <v>9074</v>
      </c>
      <c r="F178">
        <f>[5]trip_summary_region!F178</f>
        <v>331.15084179000002</v>
      </c>
      <c r="G178">
        <f>[5]trip_summary_region!G178</f>
        <v>4013.2956181999998</v>
      </c>
      <c r="H178">
        <f>[5]trip_summary_region!H178</f>
        <v>89.121473596000001</v>
      </c>
      <c r="I178" t="str">
        <f>[5]trip_summary_region!I178</f>
        <v>Light Vehicle Driver</v>
      </c>
      <c r="J178" t="str">
        <f>[5]trip_summary_region!J178</f>
        <v>2017/18</v>
      </c>
    </row>
    <row r="179" spans="1:10" x14ac:dyDescent="0.25">
      <c r="A179" t="str">
        <f>[5]trip_summary_region!A179</f>
        <v>03 WAIKATO</v>
      </c>
      <c r="B179">
        <f>[5]trip_summary_region!B179</f>
        <v>2</v>
      </c>
      <c r="C179">
        <f>[5]trip_summary_region!C179</f>
        <v>2023</v>
      </c>
      <c r="D179">
        <f>[5]trip_summary_region!D179</f>
        <v>1302</v>
      </c>
      <c r="E179">
        <f>[5]trip_summary_region!E179</f>
        <v>9074</v>
      </c>
      <c r="F179">
        <f>[5]trip_summary_region!F179</f>
        <v>346.18657646000003</v>
      </c>
      <c r="G179">
        <f>[5]trip_summary_region!G179</f>
        <v>4195.2758505000002</v>
      </c>
      <c r="H179">
        <f>[5]trip_summary_region!H179</f>
        <v>93.102029618000003</v>
      </c>
      <c r="I179" t="str">
        <f>[5]trip_summary_region!I179</f>
        <v>Light Vehicle Driver</v>
      </c>
      <c r="J179" t="str">
        <f>[5]trip_summary_region!J179</f>
        <v>2022/23</v>
      </c>
    </row>
    <row r="180" spans="1:10" x14ac:dyDescent="0.25">
      <c r="A180" t="str">
        <f>[5]trip_summary_region!A180</f>
        <v>03 WAIKATO</v>
      </c>
      <c r="B180">
        <f>[5]trip_summary_region!B180</f>
        <v>2</v>
      </c>
      <c r="C180">
        <f>[5]trip_summary_region!C180</f>
        <v>2028</v>
      </c>
      <c r="D180">
        <f>[5]trip_summary_region!D180</f>
        <v>1302</v>
      </c>
      <c r="E180">
        <f>[5]trip_summary_region!E180</f>
        <v>9074</v>
      </c>
      <c r="F180">
        <f>[5]trip_summary_region!F180</f>
        <v>362.39235446999999</v>
      </c>
      <c r="G180">
        <f>[5]trip_summary_region!G180</f>
        <v>4390.7886171999999</v>
      </c>
      <c r="H180">
        <f>[5]trip_summary_region!H180</f>
        <v>97.391877526000002</v>
      </c>
      <c r="I180" t="str">
        <f>[5]trip_summary_region!I180</f>
        <v>Light Vehicle Driver</v>
      </c>
      <c r="J180" t="str">
        <f>[5]trip_summary_region!J180</f>
        <v>2027/28</v>
      </c>
    </row>
    <row r="181" spans="1:10" x14ac:dyDescent="0.25">
      <c r="A181" t="str">
        <f>[5]trip_summary_region!A181</f>
        <v>03 WAIKATO</v>
      </c>
      <c r="B181">
        <f>[5]trip_summary_region!B181</f>
        <v>2</v>
      </c>
      <c r="C181">
        <f>[5]trip_summary_region!C181</f>
        <v>2033</v>
      </c>
      <c r="D181">
        <f>[5]trip_summary_region!D181</f>
        <v>1302</v>
      </c>
      <c r="E181">
        <f>[5]trip_summary_region!E181</f>
        <v>9074</v>
      </c>
      <c r="F181">
        <f>[5]trip_summary_region!F181</f>
        <v>376.69663960000003</v>
      </c>
      <c r="G181">
        <f>[5]trip_summary_region!G181</f>
        <v>4562.0400353000005</v>
      </c>
      <c r="H181">
        <f>[5]trip_summary_region!H181</f>
        <v>101.12728018</v>
      </c>
      <c r="I181" t="str">
        <f>[5]trip_summary_region!I181</f>
        <v>Light Vehicle Driver</v>
      </c>
      <c r="J181" t="str">
        <f>[5]trip_summary_region!J181</f>
        <v>2032/33</v>
      </c>
    </row>
    <row r="182" spans="1:10" x14ac:dyDescent="0.25">
      <c r="A182" t="str">
        <f>[5]trip_summary_region!A182</f>
        <v>03 WAIKATO</v>
      </c>
      <c r="B182">
        <f>[5]trip_summary_region!B182</f>
        <v>2</v>
      </c>
      <c r="C182">
        <f>[5]trip_summary_region!C182</f>
        <v>2038</v>
      </c>
      <c r="D182">
        <f>[5]trip_summary_region!D182</f>
        <v>1302</v>
      </c>
      <c r="E182">
        <f>[5]trip_summary_region!E182</f>
        <v>9074</v>
      </c>
      <c r="F182">
        <f>[5]trip_summary_region!F182</f>
        <v>386.07724008000002</v>
      </c>
      <c r="G182">
        <f>[5]trip_summary_region!G182</f>
        <v>4675.8292522000002</v>
      </c>
      <c r="H182">
        <f>[5]trip_summary_region!H182</f>
        <v>103.5606624</v>
      </c>
      <c r="I182" t="str">
        <f>[5]trip_summary_region!I182</f>
        <v>Light Vehicle Driver</v>
      </c>
      <c r="J182" t="str">
        <f>[5]trip_summary_region!J182</f>
        <v>2037/38</v>
      </c>
    </row>
    <row r="183" spans="1:10" x14ac:dyDescent="0.25">
      <c r="A183" t="str">
        <f>[5]trip_summary_region!A183</f>
        <v>03 WAIKATO</v>
      </c>
      <c r="B183">
        <f>[5]trip_summary_region!B183</f>
        <v>2</v>
      </c>
      <c r="C183">
        <f>[5]trip_summary_region!C183</f>
        <v>2043</v>
      </c>
      <c r="D183">
        <f>[5]trip_summary_region!D183</f>
        <v>1302</v>
      </c>
      <c r="E183">
        <f>[5]trip_summary_region!E183</f>
        <v>9074</v>
      </c>
      <c r="F183">
        <f>[5]trip_summary_region!F183</f>
        <v>393.77809801000001</v>
      </c>
      <c r="G183">
        <f>[5]trip_summary_region!G183</f>
        <v>4768.8117980999996</v>
      </c>
      <c r="H183">
        <f>[5]trip_summary_region!H183</f>
        <v>105.54500254</v>
      </c>
      <c r="I183" t="str">
        <f>[5]trip_summary_region!I183</f>
        <v>Light Vehicle Driver</v>
      </c>
      <c r="J183" t="str">
        <f>[5]trip_summary_region!J183</f>
        <v>2042/43</v>
      </c>
    </row>
    <row r="184" spans="1:10" x14ac:dyDescent="0.25">
      <c r="A184" t="str">
        <f>[5]trip_summary_region!A184</f>
        <v>03 WAIKATO</v>
      </c>
      <c r="B184">
        <f>[5]trip_summary_region!B184</f>
        <v>3</v>
      </c>
      <c r="C184">
        <f>[5]trip_summary_region!C184</f>
        <v>2013</v>
      </c>
      <c r="D184">
        <f>[5]trip_summary_region!D184</f>
        <v>931</v>
      </c>
      <c r="E184">
        <f>[5]trip_summary_region!E184</f>
        <v>4349</v>
      </c>
      <c r="F184">
        <f>[5]trip_summary_region!F184</f>
        <v>139.07206360000001</v>
      </c>
      <c r="G184">
        <f>[5]trip_summary_region!G184</f>
        <v>1955.0668243</v>
      </c>
      <c r="H184">
        <f>[5]trip_summary_region!H184</f>
        <v>42.037273755000001</v>
      </c>
      <c r="I184" t="str">
        <f>[5]trip_summary_region!I184</f>
        <v>Light Vehicle Passenger</v>
      </c>
      <c r="J184" t="str">
        <f>[5]trip_summary_region!J184</f>
        <v>2012/13</v>
      </c>
    </row>
    <row r="185" spans="1:10" x14ac:dyDescent="0.25">
      <c r="A185" t="str">
        <f>[5]trip_summary_region!A185</f>
        <v>03 WAIKATO</v>
      </c>
      <c r="B185">
        <f>[5]trip_summary_region!B185</f>
        <v>3</v>
      </c>
      <c r="C185">
        <f>[5]trip_summary_region!C185</f>
        <v>2018</v>
      </c>
      <c r="D185">
        <f>[5]trip_summary_region!D185</f>
        <v>931</v>
      </c>
      <c r="E185">
        <f>[5]trip_summary_region!E185</f>
        <v>4349</v>
      </c>
      <c r="F185">
        <f>[5]trip_summary_region!F185</f>
        <v>142.73073375999999</v>
      </c>
      <c r="G185">
        <f>[5]trip_summary_region!G185</f>
        <v>2041.696876</v>
      </c>
      <c r="H185">
        <f>[5]trip_summary_region!H185</f>
        <v>43.693956821999997</v>
      </c>
      <c r="I185" t="str">
        <f>[5]trip_summary_region!I185</f>
        <v>Light Vehicle Passenger</v>
      </c>
      <c r="J185" t="str">
        <f>[5]trip_summary_region!J185</f>
        <v>2017/18</v>
      </c>
    </row>
    <row r="186" spans="1:10" x14ac:dyDescent="0.25">
      <c r="A186" t="str">
        <f>[5]trip_summary_region!A186</f>
        <v>03 WAIKATO</v>
      </c>
      <c r="B186">
        <f>[5]trip_summary_region!B186</f>
        <v>3</v>
      </c>
      <c r="C186">
        <f>[5]trip_summary_region!C186</f>
        <v>2023</v>
      </c>
      <c r="D186">
        <f>[5]trip_summary_region!D186</f>
        <v>931</v>
      </c>
      <c r="E186">
        <f>[5]trip_summary_region!E186</f>
        <v>4349</v>
      </c>
      <c r="F186">
        <f>[5]trip_summary_region!F186</f>
        <v>144.55903326000001</v>
      </c>
      <c r="G186">
        <f>[5]trip_summary_region!G186</f>
        <v>2086.5942933000001</v>
      </c>
      <c r="H186">
        <f>[5]trip_summary_region!H186</f>
        <v>44.554208862000003</v>
      </c>
      <c r="I186" t="str">
        <f>[5]trip_summary_region!I186</f>
        <v>Light Vehicle Passenger</v>
      </c>
      <c r="J186" t="str">
        <f>[5]trip_summary_region!J186</f>
        <v>2022/23</v>
      </c>
    </row>
    <row r="187" spans="1:10" x14ac:dyDescent="0.25">
      <c r="A187" t="str">
        <f>[5]trip_summary_region!A187</f>
        <v>03 WAIKATO</v>
      </c>
      <c r="B187">
        <f>[5]trip_summary_region!B187</f>
        <v>3</v>
      </c>
      <c r="C187">
        <f>[5]trip_summary_region!C187</f>
        <v>2028</v>
      </c>
      <c r="D187">
        <f>[5]trip_summary_region!D187</f>
        <v>931</v>
      </c>
      <c r="E187">
        <f>[5]trip_summary_region!E187</f>
        <v>4349</v>
      </c>
      <c r="F187">
        <f>[5]trip_summary_region!F187</f>
        <v>145.90861473000001</v>
      </c>
      <c r="G187">
        <f>[5]trip_summary_region!G187</f>
        <v>2121.4940228999999</v>
      </c>
      <c r="H187">
        <f>[5]trip_summary_region!H187</f>
        <v>45.221079297999999</v>
      </c>
      <c r="I187" t="str">
        <f>[5]trip_summary_region!I187</f>
        <v>Light Vehicle Passenger</v>
      </c>
      <c r="J187" t="str">
        <f>[5]trip_summary_region!J187</f>
        <v>2027/28</v>
      </c>
    </row>
    <row r="188" spans="1:10" x14ac:dyDescent="0.25">
      <c r="A188" t="str">
        <f>[5]trip_summary_region!A188</f>
        <v>03 WAIKATO</v>
      </c>
      <c r="B188">
        <f>[5]trip_summary_region!B188</f>
        <v>3</v>
      </c>
      <c r="C188">
        <f>[5]trip_summary_region!C188</f>
        <v>2033</v>
      </c>
      <c r="D188">
        <f>[5]trip_summary_region!D188</f>
        <v>931</v>
      </c>
      <c r="E188">
        <f>[5]trip_summary_region!E188</f>
        <v>4349</v>
      </c>
      <c r="F188">
        <f>[5]trip_summary_region!F188</f>
        <v>147.55463560999999</v>
      </c>
      <c r="G188">
        <f>[5]trip_summary_region!G188</f>
        <v>2156.5981864</v>
      </c>
      <c r="H188">
        <f>[5]trip_summary_region!H188</f>
        <v>45.901635280999997</v>
      </c>
      <c r="I188" t="str">
        <f>[5]trip_summary_region!I188</f>
        <v>Light Vehicle Passenger</v>
      </c>
      <c r="J188" t="str">
        <f>[5]trip_summary_region!J188</f>
        <v>2032/33</v>
      </c>
    </row>
    <row r="189" spans="1:10" x14ac:dyDescent="0.25">
      <c r="A189" t="str">
        <f>[5]trip_summary_region!A189</f>
        <v>03 WAIKATO</v>
      </c>
      <c r="B189">
        <f>[5]trip_summary_region!B189</f>
        <v>3</v>
      </c>
      <c r="C189">
        <f>[5]trip_summary_region!C189</f>
        <v>2038</v>
      </c>
      <c r="D189">
        <f>[5]trip_summary_region!D189</f>
        <v>931</v>
      </c>
      <c r="E189">
        <f>[5]trip_summary_region!E189</f>
        <v>4349</v>
      </c>
      <c r="F189">
        <f>[5]trip_summary_region!F189</f>
        <v>147.76696043999999</v>
      </c>
      <c r="G189">
        <f>[5]trip_summary_region!G189</f>
        <v>2167.1804321999998</v>
      </c>
      <c r="H189">
        <f>[5]trip_summary_region!H189</f>
        <v>46.086564989000003</v>
      </c>
      <c r="I189" t="str">
        <f>[5]trip_summary_region!I189</f>
        <v>Light Vehicle Passenger</v>
      </c>
      <c r="J189" t="str">
        <f>[5]trip_summary_region!J189</f>
        <v>2037/38</v>
      </c>
    </row>
    <row r="190" spans="1:10" x14ac:dyDescent="0.25">
      <c r="A190" t="str">
        <f>[5]trip_summary_region!A190</f>
        <v>03 WAIKATO</v>
      </c>
      <c r="B190">
        <f>[5]trip_summary_region!B190</f>
        <v>3</v>
      </c>
      <c r="C190">
        <f>[5]trip_summary_region!C190</f>
        <v>2043</v>
      </c>
      <c r="D190">
        <f>[5]trip_summary_region!D190</f>
        <v>931</v>
      </c>
      <c r="E190">
        <f>[5]trip_summary_region!E190</f>
        <v>4349</v>
      </c>
      <c r="F190">
        <f>[5]trip_summary_region!F190</f>
        <v>147.05574106</v>
      </c>
      <c r="G190">
        <f>[5]trip_summary_region!G190</f>
        <v>2163.1720759999998</v>
      </c>
      <c r="H190">
        <f>[5]trip_summary_region!H190</f>
        <v>45.972284184000003</v>
      </c>
      <c r="I190" t="str">
        <f>[5]trip_summary_region!I190</f>
        <v>Light Vehicle Passenger</v>
      </c>
      <c r="J190" t="str">
        <f>[5]trip_summary_region!J190</f>
        <v>2042/43</v>
      </c>
    </row>
    <row r="191" spans="1:10" x14ac:dyDescent="0.25">
      <c r="A191" t="str">
        <f>[5]trip_summary_region!A191</f>
        <v>03 WAIKATO</v>
      </c>
      <c r="B191">
        <f>[5]trip_summary_region!B191</f>
        <v>4</v>
      </c>
      <c r="C191">
        <f>[5]trip_summary_region!C191</f>
        <v>2013</v>
      </c>
      <c r="D191">
        <f>[5]trip_summary_region!D191</f>
        <v>13</v>
      </c>
      <c r="E191">
        <f>[5]trip_summary_region!E191</f>
        <v>20</v>
      </c>
      <c r="F191">
        <f>[5]trip_summary_region!F191</f>
        <v>0.69122996950000004</v>
      </c>
      <c r="G191">
        <f>[5]trip_summary_region!G191</f>
        <v>2.4426175743999998</v>
      </c>
      <c r="H191">
        <f>[5]trip_summary_region!H191</f>
        <v>0.1633822556</v>
      </c>
      <c r="I191" t="s">
        <v>116</v>
      </c>
      <c r="J191" t="str">
        <f>[5]trip_summary_region!J191</f>
        <v>2012/13</v>
      </c>
    </row>
    <row r="192" spans="1:10" x14ac:dyDescent="0.25">
      <c r="A192" t="str">
        <f>[5]trip_summary_region!A192</f>
        <v>03 WAIKATO</v>
      </c>
      <c r="B192">
        <f>[5]trip_summary_region!B192</f>
        <v>4</v>
      </c>
      <c r="C192">
        <f>[5]trip_summary_region!C192</f>
        <v>2018</v>
      </c>
      <c r="D192">
        <f>[5]trip_summary_region!D192</f>
        <v>13</v>
      </c>
      <c r="E192">
        <f>[5]trip_summary_region!E192</f>
        <v>20</v>
      </c>
      <c r="F192">
        <f>[5]trip_summary_region!F192</f>
        <v>0.8158209126</v>
      </c>
      <c r="G192">
        <f>[5]trip_summary_region!G192</f>
        <v>2.991471953</v>
      </c>
      <c r="H192">
        <f>[5]trip_summary_region!H192</f>
        <v>0.1956792976</v>
      </c>
      <c r="I192" t="s">
        <v>116</v>
      </c>
      <c r="J192" t="str">
        <f>[5]trip_summary_region!J192</f>
        <v>2017/18</v>
      </c>
    </row>
    <row r="193" spans="1:10" x14ac:dyDescent="0.25">
      <c r="A193" t="str">
        <f>[5]trip_summary_region!A193</f>
        <v>03 WAIKATO</v>
      </c>
      <c r="B193">
        <f>[5]trip_summary_region!B193</f>
        <v>4</v>
      </c>
      <c r="C193">
        <f>[5]trip_summary_region!C193</f>
        <v>2023</v>
      </c>
      <c r="D193">
        <f>[5]trip_summary_region!D193</f>
        <v>13</v>
      </c>
      <c r="E193">
        <f>[5]trip_summary_region!E193</f>
        <v>20</v>
      </c>
      <c r="F193">
        <f>[5]trip_summary_region!F193</f>
        <v>0.89022969669999996</v>
      </c>
      <c r="G193">
        <f>[5]trip_summary_region!G193</f>
        <v>3.3637285608999998</v>
      </c>
      <c r="H193">
        <f>[5]trip_summary_region!H193</f>
        <v>0.21635814959999999</v>
      </c>
      <c r="I193" t="s">
        <v>116</v>
      </c>
      <c r="J193" t="str">
        <f>[5]trip_summary_region!J193</f>
        <v>2022/23</v>
      </c>
    </row>
    <row r="194" spans="1:10" x14ac:dyDescent="0.25">
      <c r="A194" t="str">
        <f>[5]trip_summary_region!A194</f>
        <v>03 WAIKATO</v>
      </c>
      <c r="B194">
        <f>[5]trip_summary_region!B194</f>
        <v>4</v>
      </c>
      <c r="C194">
        <f>[5]trip_summary_region!C194</f>
        <v>2028</v>
      </c>
      <c r="D194">
        <f>[5]trip_summary_region!D194</f>
        <v>13</v>
      </c>
      <c r="E194">
        <f>[5]trip_summary_region!E194</f>
        <v>20</v>
      </c>
      <c r="F194">
        <f>[5]trip_summary_region!F194</f>
        <v>0.93777434879999999</v>
      </c>
      <c r="G194">
        <f>[5]trip_summary_region!G194</f>
        <v>3.6855221157</v>
      </c>
      <c r="H194">
        <f>[5]trip_summary_region!H194</f>
        <v>0.23283442109999999</v>
      </c>
      <c r="I194" t="s">
        <v>116</v>
      </c>
      <c r="J194" t="str">
        <f>[5]trip_summary_region!J194</f>
        <v>2027/28</v>
      </c>
    </row>
    <row r="195" spans="1:10" x14ac:dyDescent="0.25">
      <c r="A195" t="str">
        <f>[5]trip_summary_region!A195</f>
        <v>03 WAIKATO</v>
      </c>
      <c r="B195">
        <f>[5]trip_summary_region!B195</f>
        <v>4</v>
      </c>
      <c r="C195">
        <f>[5]trip_summary_region!C195</f>
        <v>2033</v>
      </c>
      <c r="D195">
        <f>[5]trip_summary_region!D195</f>
        <v>13</v>
      </c>
      <c r="E195">
        <f>[5]trip_summary_region!E195</f>
        <v>20</v>
      </c>
      <c r="F195">
        <f>[5]trip_summary_region!F195</f>
        <v>0.97002382279999999</v>
      </c>
      <c r="G195">
        <f>[5]trip_summary_region!G195</f>
        <v>3.9306320826999999</v>
      </c>
      <c r="H195">
        <f>[5]trip_summary_region!H195</f>
        <v>0.2445269313</v>
      </c>
      <c r="I195" t="s">
        <v>116</v>
      </c>
      <c r="J195" t="str">
        <f>[5]trip_summary_region!J195</f>
        <v>2032/33</v>
      </c>
    </row>
    <row r="196" spans="1:10" x14ac:dyDescent="0.25">
      <c r="A196" t="str">
        <f>[5]trip_summary_region!A196</f>
        <v>03 WAIKATO</v>
      </c>
      <c r="B196">
        <f>[5]trip_summary_region!B196</f>
        <v>4</v>
      </c>
      <c r="C196">
        <f>[5]trip_summary_region!C196</f>
        <v>2038</v>
      </c>
      <c r="D196">
        <f>[5]trip_summary_region!D196</f>
        <v>13</v>
      </c>
      <c r="E196">
        <f>[5]trip_summary_region!E196</f>
        <v>20</v>
      </c>
      <c r="F196">
        <f>[5]trip_summary_region!F196</f>
        <v>0.97440302649999999</v>
      </c>
      <c r="G196">
        <f>[5]trip_summary_region!G196</f>
        <v>4.0521869135999999</v>
      </c>
      <c r="H196">
        <f>[5]trip_summary_region!H196</f>
        <v>0.24653400080000001</v>
      </c>
      <c r="I196" t="s">
        <v>116</v>
      </c>
      <c r="J196" t="str">
        <f>[5]trip_summary_region!J196</f>
        <v>2037/38</v>
      </c>
    </row>
    <row r="197" spans="1:10" x14ac:dyDescent="0.25">
      <c r="A197" t="str">
        <f>[5]trip_summary_region!A197</f>
        <v>03 WAIKATO</v>
      </c>
      <c r="B197">
        <f>[5]trip_summary_region!B197</f>
        <v>4</v>
      </c>
      <c r="C197">
        <f>[5]trip_summary_region!C197</f>
        <v>2043</v>
      </c>
      <c r="D197">
        <f>[5]trip_summary_region!D197</f>
        <v>13</v>
      </c>
      <c r="E197">
        <f>[5]trip_summary_region!E197</f>
        <v>20</v>
      </c>
      <c r="F197">
        <f>[5]trip_summary_region!F197</f>
        <v>0.97650828430000003</v>
      </c>
      <c r="G197">
        <f>[5]trip_summary_region!G197</f>
        <v>4.1760819771</v>
      </c>
      <c r="H197">
        <f>[5]trip_summary_region!H197</f>
        <v>0.2482403765</v>
      </c>
      <c r="I197" t="s">
        <v>116</v>
      </c>
      <c r="J197" t="str">
        <f>[5]trip_summary_region!J197</f>
        <v>2042/43</v>
      </c>
    </row>
    <row r="198" spans="1:10" x14ac:dyDescent="0.25">
      <c r="A198" t="str">
        <f>[5]trip_summary_region!A198</f>
        <v>03 WAIKATO</v>
      </c>
      <c r="B198">
        <f>[5]trip_summary_region!B198</f>
        <v>5</v>
      </c>
      <c r="C198">
        <f>[5]trip_summary_region!C198</f>
        <v>2013</v>
      </c>
      <c r="D198">
        <f>[5]trip_summary_region!D198</f>
        <v>16</v>
      </c>
      <c r="E198">
        <f>[5]trip_summary_region!E198</f>
        <v>51</v>
      </c>
      <c r="F198">
        <f>[5]trip_summary_region!F198</f>
        <v>1.8680965575999999</v>
      </c>
      <c r="G198">
        <f>[5]trip_summary_region!G198</f>
        <v>38.030338682999997</v>
      </c>
      <c r="H198">
        <f>[5]trip_summary_region!H198</f>
        <v>0.60639269429999998</v>
      </c>
      <c r="I198" t="str">
        <f>[5]trip_summary_region!I198</f>
        <v>Motorcyclist</v>
      </c>
      <c r="J198" t="str">
        <f>[5]trip_summary_region!J198</f>
        <v>2012/13</v>
      </c>
    </row>
    <row r="199" spans="1:10" x14ac:dyDescent="0.25">
      <c r="A199" t="str">
        <f>[5]trip_summary_region!A199</f>
        <v>03 WAIKATO</v>
      </c>
      <c r="B199">
        <f>[5]trip_summary_region!B199</f>
        <v>5</v>
      </c>
      <c r="C199">
        <f>[5]trip_summary_region!C199</f>
        <v>2018</v>
      </c>
      <c r="D199">
        <f>[5]trip_summary_region!D199</f>
        <v>16</v>
      </c>
      <c r="E199">
        <f>[5]trip_summary_region!E199</f>
        <v>51</v>
      </c>
      <c r="F199">
        <f>[5]trip_summary_region!F199</f>
        <v>1.8169065424999999</v>
      </c>
      <c r="G199">
        <f>[5]trip_summary_region!G199</f>
        <v>39.204316693000003</v>
      </c>
      <c r="H199">
        <f>[5]trip_summary_region!H199</f>
        <v>0.60691783379999997</v>
      </c>
      <c r="I199" t="str">
        <f>[5]trip_summary_region!I199</f>
        <v>Motorcyclist</v>
      </c>
      <c r="J199" t="str">
        <f>[5]trip_summary_region!J199</f>
        <v>2017/18</v>
      </c>
    </row>
    <row r="200" spans="1:10" x14ac:dyDescent="0.25">
      <c r="A200" t="str">
        <f>[5]trip_summary_region!A200</f>
        <v>03 WAIKATO</v>
      </c>
      <c r="B200">
        <f>[5]trip_summary_region!B200</f>
        <v>5</v>
      </c>
      <c r="C200">
        <f>[5]trip_summary_region!C200</f>
        <v>2023</v>
      </c>
      <c r="D200">
        <f>[5]trip_summary_region!D200</f>
        <v>16</v>
      </c>
      <c r="E200">
        <f>[5]trip_summary_region!E200</f>
        <v>51</v>
      </c>
      <c r="F200">
        <f>[5]trip_summary_region!F200</f>
        <v>1.7665100045</v>
      </c>
      <c r="G200">
        <f>[5]trip_summary_region!G200</f>
        <v>39.575297321000001</v>
      </c>
      <c r="H200">
        <f>[5]trip_summary_region!H200</f>
        <v>0.60467174670000001</v>
      </c>
      <c r="I200" t="str">
        <f>[5]trip_summary_region!I200</f>
        <v>Motorcyclist</v>
      </c>
      <c r="J200" t="str">
        <f>[5]trip_summary_region!J200</f>
        <v>2022/23</v>
      </c>
    </row>
    <row r="201" spans="1:10" x14ac:dyDescent="0.25">
      <c r="A201" t="str">
        <f>[5]trip_summary_region!A201</f>
        <v>03 WAIKATO</v>
      </c>
      <c r="B201">
        <f>[5]trip_summary_region!B201</f>
        <v>5</v>
      </c>
      <c r="C201">
        <f>[5]trip_summary_region!C201</f>
        <v>2028</v>
      </c>
      <c r="D201">
        <f>[5]trip_summary_region!D201</f>
        <v>16</v>
      </c>
      <c r="E201">
        <f>[5]trip_summary_region!E201</f>
        <v>51</v>
      </c>
      <c r="F201">
        <f>[5]trip_summary_region!F201</f>
        <v>1.7149340781</v>
      </c>
      <c r="G201">
        <f>[5]trip_summary_region!G201</f>
        <v>38.572059703000001</v>
      </c>
      <c r="H201">
        <f>[5]trip_summary_region!H201</f>
        <v>0.59109798499999999</v>
      </c>
      <c r="I201" t="str">
        <f>[5]trip_summary_region!I201</f>
        <v>Motorcyclist</v>
      </c>
      <c r="J201" t="str">
        <f>[5]trip_summary_region!J201</f>
        <v>2027/28</v>
      </c>
    </row>
    <row r="202" spans="1:10" x14ac:dyDescent="0.25">
      <c r="A202" t="str">
        <f>[5]trip_summary_region!A202</f>
        <v>03 WAIKATO</v>
      </c>
      <c r="B202">
        <f>[5]trip_summary_region!B202</f>
        <v>5</v>
      </c>
      <c r="C202">
        <f>[5]trip_summary_region!C202</f>
        <v>2033</v>
      </c>
      <c r="D202">
        <f>[5]trip_summary_region!D202</f>
        <v>16</v>
      </c>
      <c r="E202">
        <f>[5]trip_summary_region!E202</f>
        <v>51</v>
      </c>
      <c r="F202">
        <f>[5]trip_summary_region!F202</f>
        <v>1.6577707763</v>
      </c>
      <c r="G202">
        <f>[5]trip_summary_region!G202</f>
        <v>36.359309543000002</v>
      </c>
      <c r="H202">
        <f>[5]trip_summary_region!H202</f>
        <v>0.56378002179999998</v>
      </c>
      <c r="I202" t="str">
        <f>[5]trip_summary_region!I202</f>
        <v>Motorcyclist</v>
      </c>
      <c r="J202" t="str">
        <f>[5]trip_summary_region!J202</f>
        <v>2032/33</v>
      </c>
    </row>
    <row r="203" spans="1:10" x14ac:dyDescent="0.25">
      <c r="A203" t="str">
        <f>[5]trip_summary_region!A203</f>
        <v>03 WAIKATO</v>
      </c>
      <c r="B203">
        <f>[5]trip_summary_region!B203</f>
        <v>5</v>
      </c>
      <c r="C203">
        <f>[5]trip_summary_region!C203</f>
        <v>2038</v>
      </c>
      <c r="D203">
        <f>[5]trip_summary_region!D203</f>
        <v>16</v>
      </c>
      <c r="E203">
        <f>[5]trip_summary_region!E203</f>
        <v>51</v>
      </c>
      <c r="F203">
        <f>[5]trip_summary_region!F203</f>
        <v>1.5462133363999999</v>
      </c>
      <c r="G203">
        <f>[5]trip_summary_region!G203</f>
        <v>32.700616771</v>
      </c>
      <c r="H203">
        <f>[5]trip_summary_region!H203</f>
        <v>0.51272053409999996</v>
      </c>
      <c r="I203" t="str">
        <f>[5]trip_summary_region!I203</f>
        <v>Motorcyclist</v>
      </c>
      <c r="J203" t="str">
        <f>[5]trip_summary_region!J203</f>
        <v>2037/38</v>
      </c>
    </row>
    <row r="204" spans="1:10" x14ac:dyDescent="0.25">
      <c r="A204" t="str">
        <f>[5]trip_summary_region!A204</f>
        <v>03 WAIKATO</v>
      </c>
      <c r="B204">
        <f>[5]trip_summary_region!B204</f>
        <v>5</v>
      </c>
      <c r="C204">
        <f>[5]trip_summary_region!C204</f>
        <v>2043</v>
      </c>
      <c r="D204">
        <f>[5]trip_summary_region!D204</f>
        <v>16</v>
      </c>
      <c r="E204">
        <f>[5]trip_summary_region!E204</f>
        <v>51</v>
      </c>
      <c r="F204">
        <f>[5]trip_summary_region!F204</f>
        <v>1.4348425339999999</v>
      </c>
      <c r="G204">
        <f>[5]trip_summary_region!G204</f>
        <v>29.047686304999999</v>
      </c>
      <c r="H204">
        <f>[5]trip_summary_region!H204</f>
        <v>0.46171781989999999</v>
      </c>
      <c r="I204" t="str">
        <f>[5]trip_summary_region!I204</f>
        <v>Motorcyclist</v>
      </c>
      <c r="J204" t="str">
        <f>[5]trip_summary_region!J204</f>
        <v>2042/43</v>
      </c>
    </row>
    <row r="205" spans="1:10" x14ac:dyDescent="0.25">
      <c r="A205" t="str">
        <f>[5]trip_summary_region!A205</f>
        <v>03 WAIKATO</v>
      </c>
      <c r="B205">
        <f>[5]trip_summary_region!B205</f>
        <v>6</v>
      </c>
      <c r="C205">
        <f>[5]trip_summary_region!C205</f>
        <v>2013</v>
      </c>
      <c r="D205">
        <f>[5]trip_summary_region!D205</f>
        <v>2</v>
      </c>
      <c r="E205">
        <f>[5]trip_summary_region!E205</f>
        <v>5</v>
      </c>
      <c r="F205">
        <f>[5]trip_summary_region!F205</f>
        <v>0.12019006359999999</v>
      </c>
      <c r="G205">
        <f>[5]trip_summary_region!G205</f>
        <v>2.9773519310999998</v>
      </c>
      <c r="H205">
        <f>[5]trip_summary_region!H205</f>
        <v>7.0969514100000006E-2</v>
      </c>
      <c r="I205" t="str">
        <f>[5]trip_summary_region!I205</f>
        <v>Local Train</v>
      </c>
      <c r="J205" t="str">
        <f>[5]trip_summary_region!J205</f>
        <v>2012/13</v>
      </c>
    </row>
    <row r="206" spans="1:10" x14ac:dyDescent="0.25">
      <c r="A206" t="str">
        <f>[5]trip_summary_region!A206</f>
        <v>03 WAIKATO</v>
      </c>
      <c r="B206">
        <f>[5]trip_summary_region!B206</f>
        <v>6</v>
      </c>
      <c r="C206">
        <f>[5]trip_summary_region!C206</f>
        <v>2018</v>
      </c>
      <c r="D206">
        <f>[5]trip_summary_region!D206</f>
        <v>2</v>
      </c>
      <c r="E206">
        <f>[5]trip_summary_region!E206</f>
        <v>5</v>
      </c>
      <c r="F206">
        <f>[5]trip_summary_region!F206</f>
        <v>0.12626891809999999</v>
      </c>
      <c r="G206">
        <f>[5]trip_summary_region!G206</f>
        <v>3.2314632346000001</v>
      </c>
      <c r="H206">
        <f>[5]trip_summary_region!H206</f>
        <v>7.6984046700000003E-2</v>
      </c>
      <c r="I206" t="str">
        <f>[5]trip_summary_region!I206</f>
        <v>Local Train</v>
      </c>
      <c r="J206" t="str">
        <f>[5]trip_summary_region!J206</f>
        <v>2017/18</v>
      </c>
    </row>
    <row r="207" spans="1:10" x14ac:dyDescent="0.25">
      <c r="A207" t="str">
        <f>[5]trip_summary_region!A207</f>
        <v>03 WAIKATO</v>
      </c>
      <c r="B207">
        <f>[5]trip_summary_region!B207</f>
        <v>6</v>
      </c>
      <c r="C207">
        <f>[5]trip_summary_region!C207</f>
        <v>2023</v>
      </c>
      <c r="D207">
        <f>[5]trip_summary_region!D207</f>
        <v>2</v>
      </c>
      <c r="E207">
        <f>[5]trip_summary_region!E207</f>
        <v>5</v>
      </c>
      <c r="F207">
        <f>[5]trip_summary_region!F207</f>
        <v>0.13921474180000001</v>
      </c>
      <c r="G207">
        <f>[5]trip_summary_region!G207</f>
        <v>3.8027785731999999</v>
      </c>
      <c r="H207">
        <f>[5]trip_summary_region!H207</f>
        <v>9.0499098900000005E-2</v>
      </c>
      <c r="I207" t="str">
        <f>[5]trip_summary_region!I207</f>
        <v>Local Train</v>
      </c>
      <c r="J207" t="str">
        <f>[5]trip_summary_region!J207</f>
        <v>2022/23</v>
      </c>
    </row>
    <row r="208" spans="1:10" x14ac:dyDescent="0.25">
      <c r="A208" t="str">
        <f>[5]trip_summary_region!A208</f>
        <v>03 WAIKATO</v>
      </c>
      <c r="B208">
        <f>[5]trip_summary_region!B208</f>
        <v>6</v>
      </c>
      <c r="C208">
        <f>[5]trip_summary_region!C208</f>
        <v>2028</v>
      </c>
      <c r="D208">
        <f>[5]trip_summary_region!D208</f>
        <v>2</v>
      </c>
      <c r="E208">
        <f>[5]trip_summary_region!E208</f>
        <v>5</v>
      </c>
      <c r="F208">
        <f>[5]trip_summary_region!F208</f>
        <v>0.15409828389999999</v>
      </c>
      <c r="G208">
        <f>[5]trip_summary_region!G208</f>
        <v>4.3010200814999999</v>
      </c>
      <c r="H208">
        <f>[5]trip_summary_region!H208</f>
        <v>0.1023221279</v>
      </c>
      <c r="I208" t="str">
        <f>[5]trip_summary_region!I208</f>
        <v>Local Train</v>
      </c>
      <c r="J208" t="str">
        <f>[5]trip_summary_region!J208</f>
        <v>2027/28</v>
      </c>
    </row>
    <row r="209" spans="1:10" x14ac:dyDescent="0.25">
      <c r="A209" t="str">
        <f>[5]trip_summary_region!A209</f>
        <v>03 WAIKATO</v>
      </c>
      <c r="B209">
        <f>[5]trip_summary_region!B209</f>
        <v>6</v>
      </c>
      <c r="C209">
        <f>[5]trip_summary_region!C209</f>
        <v>2033</v>
      </c>
      <c r="D209">
        <f>[5]trip_summary_region!D209</f>
        <v>2</v>
      </c>
      <c r="E209">
        <f>[5]trip_summary_region!E209</f>
        <v>5</v>
      </c>
      <c r="F209">
        <f>[5]trip_summary_region!F209</f>
        <v>0.16489572150000001</v>
      </c>
      <c r="G209">
        <f>[5]trip_summary_region!G209</f>
        <v>4.6298650450999999</v>
      </c>
      <c r="H209">
        <f>[5]trip_summary_region!H209</f>
        <v>0.11013538439999999</v>
      </c>
      <c r="I209" t="str">
        <f>[5]trip_summary_region!I209</f>
        <v>Local Train</v>
      </c>
      <c r="J209" t="str">
        <f>[5]trip_summary_region!J209</f>
        <v>2032/33</v>
      </c>
    </row>
    <row r="210" spans="1:10" x14ac:dyDescent="0.25">
      <c r="A210" t="str">
        <f>[5]trip_summary_region!A210</f>
        <v>03 WAIKATO</v>
      </c>
      <c r="B210">
        <f>[5]trip_summary_region!B210</f>
        <v>6</v>
      </c>
      <c r="C210">
        <f>[5]trip_summary_region!C210</f>
        <v>2038</v>
      </c>
      <c r="D210">
        <f>[5]trip_summary_region!D210</f>
        <v>2</v>
      </c>
      <c r="E210">
        <f>[5]trip_summary_region!E210</f>
        <v>5</v>
      </c>
      <c r="F210">
        <f>[5]trip_summary_region!F210</f>
        <v>0.1711877373</v>
      </c>
      <c r="G210">
        <f>[5]trip_summary_region!G210</f>
        <v>4.9172725539000002</v>
      </c>
      <c r="H210">
        <f>[5]trip_summary_region!H210</f>
        <v>0.11693205769999999</v>
      </c>
      <c r="I210" t="str">
        <f>[5]trip_summary_region!I210</f>
        <v>Local Train</v>
      </c>
      <c r="J210" t="str">
        <f>[5]trip_summary_region!J210</f>
        <v>2037/38</v>
      </c>
    </row>
    <row r="211" spans="1:10" x14ac:dyDescent="0.25">
      <c r="A211" t="str">
        <f>[5]trip_summary_region!A211</f>
        <v>03 WAIKATO</v>
      </c>
      <c r="B211">
        <f>[5]trip_summary_region!B211</f>
        <v>6</v>
      </c>
      <c r="C211">
        <f>[5]trip_summary_region!C211</f>
        <v>2043</v>
      </c>
      <c r="D211">
        <f>[5]trip_summary_region!D211</f>
        <v>2</v>
      </c>
      <c r="E211">
        <f>[5]trip_summary_region!E211</f>
        <v>5</v>
      </c>
      <c r="F211">
        <f>[5]trip_summary_region!F211</f>
        <v>0.175620156</v>
      </c>
      <c r="G211">
        <f>[5]trip_summary_region!G211</f>
        <v>5.1503396770999998</v>
      </c>
      <c r="H211">
        <f>[5]trip_summary_region!H211</f>
        <v>0.122436852</v>
      </c>
      <c r="I211" t="str">
        <f>[5]trip_summary_region!I211</f>
        <v>Local Train</v>
      </c>
      <c r="J211" t="str">
        <f>[5]trip_summary_region!J211</f>
        <v>2042/43</v>
      </c>
    </row>
    <row r="212" spans="1:10" x14ac:dyDescent="0.25">
      <c r="A212" t="str">
        <f>[5]trip_summary_region!A212</f>
        <v>03 WAIKATO</v>
      </c>
      <c r="B212">
        <f>[5]trip_summary_region!B212</f>
        <v>7</v>
      </c>
      <c r="C212">
        <f>[5]trip_summary_region!C212</f>
        <v>2013</v>
      </c>
      <c r="D212">
        <f>[5]trip_summary_region!D212</f>
        <v>81</v>
      </c>
      <c r="E212">
        <f>[5]trip_summary_region!E212</f>
        <v>183</v>
      </c>
      <c r="F212">
        <f>[5]trip_summary_region!F212</f>
        <v>5.7199103379</v>
      </c>
      <c r="G212">
        <f>[5]trip_summary_region!G212</f>
        <v>54.303948532</v>
      </c>
      <c r="H212">
        <f>[5]trip_summary_region!H212</f>
        <v>2.2088814398999999</v>
      </c>
      <c r="I212" t="str">
        <f>[5]trip_summary_region!I212</f>
        <v>Local Bus</v>
      </c>
      <c r="J212" t="str">
        <f>[5]trip_summary_region!J212</f>
        <v>2012/13</v>
      </c>
    </row>
    <row r="213" spans="1:10" x14ac:dyDescent="0.25">
      <c r="A213" t="str">
        <f>[5]trip_summary_region!A213</f>
        <v>03 WAIKATO</v>
      </c>
      <c r="B213">
        <f>[5]trip_summary_region!B213</f>
        <v>7</v>
      </c>
      <c r="C213">
        <f>[5]trip_summary_region!C213</f>
        <v>2018</v>
      </c>
      <c r="D213">
        <f>[5]trip_summary_region!D213</f>
        <v>81</v>
      </c>
      <c r="E213">
        <f>[5]trip_summary_region!E213</f>
        <v>183</v>
      </c>
      <c r="F213">
        <f>[5]trip_summary_region!F213</f>
        <v>5.7461459003000002</v>
      </c>
      <c r="G213">
        <f>[5]trip_summary_region!G213</f>
        <v>51.763012885000002</v>
      </c>
      <c r="H213">
        <f>[5]trip_summary_region!H213</f>
        <v>2.1869187666999998</v>
      </c>
      <c r="I213" t="str">
        <f>[5]trip_summary_region!I213</f>
        <v>Local Bus</v>
      </c>
      <c r="J213" t="str">
        <f>[5]trip_summary_region!J213</f>
        <v>2017/18</v>
      </c>
    </row>
    <row r="214" spans="1:10" x14ac:dyDescent="0.25">
      <c r="A214" t="str">
        <f>[5]trip_summary_region!A214</f>
        <v>03 WAIKATO</v>
      </c>
      <c r="B214">
        <f>[5]trip_summary_region!B214</f>
        <v>7</v>
      </c>
      <c r="C214">
        <f>[5]trip_summary_region!C214</f>
        <v>2023</v>
      </c>
      <c r="D214">
        <f>[5]trip_summary_region!D214</f>
        <v>81</v>
      </c>
      <c r="E214">
        <f>[5]trip_summary_region!E214</f>
        <v>183</v>
      </c>
      <c r="F214">
        <f>[5]trip_summary_region!F214</f>
        <v>5.6862867502999999</v>
      </c>
      <c r="G214">
        <f>[5]trip_summary_region!G214</f>
        <v>50.418689811999997</v>
      </c>
      <c r="H214">
        <f>[5]trip_summary_region!H214</f>
        <v>2.1520139730999999</v>
      </c>
      <c r="I214" t="str">
        <f>[5]trip_summary_region!I214</f>
        <v>Local Bus</v>
      </c>
      <c r="J214" t="str">
        <f>[5]trip_summary_region!J214</f>
        <v>2022/23</v>
      </c>
    </row>
    <row r="215" spans="1:10" x14ac:dyDescent="0.25">
      <c r="A215" t="str">
        <f>[5]trip_summary_region!A215</f>
        <v>03 WAIKATO</v>
      </c>
      <c r="B215">
        <f>[5]trip_summary_region!B215</f>
        <v>7</v>
      </c>
      <c r="C215">
        <f>[5]trip_summary_region!C215</f>
        <v>2028</v>
      </c>
      <c r="D215">
        <f>[5]trip_summary_region!D215</f>
        <v>81</v>
      </c>
      <c r="E215">
        <f>[5]trip_summary_region!E215</f>
        <v>183</v>
      </c>
      <c r="F215">
        <f>[5]trip_summary_region!F215</f>
        <v>5.7386824849</v>
      </c>
      <c r="G215">
        <f>[5]trip_summary_region!G215</f>
        <v>49.843693670999997</v>
      </c>
      <c r="H215">
        <f>[5]trip_summary_region!H215</f>
        <v>2.1675429332</v>
      </c>
      <c r="I215" t="str">
        <f>[5]trip_summary_region!I215</f>
        <v>Local Bus</v>
      </c>
      <c r="J215" t="str">
        <f>[5]trip_summary_region!J215</f>
        <v>2027/28</v>
      </c>
    </row>
    <row r="216" spans="1:10" x14ac:dyDescent="0.25">
      <c r="A216" t="str">
        <f>[5]trip_summary_region!A216</f>
        <v>03 WAIKATO</v>
      </c>
      <c r="B216">
        <f>[5]trip_summary_region!B216</f>
        <v>7</v>
      </c>
      <c r="C216">
        <f>[5]trip_summary_region!C216</f>
        <v>2033</v>
      </c>
      <c r="D216">
        <f>[5]trip_summary_region!D216</f>
        <v>81</v>
      </c>
      <c r="E216">
        <f>[5]trip_summary_region!E216</f>
        <v>183</v>
      </c>
      <c r="F216">
        <f>[5]trip_summary_region!F216</f>
        <v>5.7654870465999997</v>
      </c>
      <c r="G216">
        <f>[5]trip_summary_region!G216</f>
        <v>48.979427686000001</v>
      </c>
      <c r="H216">
        <f>[5]trip_summary_region!H216</f>
        <v>2.1696934758999999</v>
      </c>
      <c r="I216" t="str">
        <f>[5]trip_summary_region!I216</f>
        <v>Local Bus</v>
      </c>
      <c r="J216" t="str">
        <f>[5]trip_summary_region!J216</f>
        <v>2032/33</v>
      </c>
    </row>
    <row r="217" spans="1:10" x14ac:dyDescent="0.25">
      <c r="A217" t="str">
        <f>[5]trip_summary_region!A217</f>
        <v>03 WAIKATO</v>
      </c>
      <c r="B217">
        <f>[5]trip_summary_region!B217</f>
        <v>7</v>
      </c>
      <c r="C217">
        <f>[5]trip_summary_region!C217</f>
        <v>2038</v>
      </c>
      <c r="D217">
        <f>[5]trip_summary_region!D217</f>
        <v>81</v>
      </c>
      <c r="E217">
        <f>[5]trip_summary_region!E217</f>
        <v>183</v>
      </c>
      <c r="F217">
        <f>[5]trip_summary_region!F217</f>
        <v>5.7454560841999998</v>
      </c>
      <c r="G217">
        <f>[5]trip_summary_region!G217</f>
        <v>48.203982576999998</v>
      </c>
      <c r="H217">
        <f>[5]trip_summary_region!H217</f>
        <v>2.1588323475000002</v>
      </c>
      <c r="I217" t="str">
        <f>[5]trip_summary_region!I217</f>
        <v>Local Bus</v>
      </c>
      <c r="J217" t="str">
        <f>[5]trip_summary_region!J217</f>
        <v>2037/38</v>
      </c>
    </row>
    <row r="218" spans="1:10" x14ac:dyDescent="0.25">
      <c r="A218" t="str">
        <f>[5]trip_summary_region!A218</f>
        <v>03 WAIKATO</v>
      </c>
      <c r="B218">
        <f>[5]trip_summary_region!B218</f>
        <v>7</v>
      </c>
      <c r="C218">
        <f>[5]trip_summary_region!C218</f>
        <v>2043</v>
      </c>
      <c r="D218">
        <f>[5]trip_summary_region!D218</f>
        <v>81</v>
      </c>
      <c r="E218">
        <f>[5]trip_summary_region!E218</f>
        <v>183</v>
      </c>
      <c r="F218">
        <f>[5]trip_summary_region!F218</f>
        <v>5.6752577720000001</v>
      </c>
      <c r="G218">
        <f>[5]trip_summary_region!G218</f>
        <v>47.224436009000001</v>
      </c>
      <c r="H218">
        <f>[5]trip_summary_region!H218</f>
        <v>2.1343226210999999</v>
      </c>
      <c r="I218" t="str">
        <f>[5]trip_summary_region!I218</f>
        <v>Local Bus</v>
      </c>
      <c r="J218" t="str">
        <f>[5]trip_summary_region!J218</f>
        <v>2042/43</v>
      </c>
    </row>
    <row r="219" spans="1:10" x14ac:dyDescent="0.25">
      <c r="A219" t="str">
        <f>[5]trip_summary_region!A219</f>
        <v>03 WAIKATO</v>
      </c>
      <c r="B219">
        <f>[5]trip_summary_region!B219</f>
        <v>8</v>
      </c>
      <c r="C219">
        <f>[5]trip_summary_region!C219</f>
        <v>2013</v>
      </c>
      <c r="D219">
        <f>[5]trip_summary_region!D219</f>
        <v>3</v>
      </c>
      <c r="E219">
        <f>[5]trip_summary_region!E219</f>
        <v>7</v>
      </c>
      <c r="F219">
        <f>[5]trip_summary_region!F219</f>
        <v>0.2446181519</v>
      </c>
      <c r="G219">
        <f>[5]trip_summary_region!G219</f>
        <v>0</v>
      </c>
      <c r="H219">
        <f>[5]trip_summary_region!H219</f>
        <v>9.3342661800000004E-2</v>
      </c>
      <c r="I219" t="str">
        <f>[5]trip_summary_region!I219</f>
        <v>Local Ferry</v>
      </c>
      <c r="J219" t="str">
        <f>[5]trip_summary_region!J219</f>
        <v>2012/13</v>
      </c>
    </row>
    <row r="220" spans="1:10" x14ac:dyDescent="0.25">
      <c r="A220" t="str">
        <f>[5]trip_summary_region!A220</f>
        <v>03 WAIKATO</v>
      </c>
      <c r="B220">
        <f>[5]trip_summary_region!B220</f>
        <v>8</v>
      </c>
      <c r="C220">
        <f>[5]trip_summary_region!C220</f>
        <v>2018</v>
      </c>
      <c r="D220">
        <f>[5]trip_summary_region!D220</f>
        <v>3</v>
      </c>
      <c r="E220">
        <f>[5]trip_summary_region!E220</f>
        <v>7</v>
      </c>
      <c r="F220">
        <f>[5]trip_summary_region!F220</f>
        <v>0.2673120779</v>
      </c>
      <c r="G220">
        <f>[5]trip_summary_region!G220</f>
        <v>0</v>
      </c>
      <c r="H220">
        <f>[5]trip_summary_region!H220</f>
        <v>0.104861736</v>
      </c>
      <c r="I220" t="str">
        <f>[5]trip_summary_region!I220</f>
        <v>Local Ferry</v>
      </c>
      <c r="J220" t="str">
        <f>[5]trip_summary_region!J220</f>
        <v>2017/18</v>
      </c>
    </row>
    <row r="221" spans="1:10" x14ac:dyDescent="0.25">
      <c r="A221" t="str">
        <f>[5]trip_summary_region!A221</f>
        <v>03 WAIKATO</v>
      </c>
      <c r="B221">
        <f>[5]trip_summary_region!B221</f>
        <v>8</v>
      </c>
      <c r="C221">
        <f>[5]trip_summary_region!C221</f>
        <v>2023</v>
      </c>
      <c r="D221">
        <f>[5]trip_summary_region!D221</f>
        <v>3</v>
      </c>
      <c r="E221">
        <f>[5]trip_summary_region!E221</f>
        <v>7</v>
      </c>
      <c r="F221">
        <f>[5]trip_summary_region!F221</f>
        <v>0.2806473391</v>
      </c>
      <c r="G221">
        <f>[5]trip_summary_region!G221</f>
        <v>0</v>
      </c>
      <c r="H221">
        <f>[5]trip_summary_region!H221</f>
        <v>0.1116998555</v>
      </c>
      <c r="I221" t="str">
        <f>[5]trip_summary_region!I221</f>
        <v>Local Ferry</v>
      </c>
      <c r="J221" t="str">
        <f>[5]trip_summary_region!J221</f>
        <v>2022/23</v>
      </c>
    </row>
    <row r="222" spans="1:10" x14ac:dyDescent="0.25">
      <c r="A222" t="str">
        <f>[5]trip_summary_region!A222</f>
        <v>03 WAIKATO</v>
      </c>
      <c r="B222">
        <f>[5]trip_summary_region!B222</f>
        <v>8</v>
      </c>
      <c r="C222">
        <f>[5]trip_summary_region!C222</f>
        <v>2028</v>
      </c>
      <c r="D222">
        <f>[5]trip_summary_region!D222</f>
        <v>3</v>
      </c>
      <c r="E222">
        <f>[5]trip_summary_region!E222</f>
        <v>7</v>
      </c>
      <c r="F222">
        <f>[5]trip_summary_region!F222</f>
        <v>0.30273286830000001</v>
      </c>
      <c r="G222">
        <f>[5]trip_summary_region!G222</f>
        <v>0</v>
      </c>
      <c r="H222">
        <f>[5]trip_summary_region!H222</f>
        <v>0.1234257163</v>
      </c>
      <c r="I222" t="str">
        <f>[5]trip_summary_region!I222</f>
        <v>Local Ferry</v>
      </c>
      <c r="J222" t="str">
        <f>[5]trip_summary_region!J222</f>
        <v>2027/28</v>
      </c>
    </row>
    <row r="223" spans="1:10" x14ac:dyDescent="0.25">
      <c r="A223" t="str">
        <f>[5]trip_summary_region!A223</f>
        <v>03 WAIKATO</v>
      </c>
      <c r="B223">
        <f>[5]trip_summary_region!B223</f>
        <v>8</v>
      </c>
      <c r="C223">
        <f>[5]trip_summary_region!C223</f>
        <v>2033</v>
      </c>
      <c r="D223">
        <f>[5]trip_summary_region!D223</f>
        <v>3</v>
      </c>
      <c r="E223">
        <f>[5]trip_summary_region!E223</f>
        <v>7</v>
      </c>
      <c r="F223">
        <f>[5]trip_summary_region!F223</f>
        <v>0.31177955219999998</v>
      </c>
      <c r="G223">
        <f>[5]trip_summary_region!G223</f>
        <v>0</v>
      </c>
      <c r="H223">
        <f>[5]trip_summary_region!H223</f>
        <v>0.12781436430000001</v>
      </c>
      <c r="I223" t="str">
        <f>[5]trip_summary_region!I223</f>
        <v>Local Ferry</v>
      </c>
      <c r="J223" t="str">
        <f>[5]trip_summary_region!J223</f>
        <v>2032/33</v>
      </c>
    </row>
    <row r="224" spans="1:10" x14ac:dyDescent="0.25">
      <c r="A224" t="str">
        <f>[5]trip_summary_region!A224</f>
        <v>03 WAIKATO</v>
      </c>
      <c r="B224">
        <f>[5]trip_summary_region!B224</f>
        <v>8</v>
      </c>
      <c r="C224">
        <f>[5]trip_summary_region!C224</f>
        <v>2038</v>
      </c>
      <c r="D224">
        <f>[5]trip_summary_region!D224</f>
        <v>3</v>
      </c>
      <c r="E224">
        <f>[5]trip_summary_region!E224</f>
        <v>7</v>
      </c>
      <c r="F224">
        <f>[5]trip_summary_region!F224</f>
        <v>0.3054565018</v>
      </c>
      <c r="G224">
        <f>[5]trip_summary_region!G224</f>
        <v>0</v>
      </c>
      <c r="H224">
        <f>[5]trip_summary_region!H224</f>
        <v>0.1250733195</v>
      </c>
      <c r="I224" t="str">
        <f>[5]trip_summary_region!I224</f>
        <v>Local Ferry</v>
      </c>
      <c r="J224" t="str">
        <f>[5]trip_summary_region!J224</f>
        <v>2037/38</v>
      </c>
    </row>
    <row r="225" spans="1:10" x14ac:dyDescent="0.25">
      <c r="A225" t="str">
        <f>[5]trip_summary_region!A225</f>
        <v>03 WAIKATO</v>
      </c>
      <c r="B225">
        <f>[5]trip_summary_region!B225</f>
        <v>8</v>
      </c>
      <c r="C225">
        <f>[5]trip_summary_region!C225</f>
        <v>2043</v>
      </c>
      <c r="D225">
        <f>[5]trip_summary_region!D225</f>
        <v>3</v>
      </c>
      <c r="E225">
        <f>[5]trip_summary_region!E225</f>
        <v>7</v>
      </c>
      <c r="F225">
        <f>[5]trip_summary_region!F225</f>
        <v>0.29611963400000002</v>
      </c>
      <c r="G225">
        <f>[5]trip_summary_region!G225</f>
        <v>0</v>
      </c>
      <c r="H225">
        <f>[5]trip_summary_region!H225</f>
        <v>0.12098275830000001</v>
      </c>
      <c r="I225" t="str">
        <f>[5]trip_summary_region!I225</f>
        <v>Local Ferry</v>
      </c>
      <c r="J225" t="str">
        <f>[5]trip_summary_region!J225</f>
        <v>2042/43</v>
      </c>
    </row>
    <row r="226" spans="1:10" x14ac:dyDescent="0.25">
      <c r="A226" t="str">
        <f>[5]trip_summary_region!A226</f>
        <v>03 WAIKATO</v>
      </c>
      <c r="B226">
        <f>[5]trip_summary_region!B226</f>
        <v>9</v>
      </c>
      <c r="C226">
        <f>[5]trip_summary_region!C226</f>
        <v>2013</v>
      </c>
      <c r="D226">
        <f>[5]trip_summary_region!D226</f>
        <v>17</v>
      </c>
      <c r="E226">
        <f>[5]trip_summary_region!E226</f>
        <v>46</v>
      </c>
      <c r="F226">
        <f>[5]trip_summary_region!F226</f>
        <v>1.8854250596</v>
      </c>
      <c r="G226">
        <f>[5]trip_summary_region!G226</f>
        <v>0</v>
      </c>
      <c r="H226">
        <f>[5]trip_summary_region!H226</f>
        <v>0.63404452519999999</v>
      </c>
      <c r="I226" t="str">
        <f>[5]trip_summary_region!I226</f>
        <v>Other Household Travel</v>
      </c>
      <c r="J226" t="str">
        <f>[5]trip_summary_region!J226</f>
        <v>2012/13</v>
      </c>
    </row>
    <row r="227" spans="1:10" x14ac:dyDescent="0.25">
      <c r="A227" t="str">
        <f>[5]trip_summary_region!A227</f>
        <v>03 WAIKATO</v>
      </c>
      <c r="B227">
        <f>[5]trip_summary_region!B227</f>
        <v>9</v>
      </c>
      <c r="C227">
        <f>[5]trip_summary_region!C227</f>
        <v>2018</v>
      </c>
      <c r="D227">
        <f>[5]trip_summary_region!D227</f>
        <v>17</v>
      </c>
      <c r="E227">
        <f>[5]trip_summary_region!E227</f>
        <v>46</v>
      </c>
      <c r="F227">
        <f>[5]trip_summary_region!F227</f>
        <v>2.0135229020000001</v>
      </c>
      <c r="G227">
        <f>[5]trip_summary_region!G227</f>
        <v>0</v>
      </c>
      <c r="H227">
        <f>[5]trip_summary_region!H227</f>
        <v>0.65864474080000002</v>
      </c>
      <c r="I227" t="str">
        <f>[5]trip_summary_region!I227</f>
        <v>Other Household Travel</v>
      </c>
      <c r="J227" t="str">
        <f>[5]trip_summary_region!J227</f>
        <v>2017/18</v>
      </c>
    </row>
    <row r="228" spans="1:10" x14ac:dyDescent="0.25">
      <c r="A228" t="str">
        <f>[5]trip_summary_region!A228</f>
        <v>03 WAIKATO</v>
      </c>
      <c r="B228">
        <f>[5]trip_summary_region!B228</f>
        <v>9</v>
      </c>
      <c r="C228">
        <f>[5]trip_summary_region!C228</f>
        <v>2023</v>
      </c>
      <c r="D228">
        <f>[5]trip_summary_region!D228</f>
        <v>17</v>
      </c>
      <c r="E228">
        <f>[5]trip_summary_region!E228</f>
        <v>46</v>
      </c>
      <c r="F228">
        <f>[5]trip_summary_region!F228</f>
        <v>2.1248313519000002</v>
      </c>
      <c r="G228">
        <f>[5]trip_summary_region!G228</f>
        <v>0</v>
      </c>
      <c r="H228">
        <f>[5]trip_summary_region!H228</f>
        <v>0.67759649519999998</v>
      </c>
      <c r="I228" t="str">
        <f>[5]trip_summary_region!I228</f>
        <v>Other Household Travel</v>
      </c>
      <c r="J228" t="str">
        <f>[5]trip_summary_region!J228</f>
        <v>2022/23</v>
      </c>
    </row>
    <row r="229" spans="1:10" x14ac:dyDescent="0.25">
      <c r="A229" t="str">
        <f>[5]trip_summary_region!A229</f>
        <v>03 WAIKATO</v>
      </c>
      <c r="B229">
        <f>[5]trip_summary_region!B229</f>
        <v>9</v>
      </c>
      <c r="C229">
        <f>[5]trip_summary_region!C229</f>
        <v>2028</v>
      </c>
      <c r="D229">
        <f>[5]trip_summary_region!D229</f>
        <v>17</v>
      </c>
      <c r="E229">
        <f>[5]trip_summary_region!E229</f>
        <v>46</v>
      </c>
      <c r="F229">
        <f>[5]trip_summary_region!F229</f>
        <v>2.2213623219</v>
      </c>
      <c r="G229">
        <f>[5]trip_summary_region!G229</f>
        <v>0</v>
      </c>
      <c r="H229">
        <f>[5]trip_summary_region!H229</f>
        <v>0.67909130390000005</v>
      </c>
      <c r="I229" t="str">
        <f>[5]trip_summary_region!I229</f>
        <v>Other Household Travel</v>
      </c>
      <c r="J229" t="str">
        <f>[5]trip_summary_region!J229</f>
        <v>2027/28</v>
      </c>
    </row>
    <row r="230" spans="1:10" x14ac:dyDescent="0.25">
      <c r="A230" t="str">
        <f>[5]trip_summary_region!A230</f>
        <v>03 WAIKATO</v>
      </c>
      <c r="B230">
        <f>[5]trip_summary_region!B230</f>
        <v>9</v>
      </c>
      <c r="C230">
        <f>[5]trip_summary_region!C230</f>
        <v>2033</v>
      </c>
      <c r="D230">
        <f>[5]trip_summary_region!D230</f>
        <v>17</v>
      </c>
      <c r="E230">
        <f>[5]trip_summary_region!E230</f>
        <v>46</v>
      </c>
      <c r="F230">
        <f>[5]trip_summary_region!F230</f>
        <v>2.3544325535000001</v>
      </c>
      <c r="G230">
        <f>[5]trip_summary_region!G230</f>
        <v>0</v>
      </c>
      <c r="H230">
        <f>[5]trip_summary_region!H230</f>
        <v>0.67869345110000001</v>
      </c>
      <c r="I230" t="str">
        <f>[5]trip_summary_region!I230</f>
        <v>Other Household Travel</v>
      </c>
      <c r="J230" t="str">
        <f>[5]trip_summary_region!J230</f>
        <v>2032/33</v>
      </c>
    </row>
    <row r="231" spans="1:10" x14ac:dyDescent="0.25">
      <c r="A231" t="str">
        <f>[5]trip_summary_region!A231</f>
        <v>03 WAIKATO</v>
      </c>
      <c r="B231">
        <f>[5]trip_summary_region!B231</f>
        <v>9</v>
      </c>
      <c r="C231">
        <f>[5]trip_summary_region!C231</f>
        <v>2038</v>
      </c>
      <c r="D231">
        <f>[5]trip_summary_region!D231</f>
        <v>17</v>
      </c>
      <c r="E231">
        <f>[5]trip_summary_region!E231</f>
        <v>46</v>
      </c>
      <c r="F231">
        <f>[5]trip_summary_region!F231</f>
        <v>2.4175919336999998</v>
      </c>
      <c r="G231">
        <f>[5]trip_summary_region!G231</f>
        <v>0</v>
      </c>
      <c r="H231">
        <f>[5]trip_summary_region!H231</f>
        <v>0.67244219790000004</v>
      </c>
      <c r="I231" t="str">
        <f>[5]trip_summary_region!I231</f>
        <v>Other Household Travel</v>
      </c>
      <c r="J231" t="str">
        <f>[5]trip_summary_region!J231</f>
        <v>2037/38</v>
      </c>
    </row>
    <row r="232" spans="1:10" x14ac:dyDescent="0.25">
      <c r="A232" t="str">
        <f>[5]trip_summary_region!A232</f>
        <v>03 WAIKATO</v>
      </c>
      <c r="B232">
        <f>[5]trip_summary_region!B232</f>
        <v>9</v>
      </c>
      <c r="C232">
        <f>[5]trip_summary_region!C232</f>
        <v>2043</v>
      </c>
      <c r="D232">
        <f>[5]trip_summary_region!D232</f>
        <v>17</v>
      </c>
      <c r="E232">
        <f>[5]trip_summary_region!E232</f>
        <v>46</v>
      </c>
      <c r="F232">
        <f>[5]trip_summary_region!F232</f>
        <v>2.3887015695999998</v>
      </c>
      <c r="G232">
        <f>[5]trip_summary_region!G232</f>
        <v>0</v>
      </c>
      <c r="H232">
        <f>[5]trip_summary_region!H232</f>
        <v>0.65020723209999998</v>
      </c>
      <c r="I232" t="str">
        <f>[5]trip_summary_region!I232</f>
        <v>Other Household Travel</v>
      </c>
      <c r="J232" t="str">
        <f>[5]trip_summary_region!J232</f>
        <v>2042/43</v>
      </c>
    </row>
    <row r="233" spans="1:10" x14ac:dyDescent="0.25">
      <c r="A233" t="str">
        <f>[5]trip_summary_region!A233</f>
        <v>03 WAIKATO</v>
      </c>
      <c r="B233">
        <f>[5]trip_summary_region!B233</f>
        <v>10</v>
      </c>
      <c r="C233">
        <f>[5]trip_summary_region!C233</f>
        <v>2013</v>
      </c>
      <c r="D233">
        <f>[5]trip_summary_region!D233</f>
        <v>18</v>
      </c>
      <c r="E233">
        <f>[5]trip_summary_region!E233</f>
        <v>32</v>
      </c>
      <c r="F233">
        <f>[5]trip_summary_region!F233</f>
        <v>0.92406733060000001</v>
      </c>
      <c r="G233">
        <f>[5]trip_summary_region!G233</f>
        <v>54.768337629999998</v>
      </c>
      <c r="H233">
        <f>[5]trip_summary_region!H233</f>
        <v>2.3234459650999999</v>
      </c>
      <c r="I233" t="str">
        <f>[5]trip_summary_region!I233</f>
        <v>Air/Non-Local PT</v>
      </c>
      <c r="J233" t="str">
        <f>[5]trip_summary_region!J233</f>
        <v>2012/13</v>
      </c>
    </row>
    <row r="234" spans="1:10" x14ac:dyDescent="0.25">
      <c r="A234" t="str">
        <f>[5]trip_summary_region!A234</f>
        <v>03 WAIKATO</v>
      </c>
      <c r="B234">
        <f>[5]trip_summary_region!B234</f>
        <v>10</v>
      </c>
      <c r="C234">
        <f>[5]trip_summary_region!C234</f>
        <v>2018</v>
      </c>
      <c r="D234">
        <f>[5]trip_summary_region!D234</f>
        <v>18</v>
      </c>
      <c r="E234">
        <f>[5]trip_summary_region!E234</f>
        <v>32</v>
      </c>
      <c r="F234">
        <f>[5]trip_summary_region!F234</f>
        <v>1.0254001501000001</v>
      </c>
      <c r="G234">
        <f>[5]trip_summary_region!G234</f>
        <v>58.519535152000003</v>
      </c>
      <c r="H234">
        <f>[5]trip_summary_region!H234</f>
        <v>2.5897311071</v>
      </c>
      <c r="I234" t="str">
        <f>[5]trip_summary_region!I234</f>
        <v>Air/Non-Local PT</v>
      </c>
      <c r="J234" t="str">
        <f>[5]trip_summary_region!J234</f>
        <v>2017/18</v>
      </c>
    </row>
    <row r="235" spans="1:10" x14ac:dyDescent="0.25">
      <c r="A235" t="str">
        <f>[5]trip_summary_region!A235</f>
        <v>03 WAIKATO</v>
      </c>
      <c r="B235">
        <f>[5]trip_summary_region!B235</f>
        <v>10</v>
      </c>
      <c r="C235">
        <f>[5]trip_summary_region!C235</f>
        <v>2023</v>
      </c>
      <c r="D235">
        <f>[5]trip_summary_region!D235</f>
        <v>18</v>
      </c>
      <c r="E235">
        <f>[5]trip_summary_region!E235</f>
        <v>32</v>
      </c>
      <c r="F235">
        <f>[5]trip_summary_region!F235</f>
        <v>1.1433761354</v>
      </c>
      <c r="G235">
        <f>[5]trip_summary_region!G235</f>
        <v>61.705591978000001</v>
      </c>
      <c r="H235">
        <f>[5]trip_summary_region!H235</f>
        <v>2.8340951893000002</v>
      </c>
      <c r="I235" t="str">
        <f>[5]trip_summary_region!I235</f>
        <v>Air/Non-Local PT</v>
      </c>
      <c r="J235" t="str">
        <f>[5]trip_summary_region!J235</f>
        <v>2022/23</v>
      </c>
    </row>
    <row r="236" spans="1:10" x14ac:dyDescent="0.25">
      <c r="A236" t="str">
        <f>[5]trip_summary_region!A236</f>
        <v>03 WAIKATO</v>
      </c>
      <c r="B236">
        <f>[5]trip_summary_region!B236</f>
        <v>10</v>
      </c>
      <c r="C236">
        <f>[5]trip_summary_region!C236</f>
        <v>2028</v>
      </c>
      <c r="D236">
        <f>[5]trip_summary_region!D236</f>
        <v>18</v>
      </c>
      <c r="E236">
        <f>[5]trip_summary_region!E236</f>
        <v>32</v>
      </c>
      <c r="F236">
        <f>[5]trip_summary_region!F236</f>
        <v>1.2775157846</v>
      </c>
      <c r="G236">
        <f>[5]trip_summary_region!G236</f>
        <v>64.965502806000003</v>
      </c>
      <c r="H236">
        <f>[5]trip_summary_region!H236</f>
        <v>3.2056210942000001</v>
      </c>
      <c r="I236" t="str">
        <f>[5]trip_summary_region!I236</f>
        <v>Air/Non-Local PT</v>
      </c>
      <c r="J236" t="str">
        <f>[5]trip_summary_region!J236</f>
        <v>2027/28</v>
      </c>
    </row>
    <row r="237" spans="1:10" x14ac:dyDescent="0.25">
      <c r="A237" t="str">
        <f>[5]trip_summary_region!A237</f>
        <v>03 WAIKATO</v>
      </c>
      <c r="B237">
        <f>[5]trip_summary_region!B237</f>
        <v>10</v>
      </c>
      <c r="C237">
        <f>[5]trip_summary_region!C237</f>
        <v>2033</v>
      </c>
      <c r="D237">
        <f>[5]trip_summary_region!D237</f>
        <v>18</v>
      </c>
      <c r="E237">
        <f>[5]trip_summary_region!E237</f>
        <v>32</v>
      </c>
      <c r="F237">
        <f>[5]trip_summary_region!F237</f>
        <v>1.3868558708000001</v>
      </c>
      <c r="G237">
        <f>[5]trip_summary_region!G237</f>
        <v>69.262692997000002</v>
      </c>
      <c r="H237">
        <f>[5]trip_summary_region!H237</f>
        <v>3.5058490554000001</v>
      </c>
      <c r="I237" t="str">
        <f>[5]trip_summary_region!I237</f>
        <v>Air/Non-Local PT</v>
      </c>
      <c r="J237" t="str">
        <f>[5]trip_summary_region!J237</f>
        <v>2032/33</v>
      </c>
    </row>
    <row r="238" spans="1:10" x14ac:dyDescent="0.25">
      <c r="A238" t="str">
        <f>[5]trip_summary_region!A238</f>
        <v>03 WAIKATO</v>
      </c>
      <c r="B238">
        <f>[5]trip_summary_region!B238</f>
        <v>10</v>
      </c>
      <c r="C238">
        <f>[5]trip_summary_region!C238</f>
        <v>2038</v>
      </c>
      <c r="D238">
        <f>[5]trip_summary_region!D238</f>
        <v>18</v>
      </c>
      <c r="E238">
        <f>[5]trip_summary_region!E238</f>
        <v>32</v>
      </c>
      <c r="F238">
        <f>[5]trip_summary_region!F238</f>
        <v>1.4652633698999999</v>
      </c>
      <c r="G238">
        <f>[5]trip_summary_region!G238</f>
        <v>74.434476169000007</v>
      </c>
      <c r="H238">
        <f>[5]trip_summary_region!H238</f>
        <v>3.5945635465999999</v>
      </c>
      <c r="I238" t="str">
        <f>[5]trip_summary_region!I238</f>
        <v>Air/Non-Local PT</v>
      </c>
      <c r="J238" t="str">
        <f>[5]trip_summary_region!J238</f>
        <v>2037/38</v>
      </c>
    </row>
    <row r="239" spans="1:10" x14ac:dyDescent="0.25">
      <c r="A239" t="str">
        <f>[5]trip_summary_region!A239</f>
        <v>03 WAIKATO</v>
      </c>
      <c r="B239">
        <f>[5]trip_summary_region!B239</f>
        <v>10</v>
      </c>
      <c r="C239">
        <f>[5]trip_summary_region!C239</f>
        <v>2043</v>
      </c>
      <c r="D239">
        <f>[5]trip_summary_region!D239</f>
        <v>18</v>
      </c>
      <c r="E239">
        <f>[5]trip_summary_region!E239</f>
        <v>32</v>
      </c>
      <c r="F239">
        <f>[5]trip_summary_region!F239</f>
        <v>1.542700964</v>
      </c>
      <c r="G239">
        <f>[5]trip_summary_region!G239</f>
        <v>80.12679369</v>
      </c>
      <c r="H239">
        <f>[5]trip_summary_region!H239</f>
        <v>3.6718965058999999</v>
      </c>
      <c r="I239" t="str">
        <f>[5]trip_summary_region!I239</f>
        <v>Air/Non-Local PT</v>
      </c>
      <c r="J239" t="str">
        <f>[5]trip_summary_region!J239</f>
        <v>2042/43</v>
      </c>
    </row>
    <row r="240" spans="1:10" x14ac:dyDescent="0.25">
      <c r="A240" t="str">
        <f>[5]trip_summary_region!A240</f>
        <v>03 WAIKATO</v>
      </c>
      <c r="B240">
        <f>[5]trip_summary_region!B240</f>
        <v>11</v>
      </c>
      <c r="C240">
        <f>[5]trip_summary_region!C240</f>
        <v>2013</v>
      </c>
      <c r="D240">
        <f>[5]trip_summary_region!D240</f>
        <v>52</v>
      </c>
      <c r="E240">
        <f>[5]trip_summary_region!E240</f>
        <v>244</v>
      </c>
      <c r="F240">
        <f>[5]trip_summary_region!F240</f>
        <v>8.7527428694000005</v>
      </c>
      <c r="G240">
        <f>[5]trip_summary_region!G240</f>
        <v>166.86894676</v>
      </c>
      <c r="H240">
        <f>[5]trip_summary_region!H240</f>
        <v>3.3327759721999999</v>
      </c>
      <c r="I240" t="str">
        <f>[5]trip_summary_region!I240</f>
        <v>Non-Household Travel</v>
      </c>
      <c r="J240" t="str">
        <f>[5]trip_summary_region!J240</f>
        <v>2012/13</v>
      </c>
    </row>
    <row r="241" spans="1:10" x14ac:dyDescent="0.25">
      <c r="A241" t="str">
        <f>[5]trip_summary_region!A241</f>
        <v>03 WAIKATO</v>
      </c>
      <c r="B241">
        <f>[5]trip_summary_region!B241</f>
        <v>11</v>
      </c>
      <c r="C241">
        <f>[5]trip_summary_region!C241</f>
        <v>2018</v>
      </c>
      <c r="D241">
        <f>[5]trip_summary_region!D241</f>
        <v>52</v>
      </c>
      <c r="E241">
        <f>[5]trip_summary_region!E241</f>
        <v>244</v>
      </c>
      <c r="F241">
        <f>[5]trip_summary_region!F241</f>
        <v>9.1104739896000009</v>
      </c>
      <c r="G241">
        <f>[5]trip_summary_region!G241</f>
        <v>171.16717632000001</v>
      </c>
      <c r="H241">
        <f>[5]trip_summary_region!H241</f>
        <v>3.4369504678</v>
      </c>
      <c r="I241" t="str">
        <f>[5]trip_summary_region!I241</f>
        <v>Non-Household Travel</v>
      </c>
      <c r="J241" t="str">
        <f>[5]trip_summary_region!J241</f>
        <v>2017/18</v>
      </c>
    </row>
    <row r="242" spans="1:10" x14ac:dyDescent="0.25">
      <c r="A242" t="str">
        <f>[5]trip_summary_region!A242</f>
        <v>03 WAIKATO</v>
      </c>
      <c r="B242">
        <f>[5]trip_summary_region!B242</f>
        <v>11</v>
      </c>
      <c r="C242">
        <f>[5]trip_summary_region!C242</f>
        <v>2023</v>
      </c>
      <c r="D242">
        <f>[5]trip_summary_region!D242</f>
        <v>52</v>
      </c>
      <c r="E242">
        <f>[5]trip_summary_region!E242</f>
        <v>244</v>
      </c>
      <c r="F242">
        <f>[5]trip_summary_region!F242</f>
        <v>9.2178153900000002</v>
      </c>
      <c r="G242">
        <f>[5]trip_summary_region!G242</f>
        <v>172.85319709999999</v>
      </c>
      <c r="H242">
        <f>[5]trip_summary_region!H242</f>
        <v>3.4740804974000001</v>
      </c>
      <c r="I242" t="str">
        <f>[5]trip_summary_region!I242</f>
        <v>Non-Household Travel</v>
      </c>
      <c r="J242" t="str">
        <f>[5]trip_summary_region!J242</f>
        <v>2022/23</v>
      </c>
    </row>
    <row r="243" spans="1:10" x14ac:dyDescent="0.25">
      <c r="A243" t="str">
        <f>[5]trip_summary_region!A243</f>
        <v>03 WAIKATO</v>
      </c>
      <c r="B243">
        <f>[5]trip_summary_region!B243</f>
        <v>11</v>
      </c>
      <c r="C243">
        <f>[5]trip_summary_region!C243</f>
        <v>2028</v>
      </c>
      <c r="D243">
        <f>[5]trip_summary_region!D243</f>
        <v>52</v>
      </c>
      <c r="E243">
        <f>[5]trip_summary_region!E243</f>
        <v>244</v>
      </c>
      <c r="F243">
        <f>[5]trip_summary_region!F243</f>
        <v>9.3626850333</v>
      </c>
      <c r="G243">
        <f>[5]trip_summary_region!G243</f>
        <v>178.29019266</v>
      </c>
      <c r="H243">
        <f>[5]trip_summary_region!H243</f>
        <v>3.5690151241999999</v>
      </c>
      <c r="I243" t="str">
        <f>[5]trip_summary_region!I243</f>
        <v>Non-Household Travel</v>
      </c>
      <c r="J243" t="str">
        <f>[5]trip_summary_region!J243</f>
        <v>2027/28</v>
      </c>
    </row>
    <row r="244" spans="1:10" x14ac:dyDescent="0.25">
      <c r="A244" t="str">
        <f>[5]trip_summary_region!A244</f>
        <v>03 WAIKATO</v>
      </c>
      <c r="B244">
        <f>[5]trip_summary_region!B244</f>
        <v>11</v>
      </c>
      <c r="C244">
        <f>[5]trip_summary_region!C244</f>
        <v>2033</v>
      </c>
      <c r="D244">
        <f>[5]trip_summary_region!D244</f>
        <v>52</v>
      </c>
      <c r="E244">
        <f>[5]trip_summary_region!E244</f>
        <v>244</v>
      </c>
      <c r="F244">
        <f>[5]trip_summary_region!F244</f>
        <v>9.5189366662000001</v>
      </c>
      <c r="G244">
        <f>[5]trip_summary_region!G244</f>
        <v>185.33342224</v>
      </c>
      <c r="H244">
        <f>[5]trip_summary_region!H244</f>
        <v>3.6856464273</v>
      </c>
      <c r="I244" t="str">
        <f>[5]trip_summary_region!I244</f>
        <v>Non-Household Travel</v>
      </c>
      <c r="J244" t="str">
        <f>[5]trip_summary_region!J244</f>
        <v>2032/33</v>
      </c>
    </row>
    <row r="245" spans="1:10" x14ac:dyDescent="0.25">
      <c r="A245" t="str">
        <f>[5]trip_summary_region!A245</f>
        <v>03 WAIKATO</v>
      </c>
      <c r="B245">
        <f>[5]trip_summary_region!B245</f>
        <v>11</v>
      </c>
      <c r="C245">
        <f>[5]trip_summary_region!C245</f>
        <v>2038</v>
      </c>
      <c r="D245">
        <f>[5]trip_summary_region!D245</f>
        <v>52</v>
      </c>
      <c r="E245">
        <f>[5]trip_summary_region!E245</f>
        <v>244</v>
      </c>
      <c r="F245">
        <f>[5]trip_summary_region!F245</f>
        <v>9.7155234560999997</v>
      </c>
      <c r="G245">
        <f>[5]trip_summary_region!G245</f>
        <v>192.10237180999999</v>
      </c>
      <c r="H245">
        <f>[5]trip_summary_region!H245</f>
        <v>3.8078684053999998</v>
      </c>
      <c r="I245" t="str">
        <f>[5]trip_summary_region!I245</f>
        <v>Non-Household Travel</v>
      </c>
      <c r="J245" t="str">
        <f>[5]trip_summary_region!J245</f>
        <v>2037/38</v>
      </c>
    </row>
    <row r="246" spans="1:10" x14ac:dyDescent="0.25">
      <c r="A246" t="str">
        <f>[5]trip_summary_region!A246</f>
        <v>03 WAIKATO</v>
      </c>
      <c r="B246">
        <f>[5]trip_summary_region!B246</f>
        <v>11</v>
      </c>
      <c r="C246">
        <f>[5]trip_summary_region!C246</f>
        <v>2043</v>
      </c>
      <c r="D246">
        <f>[5]trip_summary_region!D246</f>
        <v>52</v>
      </c>
      <c r="E246">
        <f>[5]trip_summary_region!E246</f>
        <v>244</v>
      </c>
      <c r="F246">
        <f>[5]trip_summary_region!F246</f>
        <v>9.8602518520999993</v>
      </c>
      <c r="G246">
        <f>[5]trip_summary_region!G246</f>
        <v>197.93015933999999</v>
      </c>
      <c r="H246">
        <f>[5]trip_summary_region!H246</f>
        <v>3.9103839455</v>
      </c>
      <c r="I246" t="str">
        <f>[5]trip_summary_region!I246</f>
        <v>Non-Household Travel</v>
      </c>
      <c r="J246" t="str">
        <f>[5]trip_summary_region!J246</f>
        <v>2042/43</v>
      </c>
    </row>
    <row r="247" spans="1:10" x14ac:dyDescent="0.25">
      <c r="A247" t="str">
        <f>[5]trip_summary_region!A247</f>
        <v>04 BAY OF PLENTY</v>
      </c>
      <c r="B247">
        <f>[5]trip_summary_region!B247</f>
        <v>0</v>
      </c>
      <c r="C247">
        <f>[5]trip_summary_region!C247</f>
        <v>2013</v>
      </c>
      <c r="D247">
        <f>[5]trip_summary_region!D247</f>
        <v>436</v>
      </c>
      <c r="E247">
        <f>[5]trip_summary_region!E247</f>
        <v>1419</v>
      </c>
      <c r="F247">
        <f>[5]trip_summary_region!F247</f>
        <v>43.402809341999998</v>
      </c>
      <c r="G247">
        <f>[5]trip_summary_region!G247</f>
        <v>35.579183637</v>
      </c>
      <c r="H247">
        <f>[5]trip_summary_region!H247</f>
        <v>9.1706746114000008</v>
      </c>
      <c r="I247" t="str">
        <f>[5]trip_summary_region!I247</f>
        <v>Pedestrian</v>
      </c>
      <c r="J247" t="str">
        <f>[5]trip_summary_region!J247</f>
        <v>2012/13</v>
      </c>
    </row>
    <row r="248" spans="1:10" x14ac:dyDescent="0.25">
      <c r="A248" t="str">
        <f>[5]trip_summary_region!A248</f>
        <v>04 BAY OF PLENTY</v>
      </c>
      <c r="B248">
        <f>[5]trip_summary_region!B248</f>
        <v>0</v>
      </c>
      <c r="C248">
        <f>[5]trip_summary_region!C248</f>
        <v>2018</v>
      </c>
      <c r="D248">
        <f>[5]trip_summary_region!D248</f>
        <v>436</v>
      </c>
      <c r="E248">
        <f>[5]trip_summary_region!E248</f>
        <v>1419</v>
      </c>
      <c r="F248">
        <f>[5]trip_summary_region!F248</f>
        <v>43.372110368999998</v>
      </c>
      <c r="G248">
        <f>[5]trip_summary_region!G248</f>
        <v>34.790992879000001</v>
      </c>
      <c r="H248">
        <f>[5]trip_summary_region!H248</f>
        <v>9.1231368286999999</v>
      </c>
      <c r="I248" t="str">
        <f>[5]trip_summary_region!I248</f>
        <v>Pedestrian</v>
      </c>
      <c r="J248" t="str">
        <f>[5]trip_summary_region!J248</f>
        <v>2017/18</v>
      </c>
    </row>
    <row r="249" spans="1:10" x14ac:dyDescent="0.25">
      <c r="A249" t="str">
        <f>[5]trip_summary_region!A249</f>
        <v>04 BAY OF PLENTY</v>
      </c>
      <c r="B249">
        <f>[5]trip_summary_region!B249</f>
        <v>0</v>
      </c>
      <c r="C249">
        <f>[5]trip_summary_region!C249</f>
        <v>2023</v>
      </c>
      <c r="D249">
        <f>[5]trip_summary_region!D249</f>
        <v>436</v>
      </c>
      <c r="E249">
        <f>[5]trip_summary_region!E249</f>
        <v>1419</v>
      </c>
      <c r="F249">
        <f>[5]trip_summary_region!F249</f>
        <v>43.995149914999999</v>
      </c>
      <c r="G249">
        <f>[5]trip_summary_region!G249</f>
        <v>34.740502710000001</v>
      </c>
      <c r="H249">
        <f>[5]trip_summary_region!H249</f>
        <v>9.2253754374000003</v>
      </c>
      <c r="I249" t="str">
        <f>[5]trip_summary_region!I249</f>
        <v>Pedestrian</v>
      </c>
      <c r="J249" t="str">
        <f>[5]trip_summary_region!J249</f>
        <v>2022/23</v>
      </c>
    </row>
    <row r="250" spans="1:10" x14ac:dyDescent="0.25">
      <c r="A250" t="str">
        <f>[5]trip_summary_region!A250</f>
        <v>04 BAY OF PLENTY</v>
      </c>
      <c r="B250">
        <f>[5]trip_summary_region!B250</f>
        <v>0</v>
      </c>
      <c r="C250">
        <f>[5]trip_summary_region!C250</f>
        <v>2028</v>
      </c>
      <c r="D250">
        <f>[5]trip_summary_region!D250</f>
        <v>436</v>
      </c>
      <c r="E250">
        <f>[5]trip_summary_region!E250</f>
        <v>1419</v>
      </c>
      <c r="F250">
        <f>[5]trip_summary_region!F250</f>
        <v>45.152885740999999</v>
      </c>
      <c r="G250">
        <f>[5]trip_summary_region!G250</f>
        <v>34.816979435999997</v>
      </c>
      <c r="H250">
        <f>[5]trip_summary_region!H250</f>
        <v>9.3384111796999996</v>
      </c>
      <c r="I250" t="str">
        <f>[5]trip_summary_region!I250</f>
        <v>Pedestrian</v>
      </c>
      <c r="J250" t="str">
        <f>[5]trip_summary_region!J250</f>
        <v>2027/28</v>
      </c>
    </row>
    <row r="251" spans="1:10" x14ac:dyDescent="0.25">
      <c r="A251" t="str">
        <f>[5]trip_summary_region!A251</f>
        <v>04 BAY OF PLENTY</v>
      </c>
      <c r="B251">
        <f>[5]trip_summary_region!B251</f>
        <v>0</v>
      </c>
      <c r="C251">
        <f>[5]trip_summary_region!C251</f>
        <v>2033</v>
      </c>
      <c r="D251">
        <f>[5]trip_summary_region!D251</f>
        <v>436</v>
      </c>
      <c r="E251">
        <f>[5]trip_summary_region!E251</f>
        <v>1419</v>
      </c>
      <c r="F251">
        <f>[5]trip_summary_region!F251</f>
        <v>45.919451062</v>
      </c>
      <c r="G251">
        <f>[5]trip_summary_region!G251</f>
        <v>34.448423263999999</v>
      </c>
      <c r="H251">
        <f>[5]trip_summary_region!H251</f>
        <v>9.3299146004000004</v>
      </c>
      <c r="I251" t="str">
        <f>[5]trip_summary_region!I251</f>
        <v>Pedestrian</v>
      </c>
      <c r="J251" t="str">
        <f>[5]trip_summary_region!J251</f>
        <v>2032/33</v>
      </c>
    </row>
    <row r="252" spans="1:10" x14ac:dyDescent="0.25">
      <c r="A252" t="str">
        <f>[5]trip_summary_region!A252</f>
        <v>04 BAY OF PLENTY</v>
      </c>
      <c r="B252">
        <f>[5]trip_summary_region!B252</f>
        <v>0</v>
      </c>
      <c r="C252">
        <f>[5]trip_summary_region!C252</f>
        <v>2038</v>
      </c>
      <c r="D252">
        <f>[5]trip_summary_region!D252</f>
        <v>436</v>
      </c>
      <c r="E252">
        <f>[5]trip_summary_region!E252</f>
        <v>1419</v>
      </c>
      <c r="F252">
        <f>[5]trip_summary_region!F252</f>
        <v>46.561837576000002</v>
      </c>
      <c r="G252">
        <f>[5]trip_summary_region!G252</f>
        <v>34.190260559000002</v>
      </c>
      <c r="H252">
        <f>[5]trip_summary_region!H252</f>
        <v>9.3014655286999997</v>
      </c>
      <c r="I252" t="str">
        <f>[5]trip_summary_region!I252</f>
        <v>Pedestrian</v>
      </c>
      <c r="J252" t="str">
        <f>[5]trip_summary_region!J252</f>
        <v>2037/38</v>
      </c>
    </row>
    <row r="253" spans="1:10" x14ac:dyDescent="0.25">
      <c r="A253" t="str">
        <f>[5]trip_summary_region!A253</f>
        <v>04 BAY OF PLENTY</v>
      </c>
      <c r="B253">
        <f>[5]trip_summary_region!B253</f>
        <v>0</v>
      </c>
      <c r="C253">
        <f>[5]trip_summary_region!C253</f>
        <v>2043</v>
      </c>
      <c r="D253">
        <f>[5]trip_summary_region!D253</f>
        <v>436</v>
      </c>
      <c r="E253">
        <f>[5]trip_summary_region!E253</f>
        <v>1419</v>
      </c>
      <c r="F253">
        <f>[5]trip_summary_region!F253</f>
        <v>47.068287372</v>
      </c>
      <c r="G253">
        <f>[5]trip_summary_region!G253</f>
        <v>33.855235813</v>
      </c>
      <c r="H253">
        <f>[5]trip_summary_region!H253</f>
        <v>9.2469032937000009</v>
      </c>
      <c r="I253" t="str">
        <f>[5]trip_summary_region!I253</f>
        <v>Pedestrian</v>
      </c>
      <c r="J253" t="str">
        <f>[5]trip_summary_region!J253</f>
        <v>2042/43</v>
      </c>
    </row>
    <row r="254" spans="1:10" x14ac:dyDescent="0.25">
      <c r="A254" t="str">
        <f>[5]trip_summary_region!A254</f>
        <v>04 BAY OF PLENTY</v>
      </c>
      <c r="B254">
        <f>[5]trip_summary_region!B254</f>
        <v>1</v>
      </c>
      <c r="C254">
        <f>[5]trip_summary_region!C254</f>
        <v>2013</v>
      </c>
      <c r="D254">
        <f>[5]trip_summary_region!D254</f>
        <v>53</v>
      </c>
      <c r="E254">
        <f>[5]trip_summary_region!E254</f>
        <v>183</v>
      </c>
      <c r="F254">
        <f>[5]trip_summary_region!F254</f>
        <v>5.1579391552000002</v>
      </c>
      <c r="G254">
        <f>[5]trip_summary_region!G254</f>
        <v>8.5028812633000008</v>
      </c>
      <c r="H254">
        <f>[5]trip_summary_region!H254</f>
        <v>0.91801276549999999</v>
      </c>
      <c r="I254" t="str">
        <f>[5]trip_summary_region!I254</f>
        <v>Cyclist</v>
      </c>
      <c r="J254" t="str">
        <f>[5]trip_summary_region!J254</f>
        <v>2012/13</v>
      </c>
    </row>
    <row r="255" spans="1:10" x14ac:dyDescent="0.25">
      <c r="A255" t="str">
        <f>[5]trip_summary_region!A255</f>
        <v>04 BAY OF PLENTY</v>
      </c>
      <c r="B255">
        <f>[5]trip_summary_region!B255</f>
        <v>1</v>
      </c>
      <c r="C255">
        <f>[5]trip_summary_region!C255</f>
        <v>2018</v>
      </c>
      <c r="D255">
        <f>[5]trip_summary_region!D255</f>
        <v>53</v>
      </c>
      <c r="E255">
        <f>[5]trip_summary_region!E255</f>
        <v>183</v>
      </c>
      <c r="F255">
        <f>[5]trip_summary_region!F255</f>
        <v>4.9444556304000002</v>
      </c>
      <c r="G255">
        <f>[5]trip_summary_region!G255</f>
        <v>8.1634751249999997</v>
      </c>
      <c r="H255">
        <f>[5]trip_summary_region!H255</f>
        <v>0.87246196180000002</v>
      </c>
      <c r="I255" t="str">
        <f>[5]trip_summary_region!I255</f>
        <v>Cyclist</v>
      </c>
      <c r="J255" t="str">
        <f>[5]trip_summary_region!J255</f>
        <v>2017/18</v>
      </c>
    </row>
    <row r="256" spans="1:10" x14ac:dyDescent="0.25">
      <c r="A256" t="str">
        <f>[5]trip_summary_region!A256</f>
        <v>04 BAY OF PLENTY</v>
      </c>
      <c r="B256">
        <f>[5]trip_summary_region!B256</f>
        <v>1</v>
      </c>
      <c r="C256">
        <f>[5]trip_summary_region!C256</f>
        <v>2023</v>
      </c>
      <c r="D256">
        <f>[5]trip_summary_region!D256</f>
        <v>53</v>
      </c>
      <c r="E256">
        <f>[5]trip_summary_region!E256</f>
        <v>183</v>
      </c>
      <c r="F256">
        <f>[5]trip_summary_region!F256</f>
        <v>4.8500432681000003</v>
      </c>
      <c r="G256">
        <f>[5]trip_summary_region!G256</f>
        <v>8.0152527414999994</v>
      </c>
      <c r="H256">
        <f>[5]trip_summary_region!H256</f>
        <v>0.85065460429999995</v>
      </c>
      <c r="I256" t="str">
        <f>[5]trip_summary_region!I256</f>
        <v>Cyclist</v>
      </c>
      <c r="J256" t="str">
        <f>[5]trip_summary_region!J256</f>
        <v>2022/23</v>
      </c>
    </row>
    <row r="257" spans="1:10" x14ac:dyDescent="0.25">
      <c r="A257" t="str">
        <f>[5]trip_summary_region!A257</f>
        <v>04 BAY OF PLENTY</v>
      </c>
      <c r="B257">
        <f>[5]trip_summary_region!B257</f>
        <v>1</v>
      </c>
      <c r="C257">
        <f>[5]trip_summary_region!C257</f>
        <v>2028</v>
      </c>
      <c r="D257">
        <f>[5]trip_summary_region!D257</f>
        <v>53</v>
      </c>
      <c r="E257">
        <f>[5]trip_summary_region!E257</f>
        <v>183</v>
      </c>
      <c r="F257">
        <f>[5]trip_summary_region!F257</f>
        <v>4.9282689907000004</v>
      </c>
      <c r="G257">
        <f>[5]trip_summary_region!G257</f>
        <v>8.1177348283999997</v>
      </c>
      <c r="H257">
        <f>[5]trip_summary_region!H257</f>
        <v>0.85599727280000004</v>
      </c>
      <c r="I257" t="str">
        <f>[5]trip_summary_region!I257</f>
        <v>Cyclist</v>
      </c>
      <c r="J257" t="str">
        <f>[5]trip_summary_region!J257</f>
        <v>2027/28</v>
      </c>
    </row>
    <row r="258" spans="1:10" x14ac:dyDescent="0.25">
      <c r="A258" t="str">
        <f>[5]trip_summary_region!A258</f>
        <v>04 BAY OF PLENTY</v>
      </c>
      <c r="B258">
        <f>[5]trip_summary_region!B258</f>
        <v>1</v>
      </c>
      <c r="C258">
        <f>[5]trip_summary_region!C258</f>
        <v>2033</v>
      </c>
      <c r="D258">
        <f>[5]trip_summary_region!D258</f>
        <v>53</v>
      </c>
      <c r="E258">
        <f>[5]trip_summary_region!E258</f>
        <v>183</v>
      </c>
      <c r="F258">
        <f>[5]trip_summary_region!F258</f>
        <v>4.9497597988999997</v>
      </c>
      <c r="G258">
        <f>[5]trip_summary_region!G258</f>
        <v>8.0581097381000006</v>
      </c>
      <c r="H258">
        <f>[5]trip_summary_region!H258</f>
        <v>0.84902615749999999</v>
      </c>
      <c r="I258" t="str">
        <f>[5]trip_summary_region!I258</f>
        <v>Cyclist</v>
      </c>
      <c r="J258" t="str">
        <f>[5]trip_summary_region!J258</f>
        <v>2032/33</v>
      </c>
    </row>
    <row r="259" spans="1:10" x14ac:dyDescent="0.25">
      <c r="A259" t="str">
        <f>[5]trip_summary_region!A259</f>
        <v>04 BAY OF PLENTY</v>
      </c>
      <c r="B259">
        <f>[5]trip_summary_region!B259</f>
        <v>1</v>
      </c>
      <c r="C259">
        <f>[5]trip_summary_region!C259</f>
        <v>2038</v>
      </c>
      <c r="D259">
        <f>[5]trip_summary_region!D259</f>
        <v>53</v>
      </c>
      <c r="E259">
        <f>[5]trip_summary_region!E259</f>
        <v>183</v>
      </c>
      <c r="F259">
        <f>[5]trip_summary_region!F259</f>
        <v>4.9417954130000004</v>
      </c>
      <c r="G259">
        <f>[5]trip_summary_region!G259</f>
        <v>8.0842583906000005</v>
      </c>
      <c r="H259">
        <f>[5]trip_summary_region!H259</f>
        <v>0.84240488530000002</v>
      </c>
      <c r="I259" t="str">
        <f>[5]trip_summary_region!I259</f>
        <v>Cyclist</v>
      </c>
      <c r="J259" t="str">
        <f>[5]trip_summary_region!J259</f>
        <v>2037/38</v>
      </c>
    </row>
    <row r="260" spans="1:10" x14ac:dyDescent="0.25">
      <c r="A260" t="str">
        <f>[5]trip_summary_region!A260</f>
        <v>04 BAY OF PLENTY</v>
      </c>
      <c r="B260">
        <f>[5]trip_summary_region!B260</f>
        <v>1</v>
      </c>
      <c r="C260">
        <f>[5]trip_summary_region!C260</f>
        <v>2043</v>
      </c>
      <c r="D260">
        <f>[5]trip_summary_region!D260</f>
        <v>53</v>
      </c>
      <c r="E260">
        <f>[5]trip_summary_region!E260</f>
        <v>183</v>
      </c>
      <c r="F260">
        <f>[5]trip_summary_region!F260</f>
        <v>4.9165953797000004</v>
      </c>
      <c r="G260">
        <f>[5]trip_summary_region!G260</f>
        <v>8.0943519877999996</v>
      </c>
      <c r="H260">
        <f>[5]trip_summary_region!H260</f>
        <v>0.83391520279999998</v>
      </c>
      <c r="I260" t="str">
        <f>[5]trip_summary_region!I260</f>
        <v>Cyclist</v>
      </c>
      <c r="J260" t="str">
        <f>[5]trip_summary_region!J260</f>
        <v>2042/43</v>
      </c>
    </row>
    <row r="261" spans="1:10" x14ac:dyDescent="0.25">
      <c r="A261" t="str">
        <f>[5]trip_summary_region!A261</f>
        <v>04 BAY OF PLENTY</v>
      </c>
      <c r="B261">
        <f>[5]trip_summary_region!B261</f>
        <v>2</v>
      </c>
      <c r="C261">
        <f>[5]trip_summary_region!C261</f>
        <v>2013</v>
      </c>
      <c r="D261">
        <f>[5]trip_summary_region!D261</f>
        <v>777</v>
      </c>
      <c r="E261">
        <f>[5]trip_summary_region!E261</f>
        <v>5260</v>
      </c>
      <c r="F261">
        <f>[5]trip_summary_region!F261</f>
        <v>178.59124365</v>
      </c>
      <c r="G261">
        <f>[5]trip_summary_region!G261</f>
        <v>1972.0747595</v>
      </c>
      <c r="H261">
        <f>[5]trip_summary_region!H261</f>
        <v>45.59682093</v>
      </c>
      <c r="I261" t="str">
        <f>[5]trip_summary_region!I261</f>
        <v>Light Vehicle Driver</v>
      </c>
      <c r="J261" t="str">
        <f>[5]trip_summary_region!J261</f>
        <v>2012/13</v>
      </c>
    </row>
    <row r="262" spans="1:10" x14ac:dyDescent="0.25">
      <c r="A262" t="str">
        <f>[5]trip_summary_region!A262</f>
        <v>04 BAY OF PLENTY</v>
      </c>
      <c r="B262">
        <f>[5]trip_summary_region!B262</f>
        <v>2</v>
      </c>
      <c r="C262">
        <f>[5]trip_summary_region!C262</f>
        <v>2018</v>
      </c>
      <c r="D262">
        <f>[5]trip_summary_region!D262</f>
        <v>777</v>
      </c>
      <c r="E262">
        <f>[5]trip_summary_region!E262</f>
        <v>5260</v>
      </c>
      <c r="F262">
        <f>[5]trip_summary_region!F262</f>
        <v>182.18770501</v>
      </c>
      <c r="G262">
        <f>[5]trip_summary_region!G262</f>
        <v>2042.3257997999999</v>
      </c>
      <c r="H262">
        <f>[5]trip_summary_region!H262</f>
        <v>46.924778840000002</v>
      </c>
      <c r="I262" t="str">
        <f>[5]trip_summary_region!I262</f>
        <v>Light Vehicle Driver</v>
      </c>
      <c r="J262" t="str">
        <f>[5]trip_summary_region!J262</f>
        <v>2017/18</v>
      </c>
    </row>
    <row r="263" spans="1:10" x14ac:dyDescent="0.25">
      <c r="A263" t="str">
        <f>[5]trip_summary_region!A263</f>
        <v>04 BAY OF PLENTY</v>
      </c>
      <c r="B263">
        <f>[5]trip_summary_region!B263</f>
        <v>2</v>
      </c>
      <c r="C263">
        <f>[5]trip_summary_region!C263</f>
        <v>2023</v>
      </c>
      <c r="D263">
        <f>[5]trip_summary_region!D263</f>
        <v>777</v>
      </c>
      <c r="E263">
        <f>[5]trip_summary_region!E263</f>
        <v>5260</v>
      </c>
      <c r="F263">
        <f>[5]trip_summary_region!F263</f>
        <v>188.84163054000001</v>
      </c>
      <c r="G263">
        <f>[5]trip_summary_region!G263</f>
        <v>2141.3896730000001</v>
      </c>
      <c r="H263">
        <f>[5]trip_summary_region!H263</f>
        <v>48.980642240000002</v>
      </c>
      <c r="I263" t="str">
        <f>[5]trip_summary_region!I263</f>
        <v>Light Vehicle Driver</v>
      </c>
      <c r="J263" t="str">
        <f>[5]trip_summary_region!J263</f>
        <v>2022/23</v>
      </c>
    </row>
    <row r="264" spans="1:10" x14ac:dyDescent="0.25">
      <c r="A264" t="str">
        <f>[5]trip_summary_region!A264</f>
        <v>04 BAY OF PLENTY</v>
      </c>
      <c r="B264">
        <f>[5]trip_summary_region!B264</f>
        <v>2</v>
      </c>
      <c r="C264">
        <f>[5]trip_summary_region!C264</f>
        <v>2028</v>
      </c>
      <c r="D264">
        <f>[5]trip_summary_region!D264</f>
        <v>777</v>
      </c>
      <c r="E264">
        <f>[5]trip_summary_region!E264</f>
        <v>5260</v>
      </c>
      <c r="F264">
        <f>[5]trip_summary_region!F264</f>
        <v>198.75493283</v>
      </c>
      <c r="G264">
        <f>[5]trip_summary_region!G264</f>
        <v>2278.1616451999998</v>
      </c>
      <c r="H264">
        <f>[5]trip_summary_region!H264</f>
        <v>51.924729636999999</v>
      </c>
      <c r="I264" t="str">
        <f>[5]trip_summary_region!I264</f>
        <v>Light Vehicle Driver</v>
      </c>
      <c r="J264" t="str">
        <f>[5]trip_summary_region!J264</f>
        <v>2027/28</v>
      </c>
    </row>
    <row r="265" spans="1:10" x14ac:dyDescent="0.25">
      <c r="A265" t="str">
        <f>[5]trip_summary_region!A265</f>
        <v>04 BAY OF PLENTY</v>
      </c>
      <c r="B265">
        <f>[5]trip_summary_region!B265</f>
        <v>2</v>
      </c>
      <c r="C265">
        <f>[5]trip_summary_region!C265</f>
        <v>2033</v>
      </c>
      <c r="D265">
        <f>[5]trip_summary_region!D265</f>
        <v>777</v>
      </c>
      <c r="E265">
        <f>[5]trip_summary_region!E265</f>
        <v>5260</v>
      </c>
      <c r="F265">
        <f>[5]trip_summary_region!F265</f>
        <v>205.77851817000001</v>
      </c>
      <c r="G265">
        <f>[5]trip_summary_region!G265</f>
        <v>2374.3043545999999</v>
      </c>
      <c r="H265">
        <f>[5]trip_summary_region!H265</f>
        <v>54.023771197999999</v>
      </c>
      <c r="I265" t="str">
        <f>[5]trip_summary_region!I265</f>
        <v>Light Vehicle Driver</v>
      </c>
      <c r="J265" t="str">
        <f>[5]trip_summary_region!J265</f>
        <v>2032/33</v>
      </c>
    </row>
    <row r="266" spans="1:10" x14ac:dyDescent="0.25">
      <c r="A266" t="str">
        <f>[5]trip_summary_region!A266</f>
        <v>04 BAY OF PLENTY</v>
      </c>
      <c r="B266">
        <f>[5]trip_summary_region!B266</f>
        <v>2</v>
      </c>
      <c r="C266">
        <f>[5]trip_summary_region!C266</f>
        <v>2038</v>
      </c>
      <c r="D266">
        <f>[5]trip_summary_region!D266</f>
        <v>777</v>
      </c>
      <c r="E266">
        <f>[5]trip_summary_region!E266</f>
        <v>5260</v>
      </c>
      <c r="F266">
        <f>[5]trip_summary_region!F266</f>
        <v>208.99509796000001</v>
      </c>
      <c r="G266">
        <f>[5]trip_summary_region!G266</f>
        <v>2420.4336051</v>
      </c>
      <c r="H266">
        <f>[5]trip_summary_region!H266</f>
        <v>55.089980236999999</v>
      </c>
      <c r="I266" t="str">
        <f>[5]trip_summary_region!I266</f>
        <v>Light Vehicle Driver</v>
      </c>
      <c r="J266" t="str">
        <f>[5]trip_summary_region!J266</f>
        <v>2037/38</v>
      </c>
    </row>
    <row r="267" spans="1:10" x14ac:dyDescent="0.25">
      <c r="A267" t="str">
        <f>[5]trip_summary_region!A267</f>
        <v>04 BAY OF PLENTY</v>
      </c>
      <c r="B267">
        <f>[5]trip_summary_region!B267</f>
        <v>2</v>
      </c>
      <c r="C267">
        <f>[5]trip_summary_region!C267</f>
        <v>2043</v>
      </c>
      <c r="D267">
        <f>[5]trip_summary_region!D267</f>
        <v>777</v>
      </c>
      <c r="E267">
        <f>[5]trip_summary_region!E267</f>
        <v>5260</v>
      </c>
      <c r="F267">
        <f>[5]trip_summary_region!F267</f>
        <v>211.30127001</v>
      </c>
      <c r="G267">
        <f>[5]trip_summary_region!G267</f>
        <v>2455.6110985</v>
      </c>
      <c r="H267">
        <f>[5]trip_summary_region!H267</f>
        <v>55.933187685</v>
      </c>
      <c r="I267" t="str">
        <f>[5]trip_summary_region!I267</f>
        <v>Light Vehicle Driver</v>
      </c>
      <c r="J267" t="str">
        <f>[5]trip_summary_region!J267</f>
        <v>2042/43</v>
      </c>
    </row>
    <row r="268" spans="1:10" x14ac:dyDescent="0.25">
      <c r="A268" t="str">
        <f>[5]trip_summary_region!A268</f>
        <v>04 BAY OF PLENTY</v>
      </c>
      <c r="B268">
        <f>[5]trip_summary_region!B268</f>
        <v>3</v>
      </c>
      <c r="C268">
        <f>[5]trip_summary_region!C268</f>
        <v>2013</v>
      </c>
      <c r="D268">
        <f>[5]trip_summary_region!D268</f>
        <v>591</v>
      </c>
      <c r="E268">
        <f>[5]trip_summary_region!E268</f>
        <v>2668</v>
      </c>
      <c r="F268">
        <f>[5]trip_summary_region!F268</f>
        <v>98.719582360000004</v>
      </c>
      <c r="G268">
        <f>[5]trip_summary_region!G268</f>
        <v>1385.2330090999999</v>
      </c>
      <c r="H268">
        <f>[5]trip_summary_region!H268</f>
        <v>28.895615969000001</v>
      </c>
      <c r="I268" t="str">
        <f>[5]trip_summary_region!I268</f>
        <v>Light Vehicle Passenger</v>
      </c>
      <c r="J268" t="str">
        <f>[5]trip_summary_region!J268</f>
        <v>2012/13</v>
      </c>
    </row>
    <row r="269" spans="1:10" x14ac:dyDescent="0.25">
      <c r="A269" t="str">
        <f>[5]trip_summary_region!A269</f>
        <v>04 BAY OF PLENTY</v>
      </c>
      <c r="B269">
        <f>[5]trip_summary_region!B269</f>
        <v>3</v>
      </c>
      <c r="C269">
        <f>[5]trip_summary_region!C269</f>
        <v>2018</v>
      </c>
      <c r="D269">
        <f>[5]trip_summary_region!D269</f>
        <v>591</v>
      </c>
      <c r="E269">
        <f>[5]trip_summary_region!E269</f>
        <v>2668</v>
      </c>
      <c r="F269">
        <f>[5]trip_summary_region!F269</f>
        <v>96.854488774999993</v>
      </c>
      <c r="G269">
        <f>[5]trip_summary_region!G269</f>
        <v>1434.7632172000001</v>
      </c>
      <c r="H269">
        <f>[5]trip_summary_region!H269</f>
        <v>29.389756508000001</v>
      </c>
      <c r="I269" t="str">
        <f>[5]trip_summary_region!I269</f>
        <v>Light Vehicle Passenger</v>
      </c>
      <c r="J269" t="str">
        <f>[5]trip_summary_region!J269</f>
        <v>2017/18</v>
      </c>
    </row>
    <row r="270" spans="1:10" x14ac:dyDescent="0.25">
      <c r="A270" t="str">
        <f>[5]trip_summary_region!A270</f>
        <v>04 BAY OF PLENTY</v>
      </c>
      <c r="B270">
        <f>[5]trip_summary_region!B270</f>
        <v>3</v>
      </c>
      <c r="C270">
        <f>[5]trip_summary_region!C270</f>
        <v>2023</v>
      </c>
      <c r="D270">
        <f>[5]trip_summary_region!D270</f>
        <v>591</v>
      </c>
      <c r="E270">
        <f>[5]trip_summary_region!E270</f>
        <v>2668</v>
      </c>
      <c r="F270">
        <f>[5]trip_summary_region!F270</f>
        <v>96.308968105000005</v>
      </c>
      <c r="G270">
        <f>[5]trip_summary_region!G270</f>
        <v>1486.2109055000001</v>
      </c>
      <c r="H270">
        <f>[5]trip_summary_region!H270</f>
        <v>30.100385065000001</v>
      </c>
      <c r="I270" t="str">
        <f>[5]trip_summary_region!I270</f>
        <v>Light Vehicle Passenger</v>
      </c>
      <c r="J270" t="str">
        <f>[5]trip_summary_region!J270</f>
        <v>2022/23</v>
      </c>
    </row>
    <row r="271" spans="1:10" x14ac:dyDescent="0.25">
      <c r="A271" t="str">
        <f>[5]trip_summary_region!A271</f>
        <v>04 BAY OF PLENTY</v>
      </c>
      <c r="B271">
        <f>[5]trip_summary_region!B271</f>
        <v>3</v>
      </c>
      <c r="C271">
        <f>[5]trip_summary_region!C271</f>
        <v>2028</v>
      </c>
      <c r="D271">
        <f>[5]trip_summary_region!D271</f>
        <v>591</v>
      </c>
      <c r="E271">
        <f>[5]trip_summary_region!E271</f>
        <v>2668</v>
      </c>
      <c r="F271">
        <f>[5]trip_summary_region!F271</f>
        <v>97.190953843000003</v>
      </c>
      <c r="G271">
        <f>[5]trip_summary_region!G271</f>
        <v>1545.3871498999999</v>
      </c>
      <c r="H271">
        <f>[5]trip_summary_region!H271</f>
        <v>31.045389652000001</v>
      </c>
      <c r="I271" t="str">
        <f>[5]trip_summary_region!I271</f>
        <v>Light Vehicle Passenger</v>
      </c>
      <c r="J271" t="str">
        <f>[5]trip_summary_region!J271</f>
        <v>2027/28</v>
      </c>
    </row>
    <row r="272" spans="1:10" x14ac:dyDescent="0.25">
      <c r="A272" t="str">
        <f>[5]trip_summary_region!A272</f>
        <v>04 BAY OF PLENTY</v>
      </c>
      <c r="B272">
        <f>[5]trip_summary_region!B272</f>
        <v>3</v>
      </c>
      <c r="C272">
        <f>[5]trip_summary_region!C272</f>
        <v>2033</v>
      </c>
      <c r="D272">
        <f>[5]trip_summary_region!D272</f>
        <v>591</v>
      </c>
      <c r="E272">
        <f>[5]trip_summary_region!E272</f>
        <v>2668</v>
      </c>
      <c r="F272">
        <f>[5]trip_summary_region!F272</f>
        <v>97.427187984</v>
      </c>
      <c r="G272">
        <f>[5]trip_summary_region!G272</f>
        <v>1575.3837180999999</v>
      </c>
      <c r="H272">
        <f>[5]trip_summary_region!H272</f>
        <v>31.493922194</v>
      </c>
      <c r="I272" t="str">
        <f>[5]trip_summary_region!I272</f>
        <v>Light Vehicle Passenger</v>
      </c>
      <c r="J272" t="str">
        <f>[5]trip_summary_region!J272</f>
        <v>2032/33</v>
      </c>
    </row>
    <row r="273" spans="1:10" x14ac:dyDescent="0.25">
      <c r="A273" t="str">
        <f>[5]trip_summary_region!A273</f>
        <v>04 BAY OF PLENTY</v>
      </c>
      <c r="B273">
        <f>[5]trip_summary_region!B273</f>
        <v>3</v>
      </c>
      <c r="C273">
        <f>[5]trip_summary_region!C273</f>
        <v>2038</v>
      </c>
      <c r="D273">
        <f>[5]trip_summary_region!D273</f>
        <v>591</v>
      </c>
      <c r="E273">
        <f>[5]trip_summary_region!E273</f>
        <v>2668</v>
      </c>
      <c r="F273">
        <f>[5]trip_summary_region!F273</f>
        <v>97.174843167000006</v>
      </c>
      <c r="G273">
        <f>[5]trip_summary_region!G273</f>
        <v>1592.4646315</v>
      </c>
      <c r="H273">
        <f>[5]trip_summary_region!H273</f>
        <v>31.720440298</v>
      </c>
      <c r="I273" t="str">
        <f>[5]trip_summary_region!I273</f>
        <v>Light Vehicle Passenger</v>
      </c>
      <c r="J273" t="str">
        <f>[5]trip_summary_region!J273</f>
        <v>2037/38</v>
      </c>
    </row>
    <row r="274" spans="1:10" x14ac:dyDescent="0.25">
      <c r="A274" t="str">
        <f>[5]trip_summary_region!A274</f>
        <v>04 BAY OF PLENTY</v>
      </c>
      <c r="B274">
        <f>[5]trip_summary_region!B274</f>
        <v>3</v>
      </c>
      <c r="C274">
        <f>[5]trip_summary_region!C274</f>
        <v>2043</v>
      </c>
      <c r="D274">
        <f>[5]trip_summary_region!D274</f>
        <v>591</v>
      </c>
      <c r="E274">
        <f>[5]trip_summary_region!E274</f>
        <v>2668</v>
      </c>
      <c r="F274">
        <f>[5]trip_summary_region!F274</f>
        <v>96.611828657000004</v>
      </c>
      <c r="G274">
        <f>[5]trip_summary_region!G274</f>
        <v>1603.5248200999999</v>
      </c>
      <c r="H274">
        <f>[5]trip_summary_region!H274</f>
        <v>31.835575307999999</v>
      </c>
      <c r="I274" t="str">
        <f>[5]trip_summary_region!I274</f>
        <v>Light Vehicle Passenger</v>
      </c>
      <c r="J274" t="str">
        <f>[5]trip_summary_region!J274</f>
        <v>2042/43</v>
      </c>
    </row>
    <row r="275" spans="1:10" x14ac:dyDescent="0.25">
      <c r="A275" t="str">
        <f>[5]trip_summary_region!A275</f>
        <v>04 BAY OF PLENTY</v>
      </c>
      <c r="B275">
        <f>[5]trip_summary_region!B275</f>
        <v>4</v>
      </c>
      <c r="C275">
        <f>[5]trip_summary_region!C275</f>
        <v>2013</v>
      </c>
      <c r="D275">
        <f>[5]trip_summary_region!D275</f>
        <v>4</v>
      </c>
      <c r="E275">
        <f>[5]trip_summary_region!E275</f>
        <v>8</v>
      </c>
      <c r="F275">
        <f>[5]trip_summary_region!F275</f>
        <v>0.15552198610000001</v>
      </c>
      <c r="G275">
        <f>[5]trip_summary_region!G275</f>
        <v>0.98369936449999995</v>
      </c>
      <c r="H275">
        <f>[5]trip_summary_region!H275</f>
        <v>7.3048454499999999E-2</v>
      </c>
      <c r="I275" t="s">
        <v>116</v>
      </c>
      <c r="J275" t="str">
        <f>[5]trip_summary_region!J275</f>
        <v>2012/13</v>
      </c>
    </row>
    <row r="276" spans="1:10" x14ac:dyDescent="0.25">
      <c r="A276" t="str">
        <f>[5]trip_summary_region!A276</f>
        <v>04 BAY OF PLENTY</v>
      </c>
      <c r="B276">
        <f>[5]trip_summary_region!B276</f>
        <v>4</v>
      </c>
      <c r="C276">
        <f>[5]trip_summary_region!C276</f>
        <v>2018</v>
      </c>
      <c r="D276">
        <f>[5]trip_summary_region!D276</f>
        <v>4</v>
      </c>
      <c r="E276">
        <f>[5]trip_summary_region!E276</f>
        <v>8</v>
      </c>
      <c r="F276">
        <f>[5]trip_summary_region!F276</f>
        <v>0.1405204562</v>
      </c>
      <c r="G276">
        <f>[5]trip_summary_region!G276</f>
        <v>0.88961446099999997</v>
      </c>
      <c r="H276">
        <f>[5]trip_summary_region!H276</f>
        <v>6.6186346500000007E-2</v>
      </c>
      <c r="I276" t="s">
        <v>116</v>
      </c>
      <c r="J276" t="str">
        <f>[5]trip_summary_region!J276</f>
        <v>2017/18</v>
      </c>
    </row>
    <row r="277" spans="1:10" x14ac:dyDescent="0.25">
      <c r="A277" t="str">
        <f>[5]trip_summary_region!A277</f>
        <v>04 BAY OF PLENTY</v>
      </c>
      <c r="B277">
        <f>[5]trip_summary_region!B277</f>
        <v>4</v>
      </c>
      <c r="C277">
        <f>[5]trip_summary_region!C277</f>
        <v>2023</v>
      </c>
      <c r="D277">
        <f>[5]trip_summary_region!D277</f>
        <v>4</v>
      </c>
      <c r="E277">
        <f>[5]trip_summary_region!E277</f>
        <v>8</v>
      </c>
      <c r="F277">
        <f>[5]trip_summary_region!F277</f>
        <v>0.13009125229999999</v>
      </c>
      <c r="G277">
        <f>[5]trip_summary_region!G277</f>
        <v>0.85643251509999996</v>
      </c>
      <c r="H277">
        <f>[5]trip_summary_region!H277</f>
        <v>6.3705255500000002E-2</v>
      </c>
      <c r="I277" t="s">
        <v>116</v>
      </c>
      <c r="J277" t="str">
        <f>[5]trip_summary_region!J277</f>
        <v>2022/23</v>
      </c>
    </row>
    <row r="278" spans="1:10" x14ac:dyDescent="0.25">
      <c r="A278" t="str">
        <f>[5]trip_summary_region!A278</f>
        <v>04 BAY OF PLENTY</v>
      </c>
      <c r="B278">
        <f>[5]trip_summary_region!B278</f>
        <v>4</v>
      </c>
      <c r="C278">
        <f>[5]trip_summary_region!C278</f>
        <v>2028</v>
      </c>
      <c r="D278">
        <f>[5]trip_summary_region!D278</f>
        <v>4</v>
      </c>
      <c r="E278">
        <f>[5]trip_summary_region!E278</f>
        <v>8</v>
      </c>
      <c r="F278">
        <f>[5]trip_summary_region!F278</f>
        <v>0.1243562644</v>
      </c>
      <c r="G278">
        <f>[5]trip_summary_region!G278</f>
        <v>0.86840002230000002</v>
      </c>
      <c r="H278">
        <f>[5]trip_summary_region!H278</f>
        <v>6.4323127300000005E-2</v>
      </c>
      <c r="I278" t="s">
        <v>116</v>
      </c>
      <c r="J278" t="str">
        <f>[5]trip_summary_region!J278</f>
        <v>2027/28</v>
      </c>
    </row>
    <row r="279" spans="1:10" x14ac:dyDescent="0.25">
      <c r="A279" t="str">
        <f>[5]trip_summary_region!A279</f>
        <v>04 BAY OF PLENTY</v>
      </c>
      <c r="B279">
        <f>[5]trip_summary_region!B279</f>
        <v>4</v>
      </c>
      <c r="C279">
        <f>[5]trip_summary_region!C279</f>
        <v>2033</v>
      </c>
      <c r="D279">
        <f>[5]trip_summary_region!D279</f>
        <v>4</v>
      </c>
      <c r="E279">
        <f>[5]trip_summary_region!E279</f>
        <v>8</v>
      </c>
      <c r="F279">
        <f>[5]trip_summary_region!F279</f>
        <v>0.1188904566</v>
      </c>
      <c r="G279">
        <f>[5]trip_summary_region!G279</f>
        <v>0.83907297010000004</v>
      </c>
      <c r="H279">
        <f>[5]trip_summary_region!H279</f>
        <v>6.1791671300000003E-2</v>
      </c>
      <c r="I279" t="s">
        <v>116</v>
      </c>
      <c r="J279" t="str">
        <f>[5]trip_summary_region!J279</f>
        <v>2032/33</v>
      </c>
    </row>
    <row r="280" spans="1:10" x14ac:dyDescent="0.25">
      <c r="A280" t="str">
        <f>[5]trip_summary_region!A280</f>
        <v>04 BAY OF PLENTY</v>
      </c>
      <c r="B280">
        <f>[5]trip_summary_region!B280</f>
        <v>4</v>
      </c>
      <c r="C280">
        <f>[5]trip_summary_region!C280</f>
        <v>2038</v>
      </c>
      <c r="D280">
        <f>[5]trip_summary_region!D280</f>
        <v>4</v>
      </c>
      <c r="E280">
        <f>[5]trip_summary_region!E280</f>
        <v>8</v>
      </c>
      <c r="F280">
        <f>[5]trip_summary_region!F280</f>
        <v>0.115249093</v>
      </c>
      <c r="G280">
        <f>[5]trip_summary_region!G280</f>
        <v>0.81564620629999995</v>
      </c>
      <c r="H280">
        <f>[5]trip_summary_region!H280</f>
        <v>6.0084388699999998E-2</v>
      </c>
      <c r="I280" t="s">
        <v>116</v>
      </c>
      <c r="J280" t="str">
        <f>[5]trip_summary_region!J280</f>
        <v>2037/38</v>
      </c>
    </row>
    <row r="281" spans="1:10" x14ac:dyDescent="0.25">
      <c r="A281" t="str">
        <f>[5]trip_summary_region!A281</f>
        <v>04 BAY OF PLENTY</v>
      </c>
      <c r="B281">
        <f>[5]trip_summary_region!B281</f>
        <v>4</v>
      </c>
      <c r="C281">
        <f>[5]trip_summary_region!C281</f>
        <v>2043</v>
      </c>
      <c r="D281">
        <f>[5]trip_summary_region!D281</f>
        <v>4</v>
      </c>
      <c r="E281">
        <f>[5]trip_summary_region!E281</f>
        <v>8</v>
      </c>
      <c r="F281">
        <f>[5]trip_summary_region!F281</f>
        <v>0.1106888572</v>
      </c>
      <c r="G281">
        <f>[5]trip_summary_region!G281</f>
        <v>0.78788008840000001</v>
      </c>
      <c r="H281">
        <f>[5]trip_summary_region!H281</f>
        <v>5.8129013200000003E-2</v>
      </c>
      <c r="I281" t="s">
        <v>116</v>
      </c>
      <c r="J281" t="str">
        <f>[5]trip_summary_region!J281</f>
        <v>2042/43</v>
      </c>
    </row>
    <row r="282" spans="1:10" x14ac:dyDescent="0.25">
      <c r="A282" t="str">
        <f>[5]trip_summary_region!A282</f>
        <v>04 BAY OF PLENTY</v>
      </c>
      <c r="B282">
        <f>[5]trip_summary_region!B282</f>
        <v>5</v>
      </c>
      <c r="C282">
        <f>[5]trip_summary_region!C282</f>
        <v>2013</v>
      </c>
      <c r="D282">
        <f>[5]trip_summary_region!D282</f>
        <v>10</v>
      </c>
      <c r="E282">
        <f>[5]trip_summary_region!E282</f>
        <v>40</v>
      </c>
      <c r="F282">
        <f>[5]trip_summary_region!F282</f>
        <v>0.90641599910000004</v>
      </c>
      <c r="G282">
        <f>[5]trip_summary_region!G282</f>
        <v>35.608960758999999</v>
      </c>
      <c r="H282">
        <f>[5]trip_summary_region!H282</f>
        <v>0.60409197079999999</v>
      </c>
      <c r="I282" t="str">
        <f>[5]trip_summary_region!I282</f>
        <v>Motorcyclist</v>
      </c>
      <c r="J282" t="str">
        <f>[5]trip_summary_region!J282</f>
        <v>2012/13</v>
      </c>
    </row>
    <row r="283" spans="1:10" x14ac:dyDescent="0.25">
      <c r="A283" t="str">
        <f>[5]trip_summary_region!A283</f>
        <v>04 BAY OF PLENTY</v>
      </c>
      <c r="B283">
        <f>[5]trip_summary_region!B283</f>
        <v>5</v>
      </c>
      <c r="C283">
        <f>[5]trip_summary_region!C283</f>
        <v>2018</v>
      </c>
      <c r="D283">
        <f>[5]trip_summary_region!D283</f>
        <v>10</v>
      </c>
      <c r="E283">
        <f>[5]trip_summary_region!E283</f>
        <v>40</v>
      </c>
      <c r="F283">
        <f>[5]trip_summary_region!F283</f>
        <v>0.95061612230000003</v>
      </c>
      <c r="G283">
        <f>[5]trip_summary_region!G283</f>
        <v>37.997833892999999</v>
      </c>
      <c r="H283">
        <f>[5]trip_summary_region!H283</f>
        <v>0.64185001230000005</v>
      </c>
      <c r="I283" t="str">
        <f>[5]trip_summary_region!I283</f>
        <v>Motorcyclist</v>
      </c>
      <c r="J283" t="str">
        <f>[5]trip_summary_region!J283</f>
        <v>2017/18</v>
      </c>
    </row>
    <row r="284" spans="1:10" x14ac:dyDescent="0.25">
      <c r="A284" t="str">
        <f>[5]trip_summary_region!A284</f>
        <v>04 BAY OF PLENTY</v>
      </c>
      <c r="B284">
        <f>[5]trip_summary_region!B284</f>
        <v>5</v>
      </c>
      <c r="C284">
        <f>[5]trip_summary_region!C284</f>
        <v>2023</v>
      </c>
      <c r="D284">
        <f>[5]trip_summary_region!D284</f>
        <v>10</v>
      </c>
      <c r="E284">
        <f>[5]trip_summary_region!E284</f>
        <v>40</v>
      </c>
      <c r="F284">
        <f>[5]trip_summary_region!F284</f>
        <v>0.98734330370000001</v>
      </c>
      <c r="G284">
        <f>[5]trip_summary_region!G284</f>
        <v>39.257677358999999</v>
      </c>
      <c r="H284">
        <f>[5]trip_summary_region!H284</f>
        <v>0.66243605240000003</v>
      </c>
      <c r="I284" t="str">
        <f>[5]trip_summary_region!I284</f>
        <v>Motorcyclist</v>
      </c>
      <c r="J284" t="str">
        <f>[5]trip_summary_region!J284</f>
        <v>2022/23</v>
      </c>
    </row>
    <row r="285" spans="1:10" x14ac:dyDescent="0.25">
      <c r="A285" t="str">
        <f>[5]trip_summary_region!A285</f>
        <v>04 BAY OF PLENTY</v>
      </c>
      <c r="B285">
        <f>[5]trip_summary_region!B285</f>
        <v>5</v>
      </c>
      <c r="C285">
        <f>[5]trip_summary_region!C285</f>
        <v>2028</v>
      </c>
      <c r="D285">
        <f>[5]trip_summary_region!D285</f>
        <v>10</v>
      </c>
      <c r="E285">
        <f>[5]trip_summary_region!E285</f>
        <v>40</v>
      </c>
      <c r="F285">
        <f>[5]trip_summary_region!F285</f>
        <v>1.0275184917</v>
      </c>
      <c r="G285">
        <f>[5]trip_summary_region!G285</f>
        <v>40.819015200999999</v>
      </c>
      <c r="H285">
        <f>[5]trip_summary_region!H285</f>
        <v>0.68699899230000006</v>
      </c>
      <c r="I285" t="str">
        <f>[5]trip_summary_region!I285</f>
        <v>Motorcyclist</v>
      </c>
      <c r="J285" t="str">
        <f>[5]trip_summary_region!J285</f>
        <v>2027/28</v>
      </c>
    </row>
    <row r="286" spans="1:10" x14ac:dyDescent="0.25">
      <c r="A286" t="str">
        <f>[5]trip_summary_region!A286</f>
        <v>04 BAY OF PLENTY</v>
      </c>
      <c r="B286">
        <f>[5]trip_summary_region!B286</f>
        <v>5</v>
      </c>
      <c r="C286">
        <f>[5]trip_summary_region!C286</f>
        <v>2033</v>
      </c>
      <c r="D286">
        <f>[5]trip_summary_region!D286</f>
        <v>10</v>
      </c>
      <c r="E286">
        <f>[5]trip_summary_region!E286</f>
        <v>40</v>
      </c>
      <c r="F286">
        <f>[5]trip_summary_region!F286</f>
        <v>1.0397784501</v>
      </c>
      <c r="G286">
        <f>[5]trip_summary_region!G286</f>
        <v>41.178987313999997</v>
      </c>
      <c r="H286">
        <f>[5]trip_summary_region!H286</f>
        <v>0.69348004870000002</v>
      </c>
      <c r="I286" t="str">
        <f>[5]trip_summary_region!I286</f>
        <v>Motorcyclist</v>
      </c>
      <c r="J286" t="str">
        <f>[5]trip_summary_region!J286</f>
        <v>2032/33</v>
      </c>
    </row>
    <row r="287" spans="1:10" x14ac:dyDescent="0.25">
      <c r="A287" t="str">
        <f>[5]trip_summary_region!A287</f>
        <v>04 BAY OF PLENTY</v>
      </c>
      <c r="B287">
        <f>[5]trip_summary_region!B287</f>
        <v>5</v>
      </c>
      <c r="C287">
        <f>[5]trip_summary_region!C287</f>
        <v>2038</v>
      </c>
      <c r="D287">
        <f>[5]trip_summary_region!D287</f>
        <v>10</v>
      </c>
      <c r="E287">
        <f>[5]trip_summary_region!E287</f>
        <v>40</v>
      </c>
      <c r="F287">
        <f>[5]trip_summary_region!F287</f>
        <v>1.0238844961</v>
      </c>
      <c r="G287">
        <f>[5]trip_summary_region!G287</f>
        <v>40.750946485</v>
      </c>
      <c r="H287">
        <f>[5]trip_summary_region!H287</f>
        <v>0.68705663579999998</v>
      </c>
      <c r="I287" t="str">
        <f>[5]trip_summary_region!I287</f>
        <v>Motorcyclist</v>
      </c>
      <c r="J287" t="str">
        <f>[5]trip_summary_region!J287</f>
        <v>2037/38</v>
      </c>
    </row>
    <row r="288" spans="1:10" x14ac:dyDescent="0.25">
      <c r="A288" t="str">
        <f>[5]trip_summary_region!A288</f>
        <v>04 BAY OF PLENTY</v>
      </c>
      <c r="B288">
        <f>[5]trip_summary_region!B288</f>
        <v>5</v>
      </c>
      <c r="C288">
        <f>[5]trip_summary_region!C288</f>
        <v>2043</v>
      </c>
      <c r="D288">
        <f>[5]trip_summary_region!D288</f>
        <v>10</v>
      </c>
      <c r="E288">
        <f>[5]trip_summary_region!E288</f>
        <v>40</v>
      </c>
      <c r="F288">
        <f>[5]trip_summary_region!F288</f>
        <v>1.0004777245000001</v>
      </c>
      <c r="G288">
        <f>[5]trip_summary_region!G288</f>
        <v>40.040919848000001</v>
      </c>
      <c r="H288">
        <f>[5]trip_summary_region!H288</f>
        <v>0.67588049439999998</v>
      </c>
      <c r="I288" t="str">
        <f>[5]trip_summary_region!I288</f>
        <v>Motorcyclist</v>
      </c>
      <c r="J288" t="str">
        <f>[5]trip_summary_region!J288</f>
        <v>2042/43</v>
      </c>
    </row>
    <row r="289" spans="1:10" x14ac:dyDescent="0.25">
      <c r="A289" t="str">
        <f>[5]trip_summary_region!A289</f>
        <v>04 BAY OF PLENTY</v>
      </c>
      <c r="B289">
        <f>[5]trip_summary_region!B289</f>
        <v>7</v>
      </c>
      <c r="C289">
        <f>[5]trip_summary_region!C289</f>
        <v>2013</v>
      </c>
      <c r="D289">
        <f>[5]trip_summary_region!D289</f>
        <v>73</v>
      </c>
      <c r="E289">
        <f>[5]trip_summary_region!E289</f>
        <v>194</v>
      </c>
      <c r="F289">
        <f>[5]trip_summary_region!F289</f>
        <v>7.4672006229000001</v>
      </c>
      <c r="G289">
        <f>[5]trip_summary_region!G289</f>
        <v>52.669440211999998</v>
      </c>
      <c r="H289">
        <f>[5]trip_summary_region!H289</f>
        <v>2.9412276716000001</v>
      </c>
      <c r="I289" t="str">
        <f>[5]trip_summary_region!I289</f>
        <v>Local Bus</v>
      </c>
      <c r="J289" t="str">
        <f>[5]trip_summary_region!J289</f>
        <v>2012/13</v>
      </c>
    </row>
    <row r="290" spans="1:10" x14ac:dyDescent="0.25">
      <c r="A290" t="str">
        <f>[5]trip_summary_region!A290</f>
        <v>04 BAY OF PLENTY</v>
      </c>
      <c r="B290">
        <f>[5]trip_summary_region!B290</f>
        <v>7</v>
      </c>
      <c r="C290">
        <f>[5]trip_summary_region!C290</f>
        <v>2018</v>
      </c>
      <c r="D290">
        <f>[5]trip_summary_region!D290</f>
        <v>73</v>
      </c>
      <c r="E290">
        <f>[5]trip_summary_region!E290</f>
        <v>194</v>
      </c>
      <c r="F290">
        <f>[5]trip_summary_region!F290</f>
        <v>7.1614095521000003</v>
      </c>
      <c r="G290">
        <f>[5]trip_summary_region!G290</f>
        <v>49.582888507</v>
      </c>
      <c r="H290">
        <f>[5]trip_summary_region!H290</f>
        <v>2.7768122193</v>
      </c>
      <c r="I290" t="str">
        <f>[5]trip_summary_region!I290</f>
        <v>Local Bus</v>
      </c>
      <c r="J290" t="str">
        <f>[5]trip_summary_region!J290</f>
        <v>2017/18</v>
      </c>
    </row>
    <row r="291" spans="1:10" x14ac:dyDescent="0.25">
      <c r="A291" t="str">
        <f>[5]trip_summary_region!A291</f>
        <v>04 BAY OF PLENTY</v>
      </c>
      <c r="B291">
        <f>[5]trip_summary_region!B291</f>
        <v>7</v>
      </c>
      <c r="C291">
        <f>[5]trip_summary_region!C291</f>
        <v>2023</v>
      </c>
      <c r="D291">
        <f>[5]trip_summary_region!D291</f>
        <v>73</v>
      </c>
      <c r="E291">
        <f>[5]trip_summary_region!E291</f>
        <v>194</v>
      </c>
      <c r="F291">
        <f>[5]trip_summary_region!F291</f>
        <v>6.9729575610000003</v>
      </c>
      <c r="G291">
        <f>[5]trip_summary_region!G291</f>
        <v>47.670083429999998</v>
      </c>
      <c r="H291">
        <f>[5]trip_summary_region!H291</f>
        <v>2.6738167587000001</v>
      </c>
      <c r="I291" t="str">
        <f>[5]trip_summary_region!I291</f>
        <v>Local Bus</v>
      </c>
      <c r="J291" t="str">
        <f>[5]trip_summary_region!J291</f>
        <v>2022/23</v>
      </c>
    </row>
    <row r="292" spans="1:10" x14ac:dyDescent="0.25">
      <c r="A292" t="str">
        <f>[5]trip_summary_region!A292</f>
        <v>04 BAY OF PLENTY</v>
      </c>
      <c r="B292">
        <f>[5]trip_summary_region!B292</f>
        <v>7</v>
      </c>
      <c r="C292">
        <f>[5]trip_summary_region!C292</f>
        <v>2028</v>
      </c>
      <c r="D292">
        <f>[5]trip_summary_region!D292</f>
        <v>73</v>
      </c>
      <c r="E292">
        <f>[5]trip_summary_region!E292</f>
        <v>194</v>
      </c>
      <c r="F292">
        <f>[5]trip_summary_region!F292</f>
        <v>6.9442188356000001</v>
      </c>
      <c r="G292">
        <f>[5]trip_summary_region!G292</f>
        <v>45.967398043999999</v>
      </c>
      <c r="H292">
        <f>[5]trip_summary_region!H292</f>
        <v>2.6194087339999998</v>
      </c>
      <c r="I292" t="str">
        <f>[5]trip_summary_region!I292</f>
        <v>Local Bus</v>
      </c>
      <c r="J292" t="str">
        <f>[5]trip_summary_region!J292</f>
        <v>2027/28</v>
      </c>
    </row>
    <row r="293" spans="1:10" x14ac:dyDescent="0.25">
      <c r="A293" t="str">
        <f>[5]trip_summary_region!A293</f>
        <v>04 BAY OF PLENTY</v>
      </c>
      <c r="B293">
        <f>[5]trip_summary_region!B293</f>
        <v>7</v>
      </c>
      <c r="C293">
        <f>[5]trip_summary_region!C293</f>
        <v>2033</v>
      </c>
      <c r="D293">
        <f>[5]trip_summary_region!D293</f>
        <v>73</v>
      </c>
      <c r="E293">
        <f>[5]trip_summary_region!E293</f>
        <v>194</v>
      </c>
      <c r="F293">
        <f>[5]trip_summary_region!F293</f>
        <v>6.9026515985000003</v>
      </c>
      <c r="G293">
        <f>[5]trip_summary_region!G293</f>
        <v>43.933462509000002</v>
      </c>
      <c r="H293">
        <f>[5]trip_summary_region!H293</f>
        <v>2.5575959040999998</v>
      </c>
      <c r="I293" t="str">
        <f>[5]trip_summary_region!I293</f>
        <v>Local Bus</v>
      </c>
      <c r="J293" t="str">
        <f>[5]trip_summary_region!J293</f>
        <v>2032/33</v>
      </c>
    </row>
    <row r="294" spans="1:10" x14ac:dyDescent="0.25">
      <c r="A294" t="str">
        <f>[5]trip_summary_region!A294</f>
        <v>04 BAY OF PLENTY</v>
      </c>
      <c r="B294">
        <f>[5]trip_summary_region!B294</f>
        <v>7</v>
      </c>
      <c r="C294">
        <f>[5]trip_summary_region!C294</f>
        <v>2038</v>
      </c>
      <c r="D294">
        <f>[5]trip_summary_region!D294</f>
        <v>73</v>
      </c>
      <c r="E294">
        <f>[5]trip_summary_region!E294</f>
        <v>194</v>
      </c>
      <c r="F294">
        <f>[5]trip_summary_region!F294</f>
        <v>6.9038987928999997</v>
      </c>
      <c r="G294">
        <f>[5]trip_summary_region!G294</f>
        <v>42.571029846000002</v>
      </c>
      <c r="H294">
        <f>[5]trip_summary_region!H294</f>
        <v>2.5174347174</v>
      </c>
      <c r="I294" t="str">
        <f>[5]trip_summary_region!I294</f>
        <v>Local Bus</v>
      </c>
      <c r="J294" t="str">
        <f>[5]trip_summary_region!J294</f>
        <v>2037/38</v>
      </c>
    </row>
    <row r="295" spans="1:10" x14ac:dyDescent="0.25">
      <c r="A295" t="str">
        <f>[5]trip_summary_region!A295</f>
        <v>04 BAY OF PLENTY</v>
      </c>
      <c r="B295">
        <f>[5]trip_summary_region!B295</f>
        <v>7</v>
      </c>
      <c r="C295">
        <f>[5]trip_summary_region!C295</f>
        <v>2043</v>
      </c>
      <c r="D295">
        <f>[5]trip_summary_region!D295</f>
        <v>73</v>
      </c>
      <c r="E295">
        <f>[5]trip_summary_region!E295</f>
        <v>194</v>
      </c>
      <c r="F295">
        <f>[5]trip_summary_region!F295</f>
        <v>6.8770317354000001</v>
      </c>
      <c r="G295">
        <f>[5]trip_summary_region!G295</f>
        <v>41.073932116999998</v>
      </c>
      <c r="H295">
        <f>[5]trip_summary_region!H295</f>
        <v>2.4676767335999998</v>
      </c>
      <c r="I295" t="str">
        <f>[5]trip_summary_region!I295</f>
        <v>Local Bus</v>
      </c>
      <c r="J295" t="str">
        <f>[5]trip_summary_region!J295</f>
        <v>2042/43</v>
      </c>
    </row>
    <row r="296" spans="1:10" x14ac:dyDescent="0.25">
      <c r="A296" t="str">
        <f>[5]trip_summary_region!A296</f>
        <v>04 BAY OF PLENTY</v>
      </c>
      <c r="B296">
        <f>[5]trip_summary_region!B296</f>
        <v>9</v>
      </c>
      <c r="C296">
        <f>[5]trip_summary_region!C296</f>
        <v>2013</v>
      </c>
      <c r="D296">
        <f>[5]trip_summary_region!D296</f>
        <v>13</v>
      </c>
      <c r="E296">
        <f>[5]trip_summary_region!E296</f>
        <v>34</v>
      </c>
      <c r="F296">
        <f>[5]trip_summary_region!F296</f>
        <v>0.59853678389999998</v>
      </c>
      <c r="G296">
        <f>[5]trip_summary_region!G296</f>
        <v>0</v>
      </c>
      <c r="H296">
        <f>[5]trip_summary_region!H296</f>
        <v>0.21279540499999999</v>
      </c>
      <c r="I296" t="str">
        <f>[5]trip_summary_region!I296</f>
        <v>Other Household Travel</v>
      </c>
      <c r="J296" t="str">
        <f>[5]trip_summary_region!J296</f>
        <v>2012/13</v>
      </c>
    </row>
    <row r="297" spans="1:10" x14ac:dyDescent="0.25">
      <c r="A297" t="str">
        <f>[5]trip_summary_region!A297</f>
        <v>04 BAY OF PLENTY</v>
      </c>
      <c r="B297">
        <f>[5]trip_summary_region!B297</f>
        <v>9</v>
      </c>
      <c r="C297">
        <f>[5]trip_summary_region!C297</f>
        <v>2018</v>
      </c>
      <c r="D297">
        <f>[5]trip_summary_region!D297</f>
        <v>13</v>
      </c>
      <c r="E297">
        <f>[5]trip_summary_region!E297</f>
        <v>34</v>
      </c>
      <c r="F297">
        <f>[5]trip_summary_region!F297</f>
        <v>0.58026710999999997</v>
      </c>
      <c r="G297">
        <f>[5]trip_summary_region!G297</f>
        <v>0</v>
      </c>
      <c r="H297">
        <f>[5]trip_summary_region!H297</f>
        <v>0.21267646770000001</v>
      </c>
      <c r="I297" t="str">
        <f>[5]trip_summary_region!I297</f>
        <v>Other Household Travel</v>
      </c>
      <c r="J297" t="str">
        <f>[5]trip_summary_region!J297</f>
        <v>2017/18</v>
      </c>
    </row>
    <row r="298" spans="1:10" x14ac:dyDescent="0.25">
      <c r="A298" t="str">
        <f>[5]trip_summary_region!A298</f>
        <v>04 BAY OF PLENTY</v>
      </c>
      <c r="B298">
        <f>[5]trip_summary_region!B298</f>
        <v>9</v>
      </c>
      <c r="C298">
        <f>[5]trip_summary_region!C298</f>
        <v>2023</v>
      </c>
      <c r="D298">
        <f>[5]trip_summary_region!D298</f>
        <v>13</v>
      </c>
      <c r="E298">
        <f>[5]trip_summary_region!E298</f>
        <v>34</v>
      </c>
      <c r="F298">
        <f>[5]trip_summary_region!F298</f>
        <v>0.54579265690000001</v>
      </c>
      <c r="G298">
        <f>[5]trip_summary_region!G298</f>
        <v>0</v>
      </c>
      <c r="H298">
        <f>[5]trip_summary_region!H298</f>
        <v>0.20595571630000001</v>
      </c>
      <c r="I298" t="str">
        <f>[5]trip_summary_region!I298</f>
        <v>Other Household Travel</v>
      </c>
      <c r="J298" t="str">
        <f>[5]trip_summary_region!J298</f>
        <v>2022/23</v>
      </c>
    </row>
    <row r="299" spans="1:10" x14ac:dyDescent="0.25">
      <c r="A299" t="str">
        <f>[5]trip_summary_region!A299</f>
        <v>04 BAY OF PLENTY</v>
      </c>
      <c r="B299">
        <f>[5]trip_summary_region!B299</f>
        <v>9</v>
      </c>
      <c r="C299">
        <f>[5]trip_summary_region!C299</f>
        <v>2028</v>
      </c>
      <c r="D299">
        <f>[5]trip_summary_region!D299</f>
        <v>13</v>
      </c>
      <c r="E299">
        <f>[5]trip_summary_region!E299</f>
        <v>34</v>
      </c>
      <c r="F299">
        <f>[5]trip_summary_region!F299</f>
        <v>0.48802212379999999</v>
      </c>
      <c r="G299">
        <f>[5]trip_summary_region!G299</f>
        <v>0</v>
      </c>
      <c r="H299">
        <f>[5]trip_summary_region!H299</f>
        <v>0.18795076059999999</v>
      </c>
      <c r="I299" t="str">
        <f>[5]trip_summary_region!I299</f>
        <v>Other Household Travel</v>
      </c>
      <c r="J299" t="str">
        <f>[5]trip_summary_region!J299</f>
        <v>2027/28</v>
      </c>
    </row>
    <row r="300" spans="1:10" x14ac:dyDescent="0.25">
      <c r="A300" t="str">
        <f>[5]trip_summary_region!A300</f>
        <v>04 BAY OF PLENTY</v>
      </c>
      <c r="B300">
        <f>[5]trip_summary_region!B300</f>
        <v>9</v>
      </c>
      <c r="C300">
        <f>[5]trip_summary_region!C300</f>
        <v>2033</v>
      </c>
      <c r="D300">
        <f>[5]trip_summary_region!D300</f>
        <v>13</v>
      </c>
      <c r="E300">
        <f>[5]trip_summary_region!E300</f>
        <v>34</v>
      </c>
      <c r="F300">
        <f>[5]trip_summary_region!F300</f>
        <v>0.43866323229999998</v>
      </c>
      <c r="G300">
        <f>[5]trip_summary_region!G300</f>
        <v>0</v>
      </c>
      <c r="H300">
        <f>[5]trip_summary_region!H300</f>
        <v>0.16635084880000001</v>
      </c>
      <c r="I300" t="str">
        <f>[5]trip_summary_region!I300</f>
        <v>Other Household Travel</v>
      </c>
      <c r="J300" t="str">
        <f>[5]trip_summary_region!J300</f>
        <v>2032/33</v>
      </c>
    </row>
    <row r="301" spans="1:10" x14ac:dyDescent="0.25">
      <c r="A301" t="str">
        <f>[5]trip_summary_region!A301</f>
        <v>04 BAY OF PLENTY</v>
      </c>
      <c r="B301">
        <f>[5]trip_summary_region!B301</f>
        <v>9</v>
      </c>
      <c r="C301">
        <f>[5]trip_summary_region!C301</f>
        <v>2038</v>
      </c>
      <c r="D301">
        <f>[5]trip_summary_region!D301</f>
        <v>13</v>
      </c>
      <c r="E301">
        <f>[5]trip_summary_region!E301</f>
        <v>34</v>
      </c>
      <c r="F301">
        <f>[5]trip_summary_region!F301</f>
        <v>0.39988539899999997</v>
      </c>
      <c r="G301">
        <f>[5]trip_summary_region!G301</f>
        <v>0</v>
      </c>
      <c r="H301">
        <f>[5]trip_summary_region!H301</f>
        <v>0.1512496787</v>
      </c>
      <c r="I301" t="str">
        <f>[5]trip_summary_region!I301</f>
        <v>Other Household Travel</v>
      </c>
      <c r="J301" t="str">
        <f>[5]trip_summary_region!J301</f>
        <v>2037/38</v>
      </c>
    </row>
    <row r="302" spans="1:10" x14ac:dyDescent="0.25">
      <c r="A302" t="str">
        <f>[5]trip_summary_region!A302</f>
        <v>04 BAY OF PLENTY</v>
      </c>
      <c r="B302">
        <f>[5]trip_summary_region!B302</f>
        <v>9</v>
      </c>
      <c r="C302">
        <f>[5]trip_summary_region!C302</f>
        <v>2043</v>
      </c>
      <c r="D302">
        <f>[5]trip_summary_region!D302</f>
        <v>13</v>
      </c>
      <c r="E302">
        <f>[5]trip_summary_region!E302</f>
        <v>34</v>
      </c>
      <c r="F302">
        <f>[5]trip_summary_region!F302</f>
        <v>0.36400247390000001</v>
      </c>
      <c r="G302">
        <f>[5]trip_summary_region!G302</f>
        <v>0</v>
      </c>
      <c r="H302">
        <f>[5]trip_summary_region!H302</f>
        <v>0.13712991290000001</v>
      </c>
      <c r="I302" t="str">
        <f>[5]trip_summary_region!I302</f>
        <v>Other Household Travel</v>
      </c>
      <c r="J302" t="str">
        <f>[5]trip_summary_region!J302</f>
        <v>2042/43</v>
      </c>
    </row>
    <row r="303" spans="1:10" x14ac:dyDescent="0.25">
      <c r="A303" t="str">
        <f>[5]trip_summary_region!A303</f>
        <v>04 BAY OF PLENTY</v>
      </c>
      <c r="B303">
        <f>[5]trip_summary_region!B303</f>
        <v>10</v>
      </c>
      <c r="C303">
        <f>[5]trip_summary_region!C303</f>
        <v>2013</v>
      </c>
      <c r="D303">
        <f>[5]trip_summary_region!D303</f>
        <v>10</v>
      </c>
      <c r="E303">
        <f>[5]trip_summary_region!E303</f>
        <v>20</v>
      </c>
      <c r="F303">
        <f>[5]trip_summary_region!F303</f>
        <v>0.7132672793</v>
      </c>
      <c r="G303">
        <f>[5]trip_summary_region!G303</f>
        <v>34.241381883000003</v>
      </c>
      <c r="H303">
        <f>[5]trip_summary_region!H303</f>
        <v>1.7899343983</v>
      </c>
      <c r="I303" t="str">
        <f>[5]trip_summary_region!I303</f>
        <v>Air/Non-Local PT</v>
      </c>
      <c r="J303" t="str">
        <f>[5]trip_summary_region!J303</f>
        <v>2012/13</v>
      </c>
    </row>
    <row r="304" spans="1:10" x14ac:dyDescent="0.25">
      <c r="A304" t="str">
        <f>[5]trip_summary_region!A304</f>
        <v>04 BAY OF PLENTY</v>
      </c>
      <c r="B304">
        <f>[5]trip_summary_region!B304</f>
        <v>10</v>
      </c>
      <c r="C304">
        <f>[5]trip_summary_region!C304</f>
        <v>2018</v>
      </c>
      <c r="D304">
        <f>[5]trip_summary_region!D304</f>
        <v>10</v>
      </c>
      <c r="E304">
        <f>[5]trip_summary_region!E304</f>
        <v>20</v>
      </c>
      <c r="F304">
        <f>[5]trip_summary_region!F304</f>
        <v>0.74443794870000002</v>
      </c>
      <c r="G304">
        <f>[5]trip_summary_region!G304</f>
        <v>36.605527549999998</v>
      </c>
      <c r="H304">
        <f>[5]trip_summary_region!H304</f>
        <v>2.1315612314000001</v>
      </c>
      <c r="I304" t="str">
        <f>[5]trip_summary_region!I304</f>
        <v>Air/Non-Local PT</v>
      </c>
      <c r="J304" t="str">
        <f>[5]trip_summary_region!J304</f>
        <v>2017/18</v>
      </c>
    </row>
    <row r="305" spans="1:10" x14ac:dyDescent="0.25">
      <c r="A305" t="str">
        <f>[5]trip_summary_region!A305</f>
        <v>04 BAY OF PLENTY</v>
      </c>
      <c r="B305">
        <f>[5]trip_summary_region!B305</f>
        <v>10</v>
      </c>
      <c r="C305">
        <f>[5]trip_summary_region!C305</f>
        <v>2023</v>
      </c>
      <c r="D305">
        <f>[5]trip_summary_region!D305</f>
        <v>10</v>
      </c>
      <c r="E305">
        <f>[5]trip_summary_region!E305</f>
        <v>20</v>
      </c>
      <c r="F305">
        <f>[5]trip_summary_region!F305</f>
        <v>0.7790542265</v>
      </c>
      <c r="G305">
        <f>[5]trip_summary_region!G305</f>
        <v>38.739281188</v>
      </c>
      <c r="H305">
        <f>[5]trip_summary_region!H305</f>
        <v>2.4340122272000002</v>
      </c>
      <c r="I305" t="str">
        <f>[5]trip_summary_region!I305</f>
        <v>Air/Non-Local PT</v>
      </c>
      <c r="J305" t="str">
        <f>[5]trip_summary_region!J305</f>
        <v>2022/23</v>
      </c>
    </row>
    <row r="306" spans="1:10" x14ac:dyDescent="0.25">
      <c r="A306" t="str">
        <f>[5]trip_summary_region!A306</f>
        <v>04 BAY OF PLENTY</v>
      </c>
      <c r="B306">
        <f>[5]trip_summary_region!B306</f>
        <v>10</v>
      </c>
      <c r="C306">
        <f>[5]trip_summary_region!C306</f>
        <v>2028</v>
      </c>
      <c r="D306">
        <f>[5]trip_summary_region!D306</f>
        <v>10</v>
      </c>
      <c r="E306">
        <f>[5]trip_summary_region!E306</f>
        <v>20</v>
      </c>
      <c r="F306">
        <f>[5]trip_summary_region!F306</f>
        <v>0.80563002449999999</v>
      </c>
      <c r="G306">
        <f>[5]trip_summary_region!G306</f>
        <v>40.701990647000002</v>
      </c>
      <c r="H306">
        <f>[5]trip_summary_region!H306</f>
        <v>2.6170214948999999</v>
      </c>
      <c r="I306" t="str">
        <f>[5]trip_summary_region!I306</f>
        <v>Air/Non-Local PT</v>
      </c>
      <c r="J306" t="str">
        <f>[5]trip_summary_region!J306</f>
        <v>2027/28</v>
      </c>
    </row>
    <row r="307" spans="1:10" x14ac:dyDescent="0.25">
      <c r="A307" t="str">
        <f>[5]trip_summary_region!A307</f>
        <v>04 BAY OF PLENTY</v>
      </c>
      <c r="B307">
        <f>[5]trip_summary_region!B307</f>
        <v>10</v>
      </c>
      <c r="C307">
        <f>[5]trip_summary_region!C307</f>
        <v>2033</v>
      </c>
      <c r="D307">
        <f>[5]trip_summary_region!D307</f>
        <v>10</v>
      </c>
      <c r="E307">
        <f>[5]trip_summary_region!E307</f>
        <v>20</v>
      </c>
      <c r="F307">
        <f>[5]trip_summary_region!F307</f>
        <v>0.81690312639999996</v>
      </c>
      <c r="G307">
        <f>[5]trip_summary_region!G307</f>
        <v>42.077485549999999</v>
      </c>
      <c r="H307">
        <f>[5]trip_summary_region!H307</f>
        <v>2.6957184137999999</v>
      </c>
      <c r="I307" t="str">
        <f>[5]trip_summary_region!I307</f>
        <v>Air/Non-Local PT</v>
      </c>
      <c r="J307" t="str">
        <f>[5]trip_summary_region!J307</f>
        <v>2032/33</v>
      </c>
    </row>
    <row r="308" spans="1:10" x14ac:dyDescent="0.25">
      <c r="A308" t="str">
        <f>[5]trip_summary_region!A308</f>
        <v>04 BAY OF PLENTY</v>
      </c>
      <c r="B308">
        <f>[5]trip_summary_region!B308</f>
        <v>10</v>
      </c>
      <c r="C308">
        <f>[5]trip_summary_region!C308</f>
        <v>2038</v>
      </c>
      <c r="D308">
        <f>[5]trip_summary_region!D308</f>
        <v>10</v>
      </c>
      <c r="E308">
        <f>[5]trip_summary_region!E308</f>
        <v>20</v>
      </c>
      <c r="F308">
        <f>[5]trip_summary_region!F308</f>
        <v>0.85792493650000001</v>
      </c>
      <c r="G308">
        <f>[5]trip_summary_region!G308</f>
        <v>46.830681435999999</v>
      </c>
      <c r="H308">
        <f>[5]trip_summary_region!H308</f>
        <v>2.7792824808000001</v>
      </c>
      <c r="I308" t="str">
        <f>[5]trip_summary_region!I308</f>
        <v>Air/Non-Local PT</v>
      </c>
      <c r="J308" t="str">
        <f>[5]trip_summary_region!J308</f>
        <v>2037/38</v>
      </c>
    </row>
    <row r="309" spans="1:10" x14ac:dyDescent="0.25">
      <c r="A309" t="str">
        <f>[5]trip_summary_region!A309</f>
        <v>04 BAY OF PLENTY</v>
      </c>
      <c r="B309">
        <f>[5]trip_summary_region!B309</f>
        <v>10</v>
      </c>
      <c r="C309">
        <f>[5]trip_summary_region!C309</f>
        <v>2043</v>
      </c>
      <c r="D309">
        <f>[5]trip_summary_region!D309</f>
        <v>10</v>
      </c>
      <c r="E309">
        <f>[5]trip_summary_region!E309</f>
        <v>20</v>
      </c>
      <c r="F309">
        <f>[5]trip_summary_region!F309</f>
        <v>0.90061513770000001</v>
      </c>
      <c r="G309">
        <f>[5]trip_summary_region!G309</f>
        <v>51.925700380000002</v>
      </c>
      <c r="H309">
        <f>[5]trip_summary_region!H309</f>
        <v>2.8558188913000002</v>
      </c>
      <c r="I309" t="str">
        <f>[5]trip_summary_region!I309</f>
        <v>Air/Non-Local PT</v>
      </c>
      <c r="J309" t="str">
        <f>[5]trip_summary_region!J309</f>
        <v>2042/43</v>
      </c>
    </row>
    <row r="310" spans="1:10" x14ac:dyDescent="0.25">
      <c r="A310" t="str">
        <f>[5]trip_summary_region!A310</f>
        <v>04 BAY OF PLENTY</v>
      </c>
      <c r="B310">
        <f>[5]trip_summary_region!B310</f>
        <v>11</v>
      </c>
      <c r="C310">
        <f>[5]trip_summary_region!C310</f>
        <v>2013</v>
      </c>
      <c r="D310">
        <f>[5]trip_summary_region!D310</f>
        <v>6</v>
      </c>
      <c r="E310">
        <f>[5]trip_summary_region!E310</f>
        <v>33</v>
      </c>
      <c r="F310">
        <f>[5]trip_summary_region!F310</f>
        <v>1.4872690419000001</v>
      </c>
      <c r="G310">
        <f>[5]trip_summary_region!G310</f>
        <v>13.901388431999999</v>
      </c>
      <c r="H310">
        <f>[5]trip_summary_region!H310</f>
        <v>0.32958292379999998</v>
      </c>
      <c r="I310" t="str">
        <f>[5]trip_summary_region!I310</f>
        <v>Non-Household Travel</v>
      </c>
      <c r="J310" t="str">
        <f>[5]trip_summary_region!J310</f>
        <v>2012/13</v>
      </c>
    </row>
    <row r="311" spans="1:10" x14ac:dyDescent="0.25">
      <c r="A311" t="str">
        <f>[5]trip_summary_region!A311</f>
        <v>04 BAY OF PLENTY</v>
      </c>
      <c r="B311">
        <f>[5]trip_summary_region!B311</f>
        <v>11</v>
      </c>
      <c r="C311">
        <f>[5]trip_summary_region!C311</f>
        <v>2018</v>
      </c>
      <c r="D311">
        <f>[5]trip_summary_region!D311</f>
        <v>6</v>
      </c>
      <c r="E311">
        <f>[5]trip_summary_region!E311</f>
        <v>33</v>
      </c>
      <c r="F311">
        <f>[5]trip_summary_region!F311</f>
        <v>1.5864073910000001</v>
      </c>
      <c r="G311">
        <f>[5]trip_summary_region!G311</f>
        <v>13.60787792</v>
      </c>
      <c r="H311">
        <f>[5]trip_summary_region!H311</f>
        <v>0.33939279950000001</v>
      </c>
      <c r="I311" t="str">
        <f>[5]trip_summary_region!I311</f>
        <v>Non-Household Travel</v>
      </c>
      <c r="J311" t="str">
        <f>[5]trip_summary_region!J311</f>
        <v>2017/18</v>
      </c>
    </row>
    <row r="312" spans="1:10" x14ac:dyDescent="0.25">
      <c r="A312" t="str">
        <f>[5]trip_summary_region!A312</f>
        <v>04 BAY OF PLENTY</v>
      </c>
      <c r="B312">
        <f>[5]trip_summary_region!B312</f>
        <v>11</v>
      </c>
      <c r="C312">
        <f>[5]trip_summary_region!C312</f>
        <v>2023</v>
      </c>
      <c r="D312">
        <f>[5]trip_summary_region!D312</f>
        <v>6</v>
      </c>
      <c r="E312">
        <f>[5]trip_summary_region!E312</f>
        <v>33</v>
      </c>
      <c r="F312">
        <f>[5]trip_summary_region!F312</f>
        <v>1.6284751308000001</v>
      </c>
      <c r="G312">
        <f>[5]trip_summary_region!G312</f>
        <v>13.062091462</v>
      </c>
      <c r="H312">
        <f>[5]trip_summary_region!H312</f>
        <v>0.33925528510000003</v>
      </c>
      <c r="I312" t="str">
        <f>[5]trip_summary_region!I312</f>
        <v>Non-Household Travel</v>
      </c>
      <c r="J312" t="str">
        <f>[5]trip_summary_region!J312</f>
        <v>2022/23</v>
      </c>
    </row>
    <row r="313" spans="1:10" x14ac:dyDescent="0.25">
      <c r="A313" t="str">
        <f>[5]trip_summary_region!A313</f>
        <v>04 BAY OF PLENTY</v>
      </c>
      <c r="B313">
        <f>[5]trip_summary_region!B313</f>
        <v>11</v>
      </c>
      <c r="C313">
        <f>[5]trip_summary_region!C313</f>
        <v>2028</v>
      </c>
      <c r="D313">
        <f>[5]trip_summary_region!D313</f>
        <v>6</v>
      </c>
      <c r="E313">
        <f>[5]trip_summary_region!E313</f>
        <v>33</v>
      </c>
      <c r="F313">
        <f>[5]trip_summary_region!F313</f>
        <v>1.6633846364</v>
      </c>
      <c r="G313">
        <f>[5]trip_summary_region!G313</f>
        <v>12.631686267999999</v>
      </c>
      <c r="H313">
        <f>[5]trip_summary_region!H313</f>
        <v>0.33820705740000001</v>
      </c>
      <c r="I313" t="str">
        <f>[5]trip_summary_region!I313</f>
        <v>Non-Household Travel</v>
      </c>
      <c r="J313" t="str">
        <f>[5]trip_summary_region!J313</f>
        <v>2027/28</v>
      </c>
    </row>
    <row r="314" spans="1:10" x14ac:dyDescent="0.25">
      <c r="A314" t="str">
        <f>[5]trip_summary_region!A314</f>
        <v>04 BAY OF PLENTY</v>
      </c>
      <c r="B314">
        <f>[5]trip_summary_region!B314</f>
        <v>11</v>
      </c>
      <c r="C314">
        <f>[5]trip_summary_region!C314</f>
        <v>2033</v>
      </c>
      <c r="D314">
        <f>[5]trip_summary_region!D314</f>
        <v>6</v>
      </c>
      <c r="E314">
        <f>[5]trip_summary_region!E314</f>
        <v>33</v>
      </c>
      <c r="F314">
        <f>[5]trip_summary_region!F314</f>
        <v>1.6749065005999999</v>
      </c>
      <c r="G314">
        <f>[5]trip_summary_region!G314</f>
        <v>12.412343742999999</v>
      </c>
      <c r="H314">
        <f>[5]trip_summary_region!H314</f>
        <v>0.33646584550000003</v>
      </c>
      <c r="I314" t="str">
        <f>[5]trip_summary_region!I314</f>
        <v>Non-Household Travel</v>
      </c>
      <c r="J314" t="str">
        <f>[5]trip_summary_region!J314</f>
        <v>2032/33</v>
      </c>
    </row>
    <row r="315" spans="1:10" x14ac:dyDescent="0.25">
      <c r="A315" t="str">
        <f>[5]trip_summary_region!A315</f>
        <v>04 BAY OF PLENTY</v>
      </c>
      <c r="B315">
        <f>[5]trip_summary_region!B315</f>
        <v>11</v>
      </c>
      <c r="C315">
        <f>[5]trip_summary_region!C315</f>
        <v>2038</v>
      </c>
      <c r="D315">
        <f>[5]trip_summary_region!D315</f>
        <v>6</v>
      </c>
      <c r="E315">
        <f>[5]trip_summary_region!E315</f>
        <v>33</v>
      </c>
      <c r="F315">
        <f>[5]trip_summary_region!F315</f>
        <v>1.6841030782999999</v>
      </c>
      <c r="G315">
        <f>[5]trip_summary_region!G315</f>
        <v>12.323303376</v>
      </c>
      <c r="H315">
        <f>[5]trip_summary_region!H315</f>
        <v>0.33621020140000002</v>
      </c>
      <c r="I315" t="str">
        <f>[5]trip_summary_region!I315</f>
        <v>Non-Household Travel</v>
      </c>
      <c r="J315" t="str">
        <f>[5]trip_summary_region!J315</f>
        <v>2037/38</v>
      </c>
    </row>
    <row r="316" spans="1:10" x14ac:dyDescent="0.25">
      <c r="A316" t="str">
        <f>[5]trip_summary_region!A316</f>
        <v>04 BAY OF PLENTY</v>
      </c>
      <c r="B316">
        <f>[5]trip_summary_region!B316</f>
        <v>11</v>
      </c>
      <c r="C316">
        <f>[5]trip_summary_region!C316</f>
        <v>2043</v>
      </c>
      <c r="D316">
        <f>[5]trip_summary_region!D316</f>
        <v>6</v>
      </c>
      <c r="E316">
        <f>[5]trip_summary_region!E316</f>
        <v>33</v>
      </c>
      <c r="F316">
        <f>[5]trip_summary_region!F316</f>
        <v>1.6799741741000001</v>
      </c>
      <c r="G316">
        <f>[5]trip_summary_region!G316</f>
        <v>12.079705097</v>
      </c>
      <c r="H316">
        <f>[5]trip_summary_region!H316</f>
        <v>0.33275858740000003</v>
      </c>
      <c r="I316" t="str">
        <f>[5]trip_summary_region!I316</f>
        <v>Non-Household Travel</v>
      </c>
      <c r="J316" t="str">
        <f>[5]trip_summary_region!J316</f>
        <v>2042/43</v>
      </c>
    </row>
    <row r="317" spans="1:10" x14ac:dyDescent="0.25">
      <c r="A317" t="str">
        <f>[5]trip_summary_region!A317</f>
        <v>05 GISBORNE</v>
      </c>
      <c r="B317">
        <f>[5]trip_summary_region!B317</f>
        <v>0</v>
      </c>
      <c r="C317">
        <f>[5]trip_summary_region!C317</f>
        <v>2013</v>
      </c>
      <c r="D317">
        <f>[5]trip_summary_region!D317</f>
        <v>242</v>
      </c>
      <c r="E317">
        <f>[5]trip_summary_region!E317</f>
        <v>910</v>
      </c>
      <c r="F317">
        <f>[5]trip_summary_region!F317</f>
        <v>12.564280467</v>
      </c>
      <c r="G317">
        <f>[5]trip_summary_region!G317</f>
        <v>7.5635235767999998</v>
      </c>
      <c r="H317">
        <f>[5]trip_summary_region!H317</f>
        <v>2.2694063563000002</v>
      </c>
      <c r="I317" t="str">
        <f>[5]trip_summary_region!I317</f>
        <v>Pedestrian</v>
      </c>
      <c r="J317" t="str">
        <f>[5]trip_summary_region!J317</f>
        <v>2012/13</v>
      </c>
    </row>
    <row r="318" spans="1:10" x14ac:dyDescent="0.25">
      <c r="A318" t="str">
        <f>[5]trip_summary_region!A318</f>
        <v>05 GISBORNE</v>
      </c>
      <c r="B318">
        <f>[5]trip_summary_region!B318</f>
        <v>0</v>
      </c>
      <c r="C318">
        <f>[5]trip_summary_region!C318</f>
        <v>2018</v>
      </c>
      <c r="D318">
        <f>[5]trip_summary_region!D318</f>
        <v>242</v>
      </c>
      <c r="E318">
        <f>[5]trip_summary_region!E318</f>
        <v>910</v>
      </c>
      <c r="F318">
        <f>[5]trip_summary_region!F318</f>
        <v>12.027814319000001</v>
      </c>
      <c r="G318">
        <f>[5]trip_summary_region!G318</f>
        <v>7.2552094140000003</v>
      </c>
      <c r="H318">
        <f>[5]trip_summary_region!H318</f>
        <v>2.1452482674</v>
      </c>
      <c r="I318" t="str">
        <f>[5]trip_summary_region!I318</f>
        <v>Pedestrian</v>
      </c>
      <c r="J318" t="str">
        <f>[5]trip_summary_region!J318</f>
        <v>2017/18</v>
      </c>
    </row>
    <row r="319" spans="1:10" x14ac:dyDescent="0.25">
      <c r="A319" t="str">
        <f>[5]trip_summary_region!A319</f>
        <v>05 GISBORNE</v>
      </c>
      <c r="B319">
        <f>[5]trip_summary_region!B319</f>
        <v>0</v>
      </c>
      <c r="C319">
        <f>[5]trip_summary_region!C319</f>
        <v>2023</v>
      </c>
      <c r="D319">
        <f>[5]trip_summary_region!D319</f>
        <v>242</v>
      </c>
      <c r="E319">
        <f>[5]trip_summary_region!E319</f>
        <v>910</v>
      </c>
      <c r="F319">
        <f>[5]trip_summary_region!F319</f>
        <v>11.536277094000001</v>
      </c>
      <c r="G319">
        <f>[5]trip_summary_region!G319</f>
        <v>7.0004881509999999</v>
      </c>
      <c r="H319">
        <f>[5]trip_summary_region!H319</f>
        <v>2.0338131262000001</v>
      </c>
      <c r="I319" t="str">
        <f>[5]trip_summary_region!I319</f>
        <v>Pedestrian</v>
      </c>
      <c r="J319" t="str">
        <f>[5]trip_summary_region!J319</f>
        <v>2022/23</v>
      </c>
    </row>
    <row r="320" spans="1:10" x14ac:dyDescent="0.25">
      <c r="A320" t="str">
        <f>[5]trip_summary_region!A320</f>
        <v>05 GISBORNE</v>
      </c>
      <c r="B320">
        <f>[5]trip_summary_region!B320</f>
        <v>0</v>
      </c>
      <c r="C320">
        <f>[5]trip_summary_region!C320</f>
        <v>2028</v>
      </c>
      <c r="D320">
        <f>[5]trip_summary_region!D320</f>
        <v>242</v>
      </c>
      <c r="E320">
        <f>[5]trip_summary_region!E320</f>
        <v>910</v>
      </c>
      <c r="F320">
        <f>[5]trip_summary_region!F320</f>
        <v>11.208667079</v>
      </c>
      <c r="G320">
        <f>[5]trip_summary_region!G320</f>
        <v>6.8967704684999998</v>
      </c>
      <c r="H320">
        <f>[5]trip_summary_region!H320</f>
        <v>1.9720493110999999</v>
      </c>
      <c r="I320" t="str">
        <f>[5]trip_summary_region!I320</f>
        <v>Pedestrian</v>
      </c>
      <c r="J320" t="str">
        <f>[5]trip_summary_region!J320</f>
        <v>2027/28</v>
      </c>
    </row>
    <row r="321" spans="1:10" x14ac:dyDescent="0.25">
      <c r="A321" t="str">
        <f>[5]trip_summary_region!A321</f>
        <v>05 GISBORNE</v>
      </c>
      <c r="B321">
        <f>[5]trip_summary_region!B321</f>
        <v>0</v>
      </c>
      <c r="C321">
        <f>[5]trip_summary_region!C321</f>
        <v>2033</v>
      </c>
      <c r="D321">
        <f>[5]trip_summary_region!D321</f>
        <v>242</v>
      </c>
      <c r="E321">
        <f>[5]trip_summary_region!E321</f>
        <v>910</v>
      </c>
      <c r="F321">
        <f>[5]trip_summary_region!F321</f>
        <v>10.813413696</v>
      </c>
      <c r="G321">
        <f>[5]trip_summary_region!G321</f>
        <v>6.7636561305000003</v>
      </c>
      <c r="H321">
        <f>[5]trip_summary_region!H321</f>
        <v>1.9070143397999999</v>
      </c>
      <c r="I321" t="str">
        <f>[5]trip_summary_region!I321</f>
        <v>Pedestrian</v>
      </c>
      <c r="J321" t="str">
        <f>[5]trip_summary_region!J321</f>
        <v>2032/33</v>
      </c>
    </row>
    <row r="322" spans="1:10" x14ac:dyDescent="0.25">
      <c r="A322" t="str">
        <f>[5]trip_summary_region!A322</f>
        <v>05 GISBORNE</v>
      </c>
      <c r="B322">
        <f>[5]trip_summary_region!B322</f>
        <v>0</v>
      </c>
      <c r="C322">
        <f>[5]trip_summary_region!C322</f>
        <v>2038</v>
      </c>
      <c r="D322">
        <f>[5]trip_summary_region!D322</f>
        <v>242</v>
      </c>
      <c r="E322">
        <f>[5]trip_summary_region!E322</f>
        <v>910</v>
      </c>
      <c r="F322">
        <f>[5]trip_summary_region!F322</f>
        <v>10.397675804</v>
      </c>
      <c r="G322">
        <f>[5]trip_summary_region!G322</f>
        <v>6.5489439032999996</v>
      </c>
      <c r="H322">
        <f>[5]trip_summary_region!H322</f>
        <v>1.8349818942</v>
      </c>
      <c r="I322" t="str">
        <f>[5]trip_summary_region!I322</f>
        <v>Pedestrian</v>
      </c>
      <c r="J322" t="str">
        <f>[5]trip_summary_region!J322</f>
        <v>2037/38</v>
      </c>
    </row>
    <row r="323" spans="1:10" x14ac:dyDescent="0.25">
      <c r="A323" t="str">
        <f>[5]trip_summary_region!A323</f>
        <v>05 GISBORNE</v>
      </c>
      <c r="B323">
        <f>[5]trip_summary_region!B323</f>
        <v>0</v>
      </c>
      <c r="C323">
        <f>[5]trip_summary_region!C323</f>
        <v>2043</v>
      </c>
      <c r="D323">
        <f>[5]trip_summary_region!D323</f>
        <v>242</v>
      </c>
      <c r="E323">
        <f>[5]trip_summary_region!E323</f>
        <v>910</v>
      </c>
      <c r="F323">
        <f>[5]trip_summary_region!F323</f>
        <v>9.9906845094999994</v>
      </c>
      <c r="G323">
        <f>[5]trip_summary_region!G323</f>
        <v>6.3600363009000001</v>
      </c>
      <c r="H323">
        <f>[5]trip_summary_region!H323</f>
        <v>1.7654359237999999</v>
      </c>
      <c r="I323" t="str">
        <f>[5]trip_summary_region!I323</f>
        <v>Pedestrian</v>
      </c>
      <c r="J323" t="str">
        <f>[5]trip_summary_region!J323</f>
        <v>2042/43</v>
      </c>
    </row>
    <row r="324" spans="1:10" x14ac:dyDescent="0.25">
      <c r="A324" t="str">
        <f>[5]trip_summary_region!A324</f>
        <v>05 GISBORNE</v>
      </c>
      <c r="B324">
        <f>[5]trip_summary_region!B324</f>
        <v>1</v>
      </c>
      <c r="C324">
        <f>[5]trip_summary_region!C324</f>
        <v>2013</v>
      </c>
      <c r="D324">
        <f>[5]trip_summary_region!D324</f>
        <v>27</v>
      </c>
      <c r="E324">
        <f>[5]trip_summary_region!E324</f>
        <v>100</v>
      </c>
      <c r="F324">
        <f>[5]trip_summary_region!F324</f>
        <v>1.1119455742</v>
      </c>
      <c r="G324">
        <f>[5]trip_summary_region!G324</f>
        <v>3.8031873472000002</v>
      </c>
      <c r="H324">
        <f>[5]trip_summary_region!H324</f>
        <v>0.28046850410000002</v>
      </c>
      <c r="I324" t="str">
        <f>[5]trip_summary_region!I324</f>
        <v>Cyclist</v>
      </c>
      <c r="J324" t="str">
        <f>[5]trip_summary_region!J324</f>
        <v>2012/13</v>
      </c>
    </row>
    <row r="325" spans="1:10" x14ac:dyDescent="0.25">
      <c r="A325" t="str">
        <f>[5]trip_summary_region!A325</f>
        <v>05 GISBORNE</v>
      </c>
      <c r="B325">
        <f>[5]trip_summary_region!B325</f>
        <v>1</v>
      </c>
      <c r="C325">
        <f>[5]trip_summary_region!C325</f>
        <v>2018</v>
      </c>
      <c r="D325">
        <f>[5]trip_summary_region!D325</f>
        <v>27</v>
      </c>
      <c r="E325">
        <f>[5]trip_summary_region!E325</f>
        <v>100</v>
      </c>
      <c r="F325">
        <f>[5]trip_summary_region!F325</f>
        <v>1.0553586051999999</v>
      </c>
      <c r="G325">
        <f>[5]trip_summary_region!G325</f>
        <v>3.4125129915999999</v>
      </c>
      <c r="H325">
        <f>[5]trip_summary_region!H325</f>
        <v>0.25736887819999998</v>
      </c>
      <c r="I325" t="str">
        <f>[5]trip_summary_region!I325</f>
        <v>Cyclist</v>
      </c>
      <c r="J325" t="str">
        <f>[5]trip_summary_region!J325</f>
        <v>2017/18</v>
      </c>
    </row>
    <row r="326" spans="1:10" x14ac:dyDescent="0.25">
      <c r="A326" t="str">
        <f>[5]trip_summary_region!A326</f>
        <v>05 GISBORNE</v>
      </c>
      <c r="B326">
        <f>[5]trip_summary_region!B326</f>
        <v>1</v>
      </c>
      <c r="C326">
        <f>[5]trip_summary_region!C326</f>
        <v>2023</v>
      </c>
      <c r="D326">
        <f>[5]trip_summary_region!D326</f>
        <v>27</v>
      </c>
      <c r="E326">
        <f>[5]trip_summary_region!E326</f>
        <v>100</v>
      </c>
      <c r="F326">
        <f>[5]trip_summary_region!F326</f>
        <v>1.0209961311</v>
      </c>
      <c r="G326">
        <f>[5]trip_summary_region!G326</f>
        <v>3.1860215773</v>
      </c>
      <c r="H326">
        <f>[5]trip_summary_region!H326</f>
        <v>0.24146255380000001</v>
      </c>
      <c r="I326" t="str">
        <f>[5]trip_summary_region!I326</f>
        <v>Cyclist</v>
      </c>
      <c r="J326" t="str">
        <f>[5]trip_summary_region!J326</f>
        <v>2022/23</v>
      </c>
    </row>
    <row r="327" spans="1:10" x14ac:dyDescent="0.25">
      <c r="A327" t="str">
        <f>[5]trip_summary_region!A327</f>
        <v>05 GISBORNE</v>
      </c>
      <c r="B327">
        <f>[5]trip_summary_region!B327</f>
        <v>1</v>
      </c>
      <c r="C327">
        <f>[5]trip_summary_region!C327</f>
        <v>2028</v>
      </c>
      <c r="D327">
        <f>[5]trip_summary_region!D327</f>
        <v>27</v>
      </c>
      <c r="E327">
        <f>[5]trip_summary_region!E327</f>
        <v>100</v>
      </c>
      <c r="F327">
        <f>[5]trip_summary_region!F327</f>
        <v>0.95888166450000001</v>
      </c>
      <c r="G327">
        <f>[5]trip_summary_region!G327</f>
        <v>2.8562106812999999</v>
      </c>
      <c r="H327">
        <f>[5]trip_summary_region!H327</f>
        <v>0.21699228509999999</v>
      </c>
      <c r="I327" t="str">
        <f>[5]trip_summary_region!I327</f>
        <v>Cyclist</v>
      </c>
      <c r="J327" t="str">
        <f>[5]trip_summary_region!J327</f>
        <v>2027/28</v>
      </c>
    </row>
    <row r="328" spans="1:10" x14ac:dyDescent="0.25">
      <c r="A328" t="str">
        <f>[5]trip_summary_region!A328</f>
        <v>05 GISBORNE</v>
      </c>
      <c r="B328">
        <f>[5]trip_summary_region!B328</f>
        <v>1</v>
      </c>
      <c r="C328">
        <f>[5]trip_summary_region!C328</f>
        <v>2033</v>
      </c>
      <c r="D328">
        <f>[5]trip_summary_region!D328</f>
        <v>27</v>
      </c>
      <c r="E328">
        <f>[5]trip_summary_region!E328</f>
        <v>100</v>
      </c>
      <c r="F328">
        <f>[5]trip_summary_region!F328</f>
        <v>0.88622468060000004</v>
      </c>
      <c r="G328">
        <f>[5]trip_summary_region!G328</f>
        <v>2.5182691677000002</v>
      </c>
      <c r="H328">
        <f>[5]trip_summary_region!H328</f>
        <v>0.1942846631</v>
      </c>
      <c r="I328" t="str">
        <f>[5]trip_summary_region!I328</f>
        <v>Cyclist</v>
      </c>
      <c r="J328" t="str">
        <f>[5]trip_summary_region!J328</f>
        <v>2032/33</v>
      </c>
    </row>
    <row r="329" spans="1:10" x14ac:dyDescent="0.25">
      <c r="A329" t="str">
        <f>[5]trip_summary_region!A329</f>
        <v>05 GISBORNE</v>
      </c>
      <c r="B329">
        <f>[5]trip_summary_region!B329</f>
        <v>1</v>
      </c>
      <c r="C329">
        <f>[5]trip_summary_region!C329</f>
        <v>2038</v>
      </c>
      <c r="D329">
        <f>[5]trip_summary_region!D329</f>
        <v>27</v>
      </c>
      <c r="E329">
        <f>[5]trip_summary_region!E329</f>
        <v>100</v>
      </c>
      <c r="F329">
        <f>[5]trip_summary_region!F329</f>
        <v>0.81702453730000002</v>
      </c>
      <c r="G329">
        <f>[5]trip_summary_region!G329</f>
        <v>2.1961050489999998</v>
      </c>
      <c r="H329">
        <f>[5]trip_summary_region!H329</f>
        <v>0.1745637937</v>
      </c>
      <c r="I329" t="str">
        <f>[5]trip_summary_region!I329</f>
        <v>Cyclist</v>
      </c>
      <c r="J329" t="str">
        <f>[5]trip_summary_region!J329</f>
        <v>2037/38</v>
      </c>
    </row>
    <row r="330" spans="1:10" x14ac:dyDescent="0.25">
      <c r="A330" t="str">
        <f>[5]trip_summary_region!A330</f>
        <v>05 GISBORNE</v>
      </c>
      <c r="B330">
        <f>[5]trip_summary_region!B330</f>
        <v>1</v>
      </c>
      <c r="C330">
        <f>[5]trip_summary_region!C330</f>
        <v>2043</v>
      </c>
      <c r="D330">
        <f>[5]trip_summary_region!D330</f>
        <v>27</v>
      </c>
      <c r="E330">
        <f>[5]trip_summary_region!E330</f>
        <v>100</v>
      </c>
      <c r="F330">
        <f>[5]trip_summary_region!F330</f>
        <v>0.75471389649999998</v>
      </c>
      <c r="G330">
        <f>[5]trip_summary_region!G330</f>
        <v>1.9231667240999999</v>
      </c>
      <c r="H330">
        <f>[5]trip_summary_region!H330</f>
        <v>0.15752245919999999</v>
      </c>
      <c r="I330" t="str">
        <f>[5]trip_summary_region!I330</f>
        <v>Cyclist</v>
      </c>
      <c r="J330" t="str">
        <f>[5]trip_summary_region!J330</f>
        <v>2042/43</v>
      </c>
    </row>
    <row r="331" spans="1:10" x14ac:dyDescent="0.25">
      <c r="A331" t="str">
        <f>[5]trip_summary_region!A331</f>
        <v>05 GISBORNE</v>
      </c>
      <c r="B331">
        <f>[5]trip_summary_region!B331</f>
        <v>2</v>
      </c>
      <c r="C331">
        <f>[5]trip_summary_region!C331</f>
        <v>2013</v>
      </c>
      <c r="D331">
        <f>[5]trip_summary_region!D331</f>
        <v>319</v>
      </c>
      <c r="E331">
        <f>[5]trip_summary_region!E331</f>
        <v>2307</v>
      </c>
      <c r="F331">
        <f>[5]trip_summary_region!F331</f>
        <v>28.776347379000001</v>
      </c>
      <c r="G331">
        <f>[5]trip_summary_region!G331</f>
        <v>241.40144318</v>
      </c>
      <c r="H331">
        <f>[5]trip_summary_region!H331</f>
        <v>6.0182660548999998</v>
      </c>
      <c r="I331" t="str">
        <f>[5]trip_summary_region!I331</f>
        <v>Light Vehicle Driver</v>
      </c>
      <c r="J331" t="str">
        <f>[5]trip_summary_region!J331</f>
        <v>2012/13</v>
      </c>
    </row>
    <row r="332" spans="1:10" x14ac:dyDescent="0.25">
      <c r="A332" t="str">
        <f>[5]trip_summary_region!A332</f>
        <v>05 GISBORNE</v>
      </c>
      <c r="B332">
        <f>[5]trip_summary_region!B332</f>
        <v>2</v>
      </c>
      <c r="C332">
        <f>[5]trip_summary_region!C332</f>
        <v>2018</v>
      </c>
      <c r="D332">
        <f>[5]trip_summary_region!D332</f>
        <v>319</v>
      </c>
      <c r="E332">
        <f>[5]trip_summary_region!E332</f>
        <v>2307</v>
      </c>
      <c r="F332">
        <f>[5]trip_summary_region!F332</f>
        <v>29.136343494999998</v>
      </c>
      <c r="G332">
        <f>[5]trip_summary_region!G332</f>
        <v>248.97396578999999</v>
      </c>
      <c r="H332">
        <f>[5]trip_summary_region!H332</f>
        <v>6.1848439588000002</v>
      </c>
      <c r="I332" t="str">
        <f>[5]trip_summary_region!I332</f>
        <v>Light Vehicle Driver</v>
      </c>
      <c r="J332" t="str">
        <f>[5]trip_summary_region!J332</f>
        <v>2017/18</v>
      </c>
    </row>
    <row r="333" spans="1:10" x14ac:dyDescent="0.25">
      <c r="A333" t="str">
        <f>[5]trip_summary_region!A333</f>
        <v>05 GISBORNE</v>
      </c>
      <c r="B333">
        <f>[5]trip_summary_region!B333</f>
        <v>2</v>
      </c>
      <c r="C333">
        <f>[5]trip_summary_region!C333</f>
        <v>2023</v>
      </c>
      <c r="D333">
        <f>[5]trip_summary_region!D333</f>
        <v>319</v>
      </c>
      <c r="E333">
        <f>[5]trip_summary_region!E333</f>
        <v>2307</v>
      </c>
      <c r="F333">
        <f>[5]trip_summary_region!F333</f>
        <v>28.894610711999999</v>
      </c>
      <c r="G333">
        <f>[5]trip_summary_region!G333</f>
        <v>248.88907699000001</v>
      </c>
      <c r="H333">
        <f>[5]trip_summary_region!H333</f>
        <v>6.1917898603000001</v>
      </c>
      <c r="I333" t="str">
        <f>[5]trip_summary_region!I333</f>
        <v>Light Vehicle Driver</v>
      </c>
      <c r="J333" t="str">
        <f>[5]trip_summary_region!J333</f>
        <v>2022/23</v>
      </c>
    </row>
    <row r="334" spans="1:10" x14ac:dyDescent="0.25">
      <c r="A334" t="str">
        <f>[5]trip_summary_region!A334</f>
        <v>05 GISBORNE</v>
      </c>
      <c r="B334">
        <f>[5]trip_summary_region!B334</f>
        <v>2</v>
      </c>
      <c r="C334">
        <f>[5]trip_summary_region!C334</f>
        <v>2028</v>
      </c>
      <c r="D334">
        <f>[5]trip_summary_region!D334</f>
        <v>319</v>
      </c>
      <c r="E334">
        <f>[5]trip_summary_region!E334</f>
        <v>2307</v>
      </c>
      <c r="F334">
        <f>[5]trip_summary_region!F334</f>
        <v>28.589899851999999</v>
      </c>
      <c r="G334">
        <f>[5]trip_summary_region!G334</f>
        <v>247.77314451000001</v>
      </c>
      <c r="H334">
        <f>[5]trip_summary_region!H334</f>
        <v>6.1761674920000003</v>
      </c>
      <c r="I334" t="str">
        <f>[5]trip_summary_region!I334</f>
        <v>Light Vehicle Driver</v>
      </c>
      <c r="J334" t="str">
        <f>[5]trip_summary_region!J334</f>
        <v>2027/28</v>
      </c>
    </row>
    <row r="335" spans="1:10" x14ac:dyDescent="0.25">
      <c r="A335" t="str">
        <f>[5]trip_summary_region!A335</f>
        <v>05 GISBORNE</v>
      </c>
      <c r="B335">
        <f>[5]trip_summary_region!B335</f>
        <v>2</v>
      </c>
      <c r="C335">
        <f>[5]trip_summary_region!C335</f>
        <v>2033</v>
      </c>
      <c r="D335">
        <f>[5]trip_summary_region!D335</f>
        <v>319</v>
      </c>
      <c r="E335">
        <f>[5]trip_summary_region!E335</f>
        <v>2307</v>
      </c>
      <c r="F335">
        <f>[5]trip_summary_region!F335</f>
        <v>28.122597312</v>
      </c>
      <c r="G335">
        <f>[5]trip_summary_region!G335</f>
        <v>245.72992592</v>
      </c>
      <c r="H335">
        <f>[5]trip_summary_region!H335</f>
        <v>6.1245430435000001</v>
      </c>
      <c r="I335" t="str">
        <f>[5]trip_summary_region!I335</f>
        <v>Light Vehicle Driver</v>
      </c>
      <c r="J335" t="str">
        <f>[5]trip_summary_region!J335</f>
        <v>2032/33</v>
      </c>
    </row>
    <row r="336" spans="1:10" x14ac:dyDescent="0.25">
      <c r="A336" t="str">
        <f>[5]trip_summary_region!A336</f>
        <v>05 GISBORNE</v>
      </c>
      <c r="B336">
        <f>[5]trip_summary_region!B336</f>
        <v>2</v>
      </c>
      <c r="C336">
        <f>[5]trip_summary_region!C336</f>
        <v>2038</v>
      </c>
      <c r="D336">
        <f>[5]trip_summary_region!D336</f>
        <v>319</v>
      </c>
      <c r="E336">
        <f>[5]trip_summary_region!E336</f>
        <v>2307</v>
      </c>
      <c r="F336">
        <f>[5]trip_summary_region!F336</f>
        <v>27.647387493</v>
      </c>
      <c r="G336">
        <f>[5]trip_summary_region!G336</f>
        <v>243.42898123000001</v>
      </c>
      <c r="H336">
        <f>[5]trip_summary_region!H336</f>
        <v>6.0668537531000002</v>
      </c>
      <c r="I336" t="str">
        <f>[5]trip_summary_region!I336</f>
        <v>Light Vehicle Driver</v>
      </c>
      <c r="J336" t="str">
        <f>[5]trip_summary_region!J336</f>
        <v>2037/38</v>
      </c>
    </row>
    <row r="337" spans="1:10" x14ac:dyDescent="0.25">
      <c r="A337" t="str">
        <f>[5]trip_summary_region!A337</f>
        <v>05 GISBORNE</v>
      </c>
      <c r="B337">
        <f>[5]trip_summary_region!B337</f>
        <v>2</v>
      </c>
      <c r="C337">
        <f>[5]trip_summary_region!C337</f>
        <v>2043</v>
      </c>
      <c r="D337">
        <f>[5]trip_summary_region!D337</f>
        <v>319</v>
      </c>
      <c r="E337">
        <f>[5]trip_summary_region!E337</f>
        <v>2307</v>
      </c>
      <c r="F337">
        <f>[5]trip_summary_region!F337</f>
        <v>27.110034266</v>
      </c>
      <c r="G337">
        <f>[5]trip_summary_region!G337</f>
        <v>240.35040748</v>
      </c>
      <c r="H337">
        <f>[5]trip_summary_region!H337</f>
        <v>5.9957586016000004</v>
      </c>
      <c r="I337" t="str">
        <f>[5]trip_summary_region!I337</f>
        <v>Light Vehicle Driver</v>
      </c>
      <c r="J337" t="str">
        <f>[5]trip_summary_region!J337</f>
        <v>2042/43</v>
      </c>
    </row>
    <row r="338" spans="1:10" x14ac:dyDescent="0.25">
      <c r="A338" t="str">
        <f>[5]trip_summary_region!A338</f>
        <v>05 GISBORNE</v>
      </c>
      <c r="B338">
        <f>[5]trip_summary_region!B338</f>
        <v>3</v>
      </c>
      <c r="C338">
        <f>[5]trip_summary_region!C338</f>
        <v>2013</v>
      </c>
      <c r="D338">
        <f>[5]trip_summary_region!D338</f>
        <v>278</v>
      </c>
      <c r="E338">
        <f>[5]trip_summary_region!E338</f>
        <v>1431</v>
      </c>
      <c r="F338">
        <f>[5]trip_summary_region!F338</f>
        <v>18.791024854</v>
      </c>
      <c r="G338">
        <f>[5]trip_summary_region!G338</f>
        <v>174.74236519999999</v>
      </c>
      <c r="H338">
        <f>[5]trip_summary_region!H338</f>
        <v>4.5909579553000004</v>
      </c>
      <c r="I338" t="str">
        <f>[5]trip_summary_region!I338</f>
        <v>Light Vehicle Passenger</v>
      </c>
      <c r="J338" t="str">
        <f>[5]trip_summary_region!J338</f>
        <v>2012/13</v>
      </c>
    </row>
    <row r="339" spans="1:10" x14ac:dyDescent="0.25">
      <c r="A339" t="str">
        <f>[5]trip_summary_region!A339</f>
        <v>05 GISBORNE</v>
      </c>
      <c r="B339">
        <f>[5]trip_summary_region!B339</f>
        <v>3</v>
      </c>
      <c r="C339">
        <f>[5]trip_summary_region!C339</f>
        <v>2018</v>
      </c>
      <c r="D339">
        <f>[5]trip_summary_region!D339</f>
        <v>278</v>
      </c>
      <c r="E339">
        <f>[5]trip_summary_region!E339</f>
        <v>1431</v>
      </c>
      <c r="F339">
        <f>[5]trip_summary_region!F339</f>
        <v>17.520618199000001</v>
      </c>
      <c r="G339">
        <f>[5]trip_summary_region!G339</f>
        <v>164.46782039000001</v>
      </c>
      <c r="H339">
        <f>[5]trip_summary_region!H339</f>
        <v>4.3586438357999997</v>
      </c>
      <c r="I339" t="str">
        <f>[5]trip_summary_region!I339</f>
        <v>Light Vehicle Passenger</v>
      </c>
      <c r="J339" t="str">
        <f>[5]trip_summary_region!J339</f>
        <v>2017/18</v>
      </c>
    </row>
    <row r="340" spans="1:10" x14ac:dyDescent="0.25">
      <c r="A340" t="str">
        <f>[5]trip_summary_region!A340</f>
        <v>05 GISBORNE</v>
      </c>
      <c r="B340">
        <f>[5]trip_summary_region!B340</f>
        <v>3</v>
      </c>
      <c r="C340">
        <f>[5]trip_summary_region!C340</f>
        <v>2023</v>
      </c>
      <c r="D340">
        <f>[5]trip_summary_region!D340</f>
        <v>278</v>
      </c>
      <c r="E340">
        <f>[5]trip_summary_region!E340</f>
        <v>1431</v>
      </c>
      <c r="F340">
        <f>[5]trip_summary_region!F340</f>
        <v>16.409874857999998</v>
      </c>
      <c r="G340">
        <f>[5]trip_summary_region!G340</f>
        <v>155.70298459</v>
      </c>
      <c r="H340">
        <f>[5]trip_summary_region!H340</f>
        <v>4.1435630797999998</v>
      </c>
      <c r="I340" t="str">
        <f>[5]trip_summary_region!I340</f>
        <v>Light Vehicle Passenger</v>
      </c>
      <c r="J340" t="str">
        <f>[5]trip_summary_region!J340</f>
        <v>2022/23</v>
      </c>
    </row>
    <row r="341" spans="1:10" x14ac:dyDescent="0.25">
      <c r="A341" t="str">
        <f>[5]trip_summary_region!A341</f>
        <v>05 GISBORNE</v>
      </c>
      <c r="B341">
        <f>[5]trip_summary_region!B341</f>
        <v>3</v>
      </c>
      <c r="C341">
        <f>[5]trip_summary_region!C341</f>
        <v>2028</v>
      </c>
      <c r="D341">
        <f>[5]trip_summary_region!D341</f>
        <v>278</v>
      </c>
      <c r="E341">
        <f>[5]trip_summary_region!E341</f>
        <v>1431</v>
      </c>
      <c r="F341">
        <f>[5]trip_summary_region!F341</f>
        <v>15.425398207000001</v>
      </c>
      <c r="G341">
        <f>[5]trip_summary_region!G341</f>
        <v>148.30914981000001</v>
      </c>
      <c r="H341">
        <f>[5]trip_summary_region!H341</f>
        <v>3.9432734617</v>
      </c>
      <c r="I341" t="str">
        <f>[5]trip_summary_region!I341</f>
        <v>Light Vehicle Passenger</v>
      </c>
      <c r="J341" t="str">
        <f>[5]trip_summary_region!J341</f>
        <v>2027/28</v>
      </c>
    </row>
    <row r="342" spans="1:10" x14ac:dyDescent="0.25">
      <c r="A342" t="str">
        <f>[5]trip_summary_region!A342</f>
        <v>05 GISBORNE</v>
      </c>
      <c r="B342">
        <f>[5]trip_summary_region!B342</f>
        <v>3</v>
      </c>
      <c r="C342">
        <f>[5]trip_summary_region!C342</f>
        <v>2033</v>
      </c>
      <c r="D342">
        <f>[5]trip_summary_region!D342</f>
        <v>278</v>
      </c>
      <c r="E342">
        <f>[5]trip_summary_region!E342</f>
        <v>1431</v>
      </c>
      <c r="F342">
        <f>[5]trip_summary_region!F342</f>
        <v>14.528901376</v>
      </c>
      <c r="G342">
        <f>[5]trip_summary_region!G342</f>
        <v>139.64882908999999</v>
      </c>
      <c r="H342">
        <f>[5]trip_summary_region!H342</f>
        <v>3.7175013019000001</v>
      </c>
      <c r="I342" t="str">
        <f>[5]trip_summary_region!I342</f>
        <v>Light Vehicle Passenger</v>
      </c>
      <c r="J342" t="str">
        <f>[5]trip_summary_region!J342</f>
        <v>2032/33</v>
      </c>
    </row>
    <row r="343" spans="1:10" x14ac:dyDescent="0.25">
      <c r="A343" t="str">
        <f>[5]trip_summary_region!A343</f>
        <v>05 GISBORNE</v>
      </c>
      <c r="B343">
        <f>[5]trip_summary_region!B343</f>
        <v>3</v>
      </c>
      <c r="C343">
        <f>[5]trip_summary_region!C343</f>
        <v>2038</v>
      </c>
      <c r="D343">
        <f>[5]trip_summary_region!D343</f>
        <v>278</v>
      </c>
      <c r="E343">
        <f>[5]trip_summary_region!E343</f>
        <v>1431</v>
      </c>
      <c r="F343">
        <f>[5]trip_summary_region!F343</f>
        <v>13.823290866000001</v>
      </c>
      <c r="G343">
        <f>[5]trip_summary_region!G343</f>
        <v>132.51400441000001</v>
      </c>
      <c r="H343">
        <f>[5]trip_summary_region!H343</f>
        <v>3.5553156835999999</v>
      </c>
      <c r="I343" t="str">
        <f>[5]trip_summary_region!I343</f>
        <v>Light Vehicle Passenger</v>
      </c>
      <c r="J343" t="str">
        <f>[5]trip_summary_region!J343</f>
        <v>2037/38</v>
      </c>
    </row>
    <row r="344" spans="1:10" x14ac:dyDescent="0.25">
      <c r="A344" t="str">
        <f>[5]trip_summary_region!A344</f>
        <v>05 GISBORNE</v>
      </c>
      <c r="B344">
        <f>[5]trip_summary_region!B344</f>
        <v>3</v>
      </c>
      <c r="C344">
        <f>[5]trip_summary_region!C344</f>
        <v>2043</v>
      </c>
      <c r="D344">
        <f>[5]trip_summary_region!D344</f>
        <v>278</v>
      </c>
      <c r="E344">
        <f>[5]trip_summary_region!E344</f>
        <v>1431</v>
      </c>
      <c r="F344">
        <f>[5]trip_summary_region!F344</f>
        <v>13.123630538</v>
      </c>
      <c r="G344">
        <f>[5]trip_summary_region!G344</f>
        <v>125.56188837000001</v>
      </c>
      <c r="H344">
        <f>[5]trip_summary_region!H344</f>
        <v>3.4009293736999999</v>
      </c>
      <c r="I344" t="str">
        <f>[5]trip_summary_region!I344</f>
        <v>Light Vehicle Passenger</v>
      </c>
      <c r="J344" t="str">
        <f>[5]trip_summary_region!J344</f>
        <v>2042/43</v>
      </c>
    </row>
    <row r="345" spans="1:10" x14ac:dyDescent="0.25">
      <c r="A345" t="str">
        <f>[5]trip_summary_region!A345</f>
        <v>05 GISBORNE</v>
      </c>
      <c r="B345">
        <f>[5]trip_summary_region!B345</f>
        <v>4</v>
      </c>
      <c r="C345">
        <f>[5]trip_summary_region!C345</f>
        <v>2013</v>
      </c>
      <c r="D345">
        <f>[5]trip_summary_region!D345</f>
        <v>2</v>
      </c>
      <c r="E345">
        <f>[5]trip_summary_region!E345</f>
        <v>2</v>
      </c>
      <c r="F345">
        <f>[5]trip_summary_region!F345</f>
        <v>2.27015811E-2</v>
      </c>
      <c r="G345">
        <f>[5]trip_summary_region!G345</f>
        <v>0.1174510768</v>
      </c>
      <c r="H345">
        <f>[5]trip_summary_region!H345</f>
        <v>5.0534828E-3</v>
      </c>
      <c r="I345" t="s">
        <v>116</v>
      </c>
      <c r="J345" t="str">
        <f>[5]trip_summary_region!J345</f>
        <v>2012/13</v>
      </c>
    </row>
    <row r="346" spans="1:10" x14ac:dyDescent="0.25">
      <c r="A346" t="str">
        <f>[5]trip_summary_region!A346</f>
        <v>05 GISBORNE</v>
      </c>
      <c r="B346">
        <f>[5]trip_summary_region!B346</f>
        <v>4</v>
      </c>
      <c r="C346">
        <f>[5]trip_summary_region!C346</f>
        <v>2018</v>
      </c>
      <c r="D346">
        <f>[5]trip_summary_region!D346</f>
        <v>2</v>
      </c>
      <c r="E346">
        <f>[5]trip_summary_region!E346</f>
        <v>2</v>
      </c>
      <c r="F346">
        <f>[5]trip_summary_region!F346</f>
        <v>2.4493477699999999E-2</v>
      </c>
      <c r="G346">
        <f>[5]trip_summary_region!G346</f>
        <v>0.1623226676</v>
      </c>
      <c r="H346">
        <f>[5]trip_summary_region!H346</f>
        <v>6.7854517999999999E-3</v>
      </c>
      <c r="I346" t="s">
        <v>116</v>
      </c>
      <c r="J346" t="str">
        <f>[5]trip_summary_region!J346</f>
        <v>2017/18</v>
      </c>
    </row>
    <row r="347" spans="1:10" x14ac:dyDescent="0.25">
      <c r="A347" t="str">
        <f>[5]trip_summary_region!A347</f>
        <v>05 GISBORNE</v>
      </c>
      <c r="B347">
        <f>[5]trip_summary_region!B347</f>
        <v>4</v>
      </c>
      <c r="C347">
        <f>[5]trip_summary_region!C347</f>
        <v>2023</v>
      </c>
      <c r="D347">
        <f>[5]trip_summary_region!D347</f>
        <v>2</v>
      </c>
      <c r="E347">
        <f>[5]trip_summary_region!E347</f>
        <v>2</v>
      </c>
      <c r="F347">
        <f>[5]trip_summary_region!F347</f>
        <v>2.89300215E-2</v>
      </c>
      <c r="G347">
        <f>[5]trip_summary_region!G347</f>
        <v>0.23263389800000001</v>
      </c>
      <c r="H347">
        <f>[5]trip_summary_region!H347</f>
        <v>9.5463777000000007E-3</v>
      </c>
      <c r="I347" t="s">
        <v>116</v>
      </c>
      <c r="J347" t="str">
        <f>[5]trip_summary_region!J347</f>
        <v>2022/23</v>
      </c>
    </row>
    <row r="348" spans="1:10" x14ac:dyDescent="0.25">
      <c r="A348" t="str">
        <f>[5]trip_summary_region!A348</f>
        <v>05 GISBORNE</v>
      </c>
      <c r="B348">
        <f>[5]trip_summary_region!B348</f>
        <v>4</v>
      </c>
      <c r="C348">
        <f>[5]trip_summary_region!C348</f>
        <v>2028</v>
      </c>
      <c r="D348">
        <f>[5]trip_summary_region!D348</f>
        <v>2</v>
      </c>
      <c r="E348">
        <f>[5]trip_summary_region!E348</f>
        <v>2</v>
      </c>
      <c r="F348">
        <f>[5]trip_summary_region!F348</f>
        <v>3.63353114E-2</v>
      </c>
      <c r="G348">
        <f>[5]trip_summary_region!G348</f>
        <v>0.33599282660000002</v>
      </c>
      <c r="H348">
        <f>[5]trip_summary_region!H348</f>
        <v>1.3630504599999999E-2</v>
      </c>
      <c r="I348" t="s">
        <v>116</v>
      </c>
      <c r="J348" t="str">
        <f>[5]trip_summary_region!J348</f>
        <v>2027/28</v>
      </c>
    </row>
    <row r="349" spans="1:10" x14ac:dyDescent="0.25">
      <c r="A349" t="str">
        <f>[5]trip_summary_region!A349</f>
        <v>05 GISBORNE</v>
      </c>
      <c r="B349">
        <f>[5]trip_summary_region!B349</f>
        <v>4</v>
      </c>
      <c r="C349">
        <f>[5]trip_summary_region!C349</f>
        <v>2033</v>
      </c>
      <c r="D349">
        <f>[5]trip_summary_region!D349</f>
        <v>2</v>
      </c>
      <c r="E349">
        <f>[5]trip_summary_region!E349</f>
        <v>2</v>
      </c>
      <c r="F349">
        <f>[5]trip_summary_region!F349</f>
        <v>4.3766067999999998E-2</v>
      </c>
      <c r="G349">
        <f>[5]trip_summary_region!G349</f>
        <v>0.44888665840000003</v>
      </c>
      <c r="H349">
        <f>[5]trip_summary_region!H349</f>
        <v>1.8072403800000001E-2</v>
      </c>
      <c r="I349" t="s">
        <v>116</v>
      </c>
      <c r="J349" t="str">
        <f>[5]trip_summary_region!J349</f>
        <v>2032/33</v>
      </c>
    </row>
    <row r="350" spans="1:10" x14ac:dyDescent="0.25">
      <c r="A350" t="str">
        <f>[5]trip_summary_region!A350</f>
        <v>05 GISBORNE</v>
      </c>
      <c r="B350">
        <f>[5]trip_summary_region!B350</f>
        <v>4</v>
      </c>
      <c r="C350">
        <f>[5]trip_summary_region!C350</f>
        <v>2038</v>
      </c>
      <c r="D350">
        <f>[5]trip_summary_region!D350</f>
        <v>2</v>
      </c>
      <c r="E350">
        <f>[5]trip_summary_region!E350</f>
        <v>2</v>
      </c>
      <c r="F350">
        <f>[5]trip_summary_region!F350</f>
        <v>4.9484892799999999E-2</v>
      </c>
      <c r="G350">
        <f>[5]trip_summary_region!G350</f>
        <v>0.52828800300000001</v>
      </c>
      <c r="H350">
        <f>[5]trip_summary_region!H350</f>
        <v>2.12107367E-2</v>
      </c>
      <c r="I350" t="s">
        <v>116</v>
      </c>
      <c r="J350" t="str">
        <f>[5]trip_summary_region!J350</f>
        <v>2037/38</v>
      </c>
    </row>
    <row r="351" spans="1:10" x14ac:dyDescent="0.25">
      <c r="A351" t="str">
        <f>[5]trip_summary_region!A351</f>
        <v>05 GISBORNE</v>
      </c>
      <c r="B351">
        <f>[5]trip_summary_region!B351</f>
        <v>4</v>
      </c>
      <c r="C351">
        <f>[5]trip_summary_region!C351</f>
        <v>2043</v>
      </c>
      <c r="D351">
        <f>[5]trip_summary_region!D351</f>
        <v>2</v>
      </c>
      <c r="E351">
        <f>[5]trip_summary_region!E351</f>
        <v>2</v>
      </c>
      <c r="F351">
        <f>[5]trip_summary_region!F351</f>
        <v>5.60723375E-2</v>
      </c>
      <c r="G351">
        <f>[5]trip_summary_region!G351</f>
        <v>0.62011667479999999</v>
      </c>
      <c r="H351">
        <f>[5]trip_summary_region!H351</f>
        <v>2.4839495100000001E-2</v>
      </c>
      <c r="I351" t="s">
        <v>116</v>
      </c>
      <c r="J351" t="str">
        <f>[5]trip_summary_region!J351</f>
        <v>2042/43</v>
      </c>
    </row>
    <row r="352" spans="1:10" x14ac:dyDescent="0.25">
      <c r="A352" t="str">
        <f>[5]trip_summary_region!A352</f>
        <v>05 GISBORNE</v>
      </c>
      <c r="B352">
        <f>[5]trip_summary_region!B352</f>
        <v>5</v>
      </c>
      <c r="C352">
        <f>[5]trip_summary_region!C352</f>
        <v>2013</v>
      </c>
      <c r="D352">
        <f>[5]trip_summary_region!D352</f>
        <v>3</v>
      </c>
      <c r="E352">
        <f>[5]trip_summary_region!E352</f>
        <v>16</v>
      </c>
      <c r="F352">
        <f>[5]trip_summary_region!F352</f>
        <v>0.20072163900000001</v>
      </c>
      <c r="G352">
        <f>[5]trip_summary_region!G352</f>
        <v>0.95186353219999997</v>
      </c>
      <c r="H352">
        <f>[5]trip_summary_region!H352</f>
        <v>4.6418087199999999E-2</v>
      </c>
      <c r="I352" t="str">
        <f>[5]trip_summary_region!I352</f>
        <v>Motorcyclist</v>
      </c>
      <c r="J352" t="str">
        <f>[5]trip_summary_region!J352</f>
        <v>2012/13</v>
      </c>
    </row>
    <row r="353" spans="1:10" x14ac:dyDescent="0.25">
      <c r="A353" t="str">
        <f>[5]trip_summary_region!A353</f>
        <v>05 GISBORNE</v>
      </c>
      <c r="B353">
        <f>[5]trip_summary_region!B353</f>
        <v>5</v>
      </c>
      <c r="C353">
        <f>[5]trip_summary_region!C353</f>
        <v>2018</v>
      </c>
      <c r="D353">
        <f>[5]trip_summary_region!D353</f>
        <v>3</v>
      </c>
      <c r="E353">
        <f>[5]trip_summary_region!E353</f>
        <v>16</v>
      </c>
      <c r="F353">
        <f>[5]trip_summary_region!F353</f>
        <v>0.19992462229999999</v>
      </c>
      <c r="G353">
        <f>[5]trip_summary_region!G353</f>
        <v>0.97433629160000002</v>
      </c>
      <c r="H353">
        <f>[5]trip_summary_region!H353</f>
        <v>4.6273164399999997E-2</v>
      </c>
      <c r="I353" t="str">
        <f>[5]trip_summary_region!I353</f>
        <v>Motorcyclist</v>
      </c>
      <c r="J353" t="str">
        <f>[5]trip_summary_region!J353</f>
        <v>2017/18</v>
      </c>
    </row>
    <row r="354" spans="1:10" x14ac:dyDescent="0.25">
      <c r="A354" t="str">
        <f>[5]trip_summary_region!A354</f>
        <v>05 GISBORNE</v>
      </c>
      <c r="B354">
        <f>[5]trip_summary_region!B354</f>
        <v>5</v>
      </c>
      <c r="C354">
        <f>[5]trip_summary_region!C354</f>
        <v>2023</v>
      </c>
      <c r="D354">
        <f>[5]trip_summary_region!D354</f>
        <v>3</v>
      </c>
      <c r="E354">
        <f>[5]trip_summary_region!E354</f>
        <v>16</v>
      </c>
      <c r="F354">
        <f>[5]trip_summary_region!F354</f>
        <v>0.1891430871</v>
      </c>
      <c r="G354">
        <f>[5]trip_summary_region!G354</f>
        <v>0.94457033199999996</v>
      </c>
      <c r="H354">
        <f>[5]trip_summary_region!H354</f>
        <v>4.3836975799999997E-2</v>
      </c>
      <c r="I354" t="str">
        <f>[5]trip_summary_region!I354</f>
        <v>Motorcyclist</v>
      </c>
      <c r="J354" t="str">
        <f>[5]trip_summary_region!J354</f>
        <v>2022/23</v>
      </c>
    </row>
    <row r="355" spans="1:10" x14ac:dyDescent="0.25">
      <c r="A355" t="str">
        <f>[5]trip_summary_region!A355</f>
        <v>05 GISBORNE</v>
      </c>
      <c r="B355">
        <f>[5]trip_summary_region!B355</f>
        <v>5</v>
      </c>
      <c r="C355">
        <f>[5]trip_summary_region!C355</f>
        <v>2028</v>
      </c>
      <c r="D355">
        <f>[5]trip_summary_region!D355</f>
        <v>3</v>
      </c>
      <c r="E355">
        <f>[5]trip_summary_region!E355</f>
        <v>16</v>
      </c>
      <c r="F355">
        <f>[5]trip_summary_region!F355</f>
        <v>0.1751213093</v>
      </c>
      <c r="G355">
        <f>[5]trip_summary_region!G355</f>
        <v>0.89185890739999996</v>
      </c>
      <c r="H355">
        <f>[5]trip_summary_region!H355</f>
        <v>4.0836764800000001E-2</v>
      </c>
      <c r="I355" t="str">
        <f>[5]trip_summary_region!I355</f>
        <v>Motorcyclist</v>
      </c>
      <c r="J355" t="str">
        <f>[5]trip_summary_region!J355</f>
        <v>2027/28</v>
      </c>
    </row>
    <row r="356" spans="1:10" x14ac:dyDescent="0.25">
      <c r="A356" t="str">
        <f>[5]trip_summary_region!A356</f>
        <v>05 GISBORNE</v>
      </c>
      <c r="B356">
        <f>[5]trip_summary_region!B356</f>
        <v>5</v>
      </c>
      <c r="C356">
        <f>[5]trip_summary_region!C356</f>
        <v>2033</v>
      </c>
      <c r="D356">
        <f>[5]trip_summary_region!D356</f>
        <v>3</v>
      </c>
      <c r="E356">
        <f>[5]trip_summary_region!E356</f>
        <v>16</v>
      </c>
      <c r="F356">
        <f>[5]trip_summary_region!F356</f>
        <v>0.1623271694</v>
      </c>
      <c r="G356">
        <f>[5]trip_summary_region!G356</f>
        <v>0.82265852510000004</v>
      </c>
      <c r="H356">
        <f>[5]trip_summary_region!H356</f>
        <v>3.8021242500000003E-2</v>
      </c>
      <c r="I356" t="str">
        <f>[5]trip_summary_region!I356</f>
        <v>Motorcyclist</v>
      </c>
      <c r="J356" t="str">
        <f>[5]trip_summary_region!J356</f>
        <v>2032/33</v>
      </c>
    </row>
    <row r="357" spans="1:10" x14ac:dyDescent="0.25">
      <c r="A357" t="str">
        <f>[5]trip_summary_region!A357</f>
        <v>05 GISBORNE</v>
      </c>
      <c r="B357">
        <f>[5]trip_summary_region!B357</f>
        <v>5</v>
      </c>
      <c r="C357">
        <f>[5]trip_summary_region!C357</f>
        <v>2038</v>
      </c>
      <c r="D357">
        <f>[5]trip_summary_region!D357</f>
        <v>3</v>
      </c>
      <c r="E357">
        <f>[5]trip_summary_region!E357</f>
        <v>16</v>
      </c>
      <c r="F357">
        <f>[5]trip_summary_region!F357</f>
        <v>0.15268022270000001</v>
      </c>
      <c r="G357">
        <f>[5]trip_summary_region!G357</f>
        <v>0.7571903794</v>
      </c>
      <c r="H357">
        <f>[5]trip_summary_region!H357</f>
        <v>3.5852383100000003E-2</v>
      </c>
      <c r="I357" t="str">
        <f>[5]trip_summary_region!I357</f>
        <v>Motorcyclist</v>
      </c>
      <c r="J357" t="str">
        <f>[5]trip_summary_region!J357</f>
        <v>2037/38</v>
      </c>
    </row>
    <row r="358" spans="1:10" x14ac:dyDescent="0.25">
      <c r="A358" t="str">
        <f>[5]trip_summary_region!A358</f>
        <v>05 GISBORNE</v>
      </c>
      <c r="B358">
        <f>[5]trip_summary_region!B358</f>
        <v>5</v>
      </c>
      <c r="C358">
        <f>[5]trip_summary_region!C358</f>
        <v>2043</v>
      </c>
      <c r="D358">
        <f>[5]trip_summary_region!D358</f>
        <v>3</v>
      </c>
      <c r="E358">
        <f>[5]trip_summary_region!E358</f>
        <v>16</v>
      </c>
      <c r="F358">
        <f>[5]trip_summary_region!F358</f>
        <v>0.14237726610000001</v>
      </c>
      <c r="G358">
        <f>[5]trip_summary_region!G358</f>
        <v>0.69245113039999995</v>
      </c>
      <c r="H358">
        <f>[5]trip_summary_region!H358</f>
        <v>3.3523906399999998E-2</v>
      </c>
      <c r="I358" t="str">
        <f>[5]trip_summary_region!I358</f>
        <v>Motorcyclist</v>
      </c>
      <c r="J358" t="str">
        <f>[5]trip_summary_region!J358</f>
        <v>2042/43</v>
      </c>
    </row>
    <row r="359" spans="1:10" x14ac:dyDescent="0.25">
      <c r="A359" t="str">
        <f>[5]trip_summary_region!A359</f>
        <v>05 GISBORNE</v>
      </c>
      <c r="B359">
        <f>[5]trip_summary_region!B359</f>
        <v>6</v>
      </c>
      <c r="C359">
        <f>[5]trip_summary_region!C359</f>
        <v>2013</v>
      </c>
      <c r="D359">
        <f>[5]trip_summary_region!D359</f>
        <v>1</v>
      </c>
      <c r="E359">
        <f>[5]trip_summary_region!E359</f>
        <v>3</v>
      </c>
      <c r="F359">
        <f>[5]trip_summary_region!F359</f>
        <v>2.2764127700000001E-2</v>
      </c>
      <c r="G359">
        <f>[5]trip_summary_region!G359</f>
        <v>0</v>
      </c>
      <c r="H359">
        <f>[5]trip_summary_region!H359</f>
        <v>2.5293475000000001E-3</v>
      </c>
      <c r="I359" t="str">
        <f>[5]trip_summary_region!I359</f>
        <v>Local Train</v>
      </c>
      <c r="J359" t="str">
        <f>[5]trip_summary_region!J359</f>
        <v>2012/13</v>
      </c>
    </row>
    <row r="360" spans="1:10" x14ac:dyDescent="0.25">
      <c r="A360" t="str">
        <f>[5]trip_summary_region!A360</f>
        <v>05 GISBORNE</v>
      </c>
      <c r="B360">
        <f>[5]trip_summary_region!B360</f>
        <v>6</v>
      </c>
      <c r="C360">
        <f>[5]trip_summary_region!C360</f>
        <v>2018</v>
      </c>
      <c r="D360">
        <f>[5]trip_summary_region!D360</f>
        <v>1</v>
      </c>
      <c r="E360">
        <f>[5]trip_summary_region!E360</f>
        <v>3</v>
      </c>
      <c r="F360">
        <f>[5]trip_summary_region!F360</f>
        <v>3.39525585E-2</v>
      </c>
      <c r="G360">
        <f>[5]trip_summary_region!G360</f>
        <v>0</v>
      </c>
      <c r="H360">
        <f>[5]trip_summary_region!H360</f>
        <v>3.7696370000000002E-3</v>
      </c>
      <c r="I360" t="str">
        <f>[5]trip_summary_region!I360</f>
        <v>Local Train</v>
      </c>
      <c r="J360" t="str">
        <f>[5]trip_summary_region!J360</f>
        <v>2017/18</v>
      </c>
    </row>
    <row r="361" spans="1:10" x14ac:dyDescent="0.25">
      <c r="A361" t="str">
        <f>[5]trip_summary_region!A361</f>
        <v>05 GISBORNE</v>
      </c>
      <c r="B361">
        <f>[5]trip_summary_region!B361</f>
        <v>6</v>
      </c>
      <c r="C361">
        <f>[5]trip_summary_region!C361</f>
        <v>2023</v>
      </c>
      <c r="D361">
        <f>[5]trip_summary_region!D361</f>
        <v>1</v>
      </c>
      <c r="E361">
        <f>[5]trip_summary_region!E361</f>
        <v>3</v>
      </c>
      <c r="F361">
        <f>[5]trip_summary_region!F361</f>
        <v>5.08184198E-2</v>
      </c>
      <c r="G361">
        <f>[5]trip_summary_region!G361</f>
        <v>0</v>
      </c>
      <c r="H361">
        <f>[5]trip_summary_region!H361</f>
        <v>5.6387481999999999E-3</v>
      </c>
      <c r="I361" t="str">
        <f>[5]trip_summary_region!I361</f>
        <v>Local Train</v>
      </c>
      <c r="J361" t="str">
        <f>[5]trip_summary_region!J361</f>
        <v>2022/23</v>
      </c>
    </row>
    <row r="362" spans="1:10" x14ac:dyDescent="0.25">
      <c r="A362" t="str">
        <f>[5]trip_summary_region!A362</f>
        <v>05 GISBORNE</v>
      </c>
      <c r="B362">
        <f>[5]trip_summary_region!B362</f>
        <v>6</v>
      </c>
      <c r="C362">
        <f>[5]trip_summary_region!C362</f>
        <v>2028</v>
      </c>
      <c r="D362">
        <f>[5]trip_summary_region!D362</f>
        <v>1</v>
      </c>
      <c r="E362">
        <f>[5]trip_summary_region!E362</f>
        <v>3</v>
      </c>
      <c r="F362">
        <f>[5]trip_summary_region!F362</f>
        <v>7.5033515499999995E-2</v>
      </c>
      <c r="G362">
        <f>[5]trip_summary_region!G362</f>
        <v>0</v>
      </c>
      <c r="H362">
        <f>[5]trip_summary_region!H362</f>
        <v>8.3189331999999998E-3</v>
      </c>
      <c r="I362" t="str">
        <f>[5]trip_summary_region!I362</f>
        <v>Local Train</v>
      </c>
      <c r="J362" t="str">
        <f>[5]trip_summary_region!J362</f>
        <v>2027/28</v>
      </c>
    </row>
    <row r="363" spans="1:10" x14ac:dyDescent="0.25">
      <c r="A363" t="str">
        <f>[5]trip_summary_region!A363</f>
        <v>05 GISBORNE</v>
      </c>
      <c r="B363">
        <f>[5]trip_summary_region!B363</f>
        <v>6</v>
      </c>
      <c r="C363">
        <f>[5]trip_summary_region!C363</f>
        <v>2033</v>
      </c>
      <c r="D363">
        <f>[5]trip_summary_region!D363</f>
        <v>1</v>
      </c>
      <c r="E363">
        <f>[5]trip_summary_region!E363</f>
        <v>3</v>
      </c>
      <c r="F363">
        <f>[5]trip_summary_region!F363</f>
        <v>0.1014271294</v>
      </c>
      <c r="G363">
        <f>[5]trip_summary_region!G363</f>
        <v>0</v>
      </c>
      <c r="H363">
        <f>[5]trip_summary_region!H363</f>
        <v>1.1235868E-2</v>
      </c>
      <c r="I363" t="str">
        <f>[5]trip_summary_region!I363</f>
        <v>Local Train</v>
      </c>
      <c r="J363" t="str">
        <f>[5]trip_summary_region!J363</f>
        <v>2032/33</v>
      </c>
    </row>
    <row r="364" spans="1:10" x14ac:dyDescent="0.25">
      <c r="A364" t="str">
        <f>[5]trip_summary_region!A364</f>
        <v>05 GISBORNE</v>
      </c>
      <c r="B364">
        <f>[5]trip_summary_region!B364</f>
        <v>6</v>
      </c>
      <c r="C364">
        <f>[5]trip_summary_region!C364</f>
        <v>2038</v>
      </c>
      <c r="D364">
        <f>[5]trip_summary_region!D364</f>
        <v>1</v>
      </c>
      <c r="E364">
        <f>[5]trip_summary_region!E364</f>
        <v>3</v>
      </c>
      <c r="F364">
        <f>[5]trip_summary_region!F364</f>
        <v>0.11951622169999999</v>
      </c>
      <c r="G364">
        <f>[5]trip_summary_region!G364</f>
        <v>0</v>
      </c>
      <c r="H364">
        <f>[5]trip_summary_region!H364</f>
        <v>1.3230828199999999E-2</v>
      </c>
      <c r="I364" t="str">
        <f>[5]trip_summary_region!I364</f>
        <v>Local Train</v>
      </c>
      <c r="J364" t="str">
        <f>[5]trip_summary_region!J364</f>
        <v>2037/38</v>
      </c>
    </row>
    <row r="365" spans="1:10" x14ac:dyDescent="0.25">
      <c r="A365" t="str">
        <f>[5]trip_summary_region!A365</f>
        <v>05 GISBORNE</v>
      </c>
      <c r="B365">
        <f>[5]trip_summary_region!B365</f>
        <v>6</v>
      </c>
      <c r="C365">
        <f>[5]trip_summary_region!C365</f>
        <v>2043</v>
      </c>
      <c r="D365">
        <f>[5]trip_summary_region!D365</f>
        <v>1</v>
      </c>
      <c r="E365">
        <f>[5]trip_summary_region!E365</f>
        <v>3</v>
      </c>
      <c r="F365">
        <f>[5]trip_summary_region!F365</f>
        <v>0.14010619190000001</v>
      </c>
      <c r="G365">
        <f>[5]trip_summary_region!G365</f>
        <v>0</v>
      </c>
      <c r="H365">
        <f>[5]trip_summary_region!H365</f>
        <v>1.5496593899999999E-2</v>
      </c>
      <c r="I365" t="str">
        <f>[5]trip_summary_region!I365</f>
        <v>Local Train</v>
      </c>
      <c r="J365" t="str">
        <f>[5]trip_summary_region!J365</f>
        <v>2042/43</v>
      </c>
    </row>
    <row r="366" spans="1:10" x14ac:dyDescent="0.25">
      <c r="A366" t="str">
        <f>[5]trip_summary_region!A366</f>
        <v>05 GISBORNE</v>
      </c>
      <c r="B366">
        <f>[5]trip_summary_region!B366</f>
        <v>7</v>
      </c>
      <c r="C366">
        <f>[5]trip_summary_region!C366</f>
        <v>2013</v>
      </c>
      <c r="D366">
        <f>[5]trip_summary_region!D366</f>
        <v>18</v>
      </c>
      <c r="E366">
        <f>[5]trip_summary_region!E366</f>
        <v>34</v>
      </c>
      <c r="F366">
        <f>[5]trip_summary_region!F366</f>
        <v>0.39415976190000002</v>
      </c>
      <c r="G366">
        <f>[5]trip_summary_region!G366</f>
        <v>4.8778387282000004</v>
      </c>
      <c r="H366">
        <f>[5]trip_summary_region!H366</f>
        <v>0.17812381360000001</v>
      </c>
      <c r="I366" t="str">
        <f>[5]trip_summary_region!I366</f>
        <v>Local Bus</v>
      </c>
      <c r="J366" t="str">
        <f>[5]trip_summary_region!J366</f>
        <v>2012/13</v>
      </c>
    </row>
    <row r="367" spans="1:10" x14ac:dyDescent="0.25">
      <c r="A367" t="str">
        <f>[5]trip_summary_region!A367</f>
        <v>05 GISBORNE</v>
      </c>
      <c r="B367">
        <f>[5]trip_summary_region!B367</f>
        <v>7</v>
      </c>
      <c r="C367">
        <f>[5]trip_summary_region!C367</f>
        <v>2018</v>
      </c>
      <c r="D367">
        <f>[5]trip_summary_region!D367</f>
        <v>18</v>
      </c>
      <c r="E367">
        <f>[5]trip_summary_region!E367</f>
        <v>34</v>
      </c>
      <c r="F367">
        <f>[5]trip_summary_region!F367</f>
        <v>0.3538737542</v>
      </c>
      <c r="G367">
        <f>[5]trip_summary_region!G367</f>
        <v>4.3392558229000002</v>
      </c>
      <c r="H367">
        <f>[5]trip_summary_region!H367</f>
        <v>0.15996836489999999</v>
      </c>
      <c r="I367" t="str">
        <f>[5]trip_summary_region!I367</f>
        <v>Local Bus</v>
      </c>
      <c r="J367" t="str">
        <f>[5]trip_summary_region!J367</f>
        <v>2017/18</v>
      </c>
    </row>
    <row r="368" spans="1:10" x14ac:dyDescent="0.25">
      <c r="A368" t="str">
        <f>[5]trip_summary_region!A368</f>
        <v>05 GISBORNE</v>
      </c>
      <c r="B368">
        <f>[5]trip_summary_region!B368</f>
        <v>7</v>
      </c>
      <c r="C368">
        <f>[5]trip_summary_region!C368</f>
        <v>2023</v>
      </c>
      <c r="D368">
        <f>[5]trip_summary_region!D368</f>
        <v>18</v>
      </c>
      <c r="E368">
        <f>[5]trip_summary_region!E368</f>
        <v>34</v>
      </c>
      <c r="F368">
        <f>[5]trip_summary_region!F368</f>
        <v>0.32994547610000002</v>
      </c>
      <c r="G368">
        <f>[5]trip_summary_region!G368</f>
        <v>3.9678924358000001</v>
      </c>
      <c r="H368">
        <f>[5]trip_summary_region!H368</f>
        <v>0.1494327459</v>
      </c>
      <c r="I368" t="str">
        <f>[5]trip_summary_region!I368</f>
        <v>Local Bus</v>
      </c>
      <c r="J368" t="str">
        <f>[5]trip_summary_region!J368</f>
        <v>2022/23</v>
      </c>
    </row>
    <row r="369" spans="1:10" x14ac:dyDescent="0.25">
      <c r="A369" t="str">
        <f>[5]trip_summary_region!A369</f>
        <v>05 GISBORNE</v>
      </c>
      <c r="B369">
        <f>[5]trip_summary_region!B369</f>
        <v>7</v>
      </c>
      <c r="C369">
        <f>[5]trip_summary_region!C369</f>
        <v>2028</v>
      </c>
      <c r="D369">
        <f>[5]trip_summary_region!D369</f>
        <v>18</v>
      </c>
      <c r="E369">
        <f>[5]trip_summary_region!E369</f>
        <v>34</v>
      </c>
      <c r="F369">
        <f>[5]trip_summary_region!F369</f>
        <v>0.32498102670000001</v>
      </c>
      <c r="G369">
        <f>[5]trip_summary_region!G369</f>
        <v>3.7072587056000001</v>
      </c>
      <c r="H369">
        <f>[5]trip_summary_region!H369</f>
        <v>0.1465219804</v>
      </c>
      <c r="I369" t="str">
        <f>[5]trip_summary_region!I369</f>
        <v>Local Bus</v>
      </c>
      <c r="J369" t="str">
        <f>[5]trip_summary_region!J369</f>
        <v>2027/28</v>
      </c>
    </row>
    <row r="370" spans="1:10" x14ac:dyDescent="0.25">
      <c r="A370" t="str">
        <f>[5]trip_summary_region!A370</f>
        <v>05 GISBORNE</v>
      </c>
      <c r="B370">
        <f>[5]trip_summary_region!B370</f>
        <v>7</v>
      </c>
      <c r="C370">
        <f>[5]trip_summary_region!C370</f>
        <v>2033</v>
      </c>
      <c r="D370">
        <f>[5]trip_summary_region!D370</f>
        <v>18</v>
      </c>
      <c r="E370">
        <f>[5]trip_summary_region!E370</f>
        <v>34</v>
      </c>
      <c r="F370">
        <f>[5]trip_summary_region!F370</f>
        <v>0.32441346199999999</v>
      </c>
      <c r="G370">
        <f>[5]trip_summary_region!G370</f>
        <v>3.3077991598000001</v>
      </c>
      <c r="H370">
        <f>[5]trip_summary_region!H370</f>
        <v>0.14353467950000001</v>
      </c>
      <c r="I370" t="str">
        <f>[5]trip_summary_region!I370</f>
        <v>Local Bus</v>
      </c>
      <c r="J370" t="str">
        <f>[5]trip_summary_region!J370</f>
        <v>2032/33</v>
      </c>
    </row>
    <row r="371" spans="1:10" x14ac:dyDescent="0.25">
      <c r="A371" t="str">
        <f>[5]trip_summary_region!A371</f>
        <v>05 GISBORNE</v>
      </c>
      <c r="B371">
        <f>[5]trip_summary_region!B371</f>
        <v>7</v>
      </c>
      <c r="C371">
        <f>[5]trip_summary_region!C371</f>
        <v>2038</v>
      </c>
      <c r="D371">
        <f>[5]trip_summary_region!D371</f>
        <v>18</v>
      </c>
      <c r="E371">
        <f>[5]trip_summary_region!E371</f>
        <v>34</v>
      </c>
      <c r="F371">
        <f>[5]trip_summary_region!F371</f>
        <v>0.32167529490000002</v>
      </c>
      <c r="G371">
        <f>[5]trip_summary_region!G371</f>
        <v>3.1270511717999998</v>
      </c>
      <c r="H371">
        <f>[5]trip_summary_region!H371</f>
        <v>0.14365294710000001</v>
      </c>
      <c r="I371" t="str">
        <f>[5]trip_summary_region!I371</f>
        <v>Local Bus</v>
      </c>
      <c r="J371" t="str">
        <f>[5]trip_summary_region!J371</f>
        <v>2037/38</v>
      </c>
    </row>
    <row r="372" spans="1:10" x14ac:dyDescent="0.25">
      <c r="A372" t="str">
        <f>[5]trip_summary_region!A372</f>
        <v>05 GISBORNE</v>
      </c>
      <c r="B372">
        <f>[5]trip_summary_region!B372</f>
        <v>7</v>
      </c>
      <c r="C372">
        <f>[5]trip_summary_region!C372</f>
        <v>2043</v>
      </c>
      <c r="D372">
        <f>[5]trip_summary_region!D372</f>
        <v>18</v>
      </c>
      <c r="E372">
        <f>[5]trip_summary_region!E372</f>
        <v>34</v>
      </c>
      <c r="F372">
        <f>[5]trip_summary_region!F372</f>
        <v>0.32276267879999998</v>
      </c>
      <c r="G372">
        <f>[5]trip_summary_region!G372</f>
        <v>2.9593226316000001</v>
      </c>
      <c r="H372">
        <f>[5]trip_summary_region!H372</f>
        <v>0.14505059610000001</v>
      </c>
      <c r="I372" t="str">
        <f>[5]trip_summary_region!I372</f>
        <v>Local Bus</v>
      </c>
      <c r="J372" t="str">
        <f>[5]trip_summary_region!J372</f>
        <v>2042/43</v>
      </c>
    </row>
    <row r="373" spans="1:10" x14ac:dyDescent="0.25">
      <c r="A373" t="str">
        <f>[5]trip_summary_region!A373</f>
        <v>05 GISBORNE</v>
      </c>
      <c r="B373">
        <f>[5]trip_summary_region!B373</f>
        <v>8</v>
      </c>
      <c r="C373">
        <f>[5]trip_summary_region!C373</f>
        <v>2013</v>
      </c>
      <c r="D373">
        <f>[5]trip_summary_region!D373</f>
        <v>1</v>
      </c>
      <c r="E373">
        <f>[5]trip_summary_region!E373</f>
        <v>2</v>
      </c>
      <c r="F373">
        <f>[5]trip_summary_region!F373</f>
        <v>1.5651153399999999E-2</v>
      </c>
      <c r="G373">
        <f>[5]trip_summary_region!G373</f>
        <v>0</v>
      </c>
      <c r="H373">
        <f>[5]trip_summary_region!H373</f>
        <v>6.5213138999999998E-3</v>
      </c>
      <c r="I373" t="str">
        <f>[5]trip_summary_region!I373</f>
        <v>Local Ferry</v>
      </c>
      <c r="J373" t="str">
        <f>[5]trip_summary_region!J373</f>
        <v>2012/13</v>
      </c>
    </row>
    <row r="374" spans="1:10" x14ac:dyDescent="0.25">
      <c r="A374" t="str">
        <f>[5]trip_summary_region!A374</f>
        <v>05 GISBORNE</v>
      </c>
      <c r="B374">
        <f>[5]trip_summary_region!B374</f>
        <v>8</v>
      </c>
      <c r="C374">
        <f>[5]trip_summary_region!C374</f>
        <v>2018</v>
      </c>
      <c r="D374">
        <f>[5]trip_summary_region!D374</f>
        <v>1</v>
      </c>
      <c r="E374">
        <f>[5]trip_summary_region!E374</f>
        <v>2</v>
      </c>
      <c r="F374">
        <f>[5]trip_summary_region!F374</f>
        <v>1.49002232E-2</v>
      </c>
      <c r="G374">
        <f>[5]trip_summary_region!G374</f>
        <v>0</v>
      </c>
      <c r="H374">
        <f>[5]trip_summary_region!H374</f>
        <v>6.2084263000000001E-3</v>
      </c>
      <c r="I374" t="str">
        <f>[5]trip_summary_region!I374</f>
        <v>Local Ferry</v>
      </c>
      <c r="J374" t="str">
        <f>[5]trip_summary_region!J374</f>
        <v>2017/18</v>
      </c>
    </row>
    <row r="375" spans="1:10" x14ac:dyDescent="0.25">
      <c r="A375" t="str">
        <f>[5]trip_summary_region!A375</f>
        <v>05 GISBORNE</v>
      </c>
      <c r="B375">
        <f>[5]trip_summary_region!B375</f>
        <v>8</v>
      </c>
      <c r="C375">
        <f>[5]trip_summary_region!C375</f>
        <v>2023</v>
      </c>
      <c r="D375">
        <f>[5]trip_summary_region!D375</f>
        <v>1</v>
      </c>
      <c r="E375">
        <f>[5]trip_summary_region!E375</f>
        <v>2</v>
      </c>
      <c r="F375">
        <f>[5]trip_summary_region!F375</f>
        <v>1.3987027900000001E-2</v>
      </c>
      <c r="G375">
        <f>[5]trip_summary_region!G375</f>
        <v>0</v>
      </c>
      <c r="H375">
        <f>[5]trip_summary_region!H375</f>
        <v>5.8279283000000001E-3</v>
      </c>
      <c r="I375" t="str">
        <f>[5]trip_summary_region!I375</f>
        <v>Local Ferry</v>
      </c>
      <c r="J375" t="str">
        <f>[5]trip_summary_region!J375</f>
        <v>2022/23</v>
      </c>
    </row>
    <row r="376" spans="1:10" x14ac:dyDescent="0.25">
      <c r="A376" t="str">
        <f>[5]trip_summary_region!A376</f>
        <v>05 GISBORNE</v>
      </c>
      <c r="B376">
        <f>[5]trip_summary_region!B376</f>
        <v>8</v>
      </c>
      <c r="C376">
        <f>[5]trip_summary_region!C376</f>
        <v>2028</v>
      </c>
      <c r="D376">
        <f>[5]trip_summary_region!D376</f>
        <v>1</v>
      </c>
      <c r="E376">
        <f>[5]trip_summary_region!E376</f>
        <v>2</v>
      </c>
      <c r="F376">
        <f>[5]trip_summary_region!F376</f>
        <v>1.3669896399999999E-2</v>
      </c>
      <c r="G376">
        <f>[5]trip_summary_region!G376</f>
        <v>0</v>
      </c>
      <c r="H376">
        <f>[5]trip_summary_region!H376</f>
        <v>5.6957902000000001E-3</v>
      </c>
      <c r="I376" t="str">
        <f>[5]trip_summary_region!I376</f>
        <v>Local Ferry</v>
      </c>
      <c r="J376" t="str">
        <f>[5]trip_summary_region!J376</f>
        <v>2027/28</v>
      </c>
    </row>
    <row r="377" spans="1:10" x14ac:dyDescent="0.25">
      <c r="A377" t="str">
        <f>[5]trip_summary_region!A377</f>
        <v>05 GISBORNE</v>
      </c>
      <c r="B377">
        <f>[5]trip_summary_region!B377</f>
        <v>8</v>
      </c>
      <c r="C377">
        <f>[5]trip_summary_region!C377</f>
        <v>2033</v>
      </c>
      <c r="D377">
        <f>[5]trip_summary_region!D377</f>
        <v>1</v>
      </c>
      <c r="E377">
        <f>[5]trip_summary_region!E377</f>
        <v>2</v>
      </c>
      <c r="F377">
        <f>[5]trip_summary_region!F377</f>
        <v>1.50819252E-2</v>
      </c>
      <c r="G377">
        <f>[5]trip_summary_region!G377</f>
        <v>0</v>
      </c>
      <c r="H377">
        <f>[5]trip_summary_region!H377</f>
        <v>6.2841355000000003E-3</v>
      </c>
      <c r="I377" t="str">
        <f>[5]trip_summary_region!I377</f>
        <v>Local Ferry</v>
      </c>
      <c r="J377" t="str">
        <f>[5]trip_summary_region!J377</f>
        <v>2032/33</v>
      </c>
    </row>
    <row r="378" spans="1:10" x14ac:dyDescent="0.25">
      <c r="A378" t="str">
        <f>[5]trip_summary_region!A378</f>
        <v>05 GISBORNE</v>
      </c>
      <c r="B378">
        <f>[5]trip_summary_region!B378</f>
        <v>8</v>
      </c>
      <c r="C378">
        <f>[5]trip_summary_region!C378</f>
        <v>2038</v>
      </c>
      <c r="D378">
        <f>[5]trip_summary_region!D378</f>
        <v>1</v>
      </c>
      <c r="E378">
        <f>[5]trip_summary_region!E378</f>
        <v>2</v>
      </c>
      <c r="F378">
        <f>[5]trip_summary_region!F378</f>
        <v>1.78318069E-2</v>
      </c>
      <c r="G378">
        <f>[5]trip_summary_region!G378</f>
        <v>0</v>
      </c>
      <c r="H378">
        <f>[5]trip_summary_region!H378</f>
        <v>7.4299196000000003E-3</v>
      </c>
      <c r="I378" t="str">
        <f>[5]trip_summary_region!I378</f>
        <v>Local Ferry</v>
      </c>
      <c r="J378" t="str">
        <f>[5]trip_summary_region!J378</f>
        <v>2037/38</v>
      </c>
    </row>
    <row r="379" spans="1:10" x14ac:dyDescent="0.25">
      <c r="A379" t="str">
        <f>[5]trip_summary_region!A379</f>
        <v>05 GISBORNE</v>
      </c>
      <c r="B379">
        <f>[5]trip_summary_region!B379</f>
        <v>8</v>
      </c>
      <c r="C379">
        <f>[5]trip_summary_region!C379</f>
        <v>2043</v>
      </c>
      <c r="D379">
        <f>[5]trip_summary_region!D379</f>
        <v>1</v>
      </c>
      <c r="E379">
        <f>[5]trip_summary_region!E379</f>
        <v>2</v>
      </c>
      <c r="F379">
        <f>[5]trip_summary_region!F379</f>
        <v>2.0723639799999999E-2</v>
      </c>
      <c r="G379">
        <f>[5]trip_summary_region!G379</f>
        <v>0</v>
      </c>
      <c r="H379">
        <f>[5]trip_summary_region!H379</f>
        <v>8.6348498999999999E-3</v>
      </c>
      <c r="I379" t="str">
        <f>[5]trip_summary_region!I379</f>
        <v>Local Ferry</v>
      </c>
      <c r="J379" t="str">
        <f>[5]trip_summary_region!J379</f>
        <v>2042/43</v>
      </c>
    </row>
    <row r="380" spans="1:10" x14ac:dyDescent="0.25">
      <c r="A380" t="str">
        <f>[5]trip_summary_region!A380</f>
        <v>05 GISBORNE</v>
      </c>
      <c r="B380">
        <f>[5]trip_summary_region!B380</f>
        <v>9</v>
      </c>
      <c r="C380">
        <f>[5]trip_summary_region!C380</f>
        <v>2013</v>
      </c>
      <c r="D380">
        <f>[5]trip_summary_region!D380</f>
        <v>1</v>
      </c>
      <c r="E380">
        <f>[5]trip_summary_region!E380</f>
        <v>2</v>
      </c>
      <c r="F380">
        <f>[5]trip_summary_region!F380</f>
        <v>3.13358953E-2</v>
      </c>
      <c r="G380">
        <f>[5]trip_summary_region!G380</f>
        <v>0</v>
      </c>
      <c r="H380">
        <f>[5]trip_summary_region!H380</f>
        <v>5.2226492000000003E-3</v>
      </c>
      <c r="I380" t="str">
        <f>[5]trip_summary_region!I380</f>
        <v>Other Household Travel</v>
      </c>
      <c r="J380" t="str">
        <f>[5]trip_summary_region!J380</f>
        <v>2012/13</v>
      </c>
    </row>
    <row r="381" spans="1:10" x14ac:dyDescent="0.25">
      <c r="A381" t="str">
        <f>[5]trip_summary_region!A381</f>
        <v>05 GISBORNE</v>
      </c>
      <c r="B381">
        <f>[5]trip_summary_region!B381</f>
        <v>9</v>
      </c>
      <c r="C381">
        <f>[5]trip_summary_region!C381</f>
        <v>2018</v>
      </c>
      <c r="D381">
        <f>[5]trip_summary_region!D381</f>
        <v>1</v>
      </c>
      <c r="E381">
        <f>[5]trip_summary_region!E381</f>
        <v>2</v>
      </c>
      <c r="F381">
        <f>[5]trip_summary_region!F381</f>
        <v>2.64331667E-2</v>
      </c>
      <c r="G381">
        <f>[5]trip_summary_region!G381</f>
        <v>0</v>
      </c>
      <c r="H381">
        <f>[5]trip_summary_region!H381</f>
        <v>4.4055277999999996E-3</v>
      </c>
      <c r="I381" t="str">
        <f>[5]trip_summary_region!I381</f>
        <v>Other Household Travel</v>
      </c>
      <c r="J381" t="str">
        <f>[5]trip_summary_region!J381</f>
        <v>2017/18</v>
      </c>
    </row>
    <row r="382" spans="1:10" x14ac:dyDescent="0.25">
      <c r="A382" t="str">
        <f>[5]trip_summary_region!A382</f>
        <v>05 GISBORNE</v>
      </c>
      <c r="B382">
        <f>[5]trip_summary_region!B382</f>
        <v>9</v>
      </c>
      <c r="C382">
        <f>[5]trip_summary_region!C382</f>
        <v>2023</v>
      </c>
      <c r="D382">
        <f>[5]trip_summary_region!D382</f>
        <v>1</v>
      </c>
      <c r="E382">
        <f>[5]trip_summary_region!E382</f>
        <v>2</v>
      </c>
      <c r="F382">
        <f>[5]trip_summary_region!F382</f>
        <v>1.9894802999999999E-2</v>
      </c>
      <c r="G382">
        <f>[5]trip_summary_region!G382</f>
        <v>0</v>
      </c>
      <c r="H382">
        <f>[5]trip_summary_region!H382</f>
        <v>3.3158005E-3</v>
      </c>
      <c r="I382" t="str">
        <f>[5]trip_summary_region!I382</f>
        <v>Other Household Travel</v>
      </c>
      <c r="J382" t="str">
        <f>[5]trip_summary_region!J382</f>
        <v>2022/23</v>
      </c>
    </row>
    <row r="383" spans="1:10" x14ac:dyDescent="0.25">
      <c r="A383" t="str">
        <f>[5]trip_summary_region!A383</f>
        <v>05 GISBORNE</v>
      </c>
      <c r="B383">
        <f>[5]trip_summary_region!B383</f>
        <v>9</v>
      </c>
      <c r="C383">
        <f>[5]trip_summary_region!C383</f>
        <v>2028</v>
      </c>
      <c r="D383">
        <f>[5]trip_summary_region!D383</f>
        <v>1</v>
      </c>
      <c r="E383">
        <f>[5]trip_summary_region!E383</f>
        <v>2</v>
      </c>
      <c r="F383">
        <f>[5]trip_summary_region!F383</f>
        <v>1.80602622E-2</v>
      </c>
      <c r="G383">
        <f>[5]trip_summary_region!G383</f>
        <v>0</v>
      </c>
      <c r="H383">
        <f>[5]trip_summary_region!H383</f>
        <v>3.0100436999999998E-3</v>
      </c>
      <c r="I383" t="str">
        <f>[5]trip_summary_region!I383</f>
        <v>Other Household Travel</v>
      </c>
      <c r="J383" t="str">
        <f>[5]trip_summary_region!J383</f>
        <v>2027/28</v>
      </c>
    </row>
    <row r="384" spans="1:10" x14ac:dyDescent="0.25">
      <c r="A384" t="str">
        <f>[5]trip_summary_region!A384</f>
        <v>05 GISBORNE</v>
      </c>
      <c r="B384">
        <f>[5]trip_summary_region!B384</f>
        <v>9</v>
      </c>
      <c r="C384">
        <f>[5]trip_summary_region!C384</f>
        <v>2033</v>
      </c>
      <c r="D384">
        <f>[5]trip_summary_region!D384</f>
        <v>1</v>
      </c>
      <c r="E384">
        <f>[5]trip_summary_region!E384</f>
        <v>2</v>
      </c>
      <c r="F384">
        <f>[5]trip_summary_region!F384</f>
        <v>1.5345605E-2</v>
      </c>
      <c r="G384">
        <f>[5]trip_summary_region!G384</f>
        <v>0</v>
      </c>
      <c r="H384">
        <f>[5]trip_summary_region!H384</f>
        <v>2.5576008E-3</v>
      </c>
      <c r="I384" t="str">
        <f>[5]trip_summary_region!I384</f>
        <v>Other Household Travel</v>
      </c>
      <c r="J384" t="str">
        <f>[5]trip_summary_region!J384</f>
        <v>2032/33</v>
      </c>
    </row>
    <row r="385" spans="1:10" x14ac:dyDescent="0.25">
      <c r="A385" t="str">
        <f>[5]trip_summary_region!A385</f>
        <v>05 GISBORNE</v>
      </c>
      <c r="B385">
        <f>[5]trip_summary_region!B385</f>
        <v>9</v>
      </c>
      <c r="C385">
        <f>[5]trip_summary_region!C385</f>
        <v>2038</v>
      </c>
      <c r="D385">
        <f>[5]trip_summary_region!D385</f>
        <v>1</v>
      </c>
      <c r="E385">
        <f>[5]trip_summary_region!E385</f>
        <v>2</v>
      </c>
      <c r="F385">
        <f>[5]trip_summary_region!F385</f>
        <v>1.16278697E-2</v>
      </c>
      <c r="G385">
        <f>[5]trip_summary_region!G385</f>
        <v>0</v>
      </c>
      <c r="H385">
        <f>[5]trip_summary_region!H385</f>
        <v>1.9379783E-3</v>
      </c>
      <c r="I385" t="str">
        <f>[5]trip_summary_region!I385</f>
        <v>Other Household Travel</v>
      </c>
      <c r="J385" t="str">
        <f>[5]trip_summary_region!J385</f>
        <v>2037/38</v>
      </c>
    </row>
    <row r="386" spans="1:10" x14ac:dyDescent="0.25">
      <c r="A386" t="str">
        <f>[5]trip_summary_region!A386</f>
        <v>05 GISBORNE</v>
      </c>
      <c r="B386">
        <f>[5]trip_summary_region!B386</f>
        <v>9</v>
      </c>
      <c r="C386">
        <f>[5]trip_summary_region!C386</f>
        <v>2043</v>
      </c>
      <c r="D386">
        <f>[5]trip_summary_region!D386</f>
        <v>1</v>
      </c>
      <c r="E386">
        <f>[5]trip_summary_region!E386</f>
        <v>2</v>
      </c>
      <c r="F386">
        <f>[5]trip_summary_region!F386</f>
        <v>8.4809710999999999E-3</v>
      </c>
      <c r="G386">
        <f>[5]trip_summary_region!G386</f>
        <v>0</v>
      </c>
      <c r="H386">
        <f>[5]trip_summary_region!H386</f>
        <v>1.4134951999999999E-3</v>
      </c>
      <c r="I386" t="str">
        <f>[5]trip_summary_region!I386</f>
        <v>Other Household Travel</v>
      </c>
      <c r="J386" t="str">
        <f>[5]trip_summary_region!J386</f>
        <v>2042/43</v>
      </c>
    </row>
    <row r="387" spans="1:10" x14ac:dyDescent="0.25">
      <c r="A387" t="str">
        <f>[5]trip_summary_region!A387</f>
        <v>05 GISBORNE</v>
      </c>
      <c r="B387">
        <f>[5]trip_summary_region!B387</f>
        <v>10</v>
      </c>
      <c r="C387">
        <f>[5]trip_summary_region!C387</f>
        <v>2013</v>
      </c>
      <c r="D387">
        <f>[5]trip_summary_region!D387</f>
        <v>12</v>
      </c>
      <c r="E387">
        <f>[5]trip_summary_region!E387</f>
        <v>20</v>
      </c>
      <c r="F387">
        <f>[5]trip_summary_region!F387</f>
        <v>0.31271654580000002</v>
      </c>
      <c r="G387">
        <f>[5]trip_summary_region!G387</f>
        <v>23.012948782999999</v>
      </c>
      <c r="H387">
        <f>[5]trip_summary_region!H387</f>
        <v>0.66485160600000004</v>
      </c>
      <c r="I387" t="str">
        <f>[5]trip_summary_region!I387</f>
        <v>Air/Non-Local PT</v>
      </c>
      <c r="J387" t="str">
        <f>[5]trip_summary_region!J387</f>
        <v>2012/13</v>
      </c>
    </row>
    <row r="388" spans="1:10" x14ac:dyDescent="0.25">
      <c r="A388" t="str">
        <f>[5]trip_summary_region!A388</f>
        <v>05 GISBORNE</v>
      </c>
      <c r="B388">
        <f>[5]trip_summary_region!B388</f>
        <v>10</v>
      </c>
      <c r="C388">
        <f>[5]trip_summary_region!C388</f>
        <v>2018</v>
      </c>
      <c r="D388">
        <f>[5]trip_summary_region!D388</f>
        <v>12</v>
      </c>
      <c r="E388">
        <f>[5]trip_summary_region!E388</f>
        <v>20</v>
      </c>
      <c r="F388">
        <f>[5]trip_summary_region!F388</f>
        <v>0.30624986780000002</v>
      </c>
      <c r="G388">
        <f>[5]trip_summary_region!G388</f>
        <v>22.180711374000001</v>
      </c>
      <c r="H388">
        <f>[5]trip_summary_region!H388</f>
        <v>0.63993223870000004</v>
      </c>
      <c r="I388" t="str">
        <f>[5]trip_summary_region!I388</f>
        <v>Air/Non-Local PT</v>
      </c>
      <c r="J388" t="str">
        <f>[5]trip_summary_region!J388</f>
        <v>2017/18</v>
      </c>
    </row>
    <row r="389" spans="1:10" x14ac:dyDescent="0.25">
      <c r="A389" t="str">
        <f>[5]trip_summary_region!A389</f>
        <v>05 GISBORNE</v>
      </c>
      <c r="B389">
        <f>[5]trip_summary_region!B389</f>
        <v>10</v>
      </c>
      <c r="C389">
        <f>[5]trip_summary_region!C389</f>
        <v>2023</v>
      </c>
      <c r="D389">
        <f>[5]trip_summary_region!D389</f>
        <v>12</v>
      </c>
      <c r="E389">
        <f>[5]trip_summary_region!E389</f>
        <v>20</v>
      </c>
      <c r="F389">
        <f>[5]trip_summary_region!F389</f>
        <v>0.30098139190000001</v>
      </c>
      <c r="G389">
        <f>[5]trip_summary_region!G389</f>
        <v>21.587036612999999</v>
      </c>
      <c r="H389">
        <f>[5]trip_summary_region!H389</f>
        <v>0.62253032519999996</v>
      </c>
      <c r="I389" t="str">
        <f>[5]trip_summary_region!I389</f>
        <v>Air/Non-Local PT</v>
      </c>
      <c r="J389" t="str">
        <f>[5]trip_summary_region!J389</f>
        <v>2022/23</v>
      </c>
    </row>
    <row r="390" spans="1:10" x14ac:dyDescent="0.25">
      <c r="A390" t="str">
        <f>[5]trip_summary_region!A390</f>
        <v>05 GISBORNE</v>
      </c>
      <c r="B390">
        <f>[5]trip_summary_region!B390</f>
        <v>10</v>
      </c>
      <c r="C390">
        <f>[5]trip_summary_region!C390</f>
        <v>2028</v>
      </c>
      <c r="D390">
        <f>[5]trip_summary_region!D390</f>
        <v>12</v>
      </c>
      <c r="E390">
        <f>[5]trip_summary_region!E390</f>
        <v>20</v>
      </c>
      <c r="F390">
        <f>[5]trip_summary_region!F390</f>
        <v>0.30633303830000003</v>
      </c>
      <c r="G390">
        <f>[5]trip_summary_region!G390</f>
        <v>20.972813220999999</v>
      </c>
      <c r="H390">
        <f>[5]trip_summary_region!H390</f>
        <v>0.62210628280000002</v>
      </c>
      <c r="I390" t="str">
        <f>[5]trip_summary_region!I390</f>
        <v>Air/Non-Local PT</v>
      </c>
      <c r="J390" t="str">
        <f>[5]trip_summary_region!J390</f>
        <v>2027/28</v>
      </c>
    </row>
    <row r="391" spans="1:10" x14ac:dyDescent="0.25">
      <c r="A391" t="str">
        <f>[5]trip_summary_region!A391</f>
        <v>05 GISBORNE</v>
      </c>
      <c r="B391">
        <f>[5]trip_summary_region!B391</f>
        <v>10</v>
      </c>
      <c r="C391">
        <f>[5]trip_summary_region!C391</f>
        <v>2033</v>
      </c>
      <c r="D391">
        <f>[5]trip_summary_region!D391</f>
        <v>12</v>
      </c>
      <c r="E391">
        <f>[5]trip_summary_region!E391</f>
        <v>20</v>
      </c>
      <c r="F391">
        <f>[5]trip_summary_region!F391</f>
        <v>0.31013753430000002</v>
      </c>
      <c r="G391">
        <f>[5]trip_summary_region!G391</f>
        <v>20.323855723000001</v>
      </c>
      <c r="H391">
        <f>[5]trip_summary_region!H391</f>
        <v>0.61965745679999995</v>
      </c>
      <c r="I391" t="str">
        <f>[5]trip_summary_region!I391</f>
        <v>Air/Non-Local PT</v>
      </c>
      <c r="J391" t="str">
        <f>[5]trip_summary_region!J391</f>
        <v>2032/33</v>
      </c>
    </row>
    <row r="392" spans="1:10" x14ac:dyDescent="0.25">
      <c r="A392" t="str">
        <f>[5]trip_summary_region!A392</f>
        <v>05 GISBORNE</v>
      </c>
      <c r="B392">
        <f>[5]trip_summary_region!B392</f>
        <v>10</v>
      </c>
      <c r="C392">
        <f>[5]trip_summary_region!C392</f>
        <v>2038</v>
      </c>
      <c r="D392">
        <f>[5]trip_summary_region!D392</f>
        <v>12</v>
      </c>
      <c r="E392">
        <f>[5]trip_summary_region!E392</f>
        <v>20</v>
      </c>
      <c r="F392">
        <f>[5]trip_summary_region!F392</f>
        <v>0.30708143640000002</v>
      </c>
      <c r="G392">
        <f>[5]trip_summary_region!G392</f>
        <v>19.870431984</v>
      </c>
      <c r="H392">
        <f>[5]trip_summary_region!H392</f>
        <v>0.60485077539999998</v>
      </c>
      <c r="I392" t="str">
        <f>[5]trip_summary_region!I392</f>
        <v>Air/Non-Local PT</v>
      </c>
      <c r="J392" t="str">
        <f>[5]trip_summary_region!J392</f>
        <v>2037/38</v>
      </c>
    </row>
    <row r="393" spans="1:10" x14ac:dyDescent="0.25">
      <c r="A393" t="str">
        <f>[5]trip_summary_region!A393</f>
        <v>05 GISBORNE</v>
      </c>
      <c r="B393">
        <f>[5]trip_summary_region!B393</f>
        <v>10</v>
      </c>
      <c r="C393">
        <f>[5]trip_summary_region!C393</f>
        <v>2043</v>
      </c>
      <c r="D393">
        <f>[5]trip_summary_region!D393</f>
        <v>12</v>
      </c>
      <c r="E393">
        <f>[5]trip_summary_region!E393</f>
        <v>20</v>
      </c>
      <c r="F393">
        <f>[5]trip_summary_region!F393</f>
        <v>0.3045105354</v>
      </c>
      <c r="G393">
        <f>[5]trip_summary_region!G393</f>
        <v>19.472652426</v>
      </c>
      <c r="H393">
        <f>[5]trip_summary_region!H393</f>
        <v>0.59095791539999998</v>
      </c>
      <c r="I393" t="str">
        <f>[5]trip_summary_region!I393</f>
        <v>Air/Non-Local PT</v>
      </c>
      <c r="J393" t="str">
        <f>[5]trip_summary_region!J393</f>
        <v>2042/43</v>
      </c>
    </row>
    <row r="394" spans="1:10" x14ac:dyDescent="0.25">
      <c r="A394" t="str">
        <f>[5]trip_summary_region!A394</f>
        <v>05 GISBORNE</v>
      </c>
      <c r="B394">
        <f>[5]trip_summary_region!B394</f>
        <v>11</v>
      </c>
      <c r="C394">
        <f>[5]trip_summary_region!C394</f>
        <v>2013</v>
      </c>
      <c r="D394">
        <f>[5]trip_summary_region!D394</f>
        <v>8</v>
      </c>
      <c r="E394">
        <f>[5]trip_summary_region!E394</f>
        <v>22</v>
      </c>
      <c r="F394">
        <f>[5]trip_summary_region!F394</f>
        <v>0.24434687620000001</v>
      </c>
      <c r="G394">
        <f>[5]trip_summary_region!G394</f>
        <v>9.0032605469</v>
      </c>
      <c r="H394">
        <f>[5]trip_summary_region!H394</f>
        <v>0.1991820503</v>
      </c>
      <c r="I394" t="str">
        <f>[5]trip_summary_region!I394</f>
        <v>Non-Household Travel</v>
      </c>
      <c r="J394" t="str">
        <f>[5]trip_summary_region!J394</f>
        <v>2012/13</v>
      </c>
    </row>
    <row r="395" spans="1:10" x14ac:dyDescent="0.25">
      <c r="A395" t="str">
        <f>[5]trip_summary_region!A395</f>
        <v>05 GISBORNE</v>
      </c>
      <c r="B395">
        <f>[5]trip_summary_region!B395</f>
        <v>11</v>
      </c>
      <c r="C395">
        <f>[5]trip_summary_region!C395</f>
        <v>2018</v>
      </c>
      <c r="D395">
        <f>[5]trip_summary_region!D395</f>
        <v>8</v>
      </c>
      <c r="E395">
        <f>[5]trip_summary_region!E395</f>
        <v>22</v>
      </c>
      <c r="F395">
        <f>[5]trip_summary_region!F395</f>
        <v>0.26622711770000002</v>
      </c>
      <c r="G395">
        <f>[5]trip_summary_region!G395</f>
        <v>9.6704949631999995</v>
      </c>
      <c r="H395">
        <f>[5]trip_summary_region!H395</f>
        <v>0.21330047860000001</v>
      </c>
      <c r="I395" t="str">
        <f>[5]trip_summary_region!I395</f>
        <v>Non-Household Travel</v>
      </c>
      <c r="J395" t="str">
        <f>[5]trip_summary_region!J395</f>
        <v>2017/18</v>
      </c>
    </row>
    <row r="396" spans="1:10" x14ac:dyDescent="0.25">
      <c r="A396" t="str">
        <f>[5]trip_summary_region!A396</f>
        <v>05 GISBORNE</v>
      </c>
      <c r="B396">
        <f>[5]trip_summary_region!B396</f>
        <v>11</v>
      </c>
      <c r="C396">
        <f>[5]trip_summary_region!C396</f>
        <v>2023</v>
      </c>
      <c r="D396">
        <f>[5]trip_summary_region!D396</f>
        <v>8</v>
      </c>
      <c r="E396">
        <f>[5]trip_summary_region!E396</f>
        <v>22</v>
      </c>
      <c r="F396">
        <f>[5]trip_summary_region!F396</f>
        <v>0.2732988549</v>
      </c>
      <c r="G396">
        <f>[5]trip_summary_region!G396</f>
        <v>9.7599453277000006</v>
      </c>
      <c r="H396">
        <f>[5]trip_summary_region!H396</f>
        <v>0.21493011510000001</v>
      </c>
      <c r="I396" t="str">
        <f>[5]trip_summary_region!I396</f>
        <v>Non-Household Travel</v>
      </c>
      <c r="J396" t="str">
        <f>[5]trip_summary_region!J396</f>
        <v>2022/23</v>
      </c>
    </row>
    <row r="397" spans="1:10" x14ac:dyDescent="0.25">
      <c r="A397" t="str">
        <f>[5]trip_summary_region!A397</f>
        <v>05 GISBORNE</v>
      </c>
      <c r="B397">
        <f>[5]trip_summary_region!B397</f>
        <v>11</v>
      </c>
      <c r="C397">
        <f>[5]trip_summary_region!C397</f>
        <v>2028</v>
      </c>
      <c r="D397">
        <f>[5]trip_summary_region!D397</f>
        <v>8</v>
      </c>
      <c r="E397">
        <f>[5]trip_summary_region!E397</f>
        <v>22</v>
      </c>
      <c r="F397">
        <f>[5]trip_summary_region!F397</f>
        <v>0.2717545804</v>
      </c>
      <c r="G397">
        <f>[5]trip_summary_region!G397</f>
        <v>9.4710109810999992</v>
      </c>
      <c r="H397">
        <f>[5]trip_summary_region!H397</f>
        <v>0.20919930240000001</v>
      </c>
      <c r="I397" t="str">
        <f>[5]trip_summary_region!I397</f>
        <v>Non-Household Travel</v>
      </c>
      <c r="J397" t="str">
        <f>[5]trip_summary_region!J397</f>
        <v>2027/28</v>
      </c>
    </row>
    <row r="398" spans="1:10" x14ac:dyDescent="0.25">
      <c r="A398" t="str">
        <f>[5]trip_summary_region!A398</f>
        <v>05 GISBORNE</v>
      </c>
      <c r="B398">
        <f>[5]trip_summary_region!B398</f>
        <v>11</v>
      </c>
      <c r="C398">
        <f>[5]trip_summary_region!C398</f>
        <v>2033</v>
      </c>
      <c r="D398">
        <f>[5]trip_summary_region!D398</f>
        <v>8</v>
      </c>
      <c r="E398">
        <f>[5]trip_summary_region!E398</f>
        <v>22</v>
      </c>
      <c r="F398">
        <f>[5]trip_summary_region!F398</f>
        <v>0.26693190989999999</v>
      </c>
      <c r="G398">
        <f>[5]trip_summary_region!G398</f>
        <v>8.7660218087999997</v>
      </c>
      <c r="H398">
        <f>[5]trip_summary_region!H398</f>
        <v>0.1971176261</v>
      </c>
      <c r="I398" t="str">
        <f>[5]trip_summary_region!I398</f>
        <v>Non-Household Travel</v>
      </c>
      <c r="J398" t="str">
        <f>[5]trip_summary_region!J398</f>
        <v>2032/33</v>
      </c>
    </row>
    <row r="399" spans="1:10" x14ac:dyDescent="0.25">
      <c r="A399" t="str">
        <f>[5]trip_summary_region!A399</f>
        <v>05 GISBORNE</v>
      </c>
      <c r="B399">
        <f>[5]trip_summary_region!B399</f>
        <v>11</v>
      </c>
      <c r="C399">
        <f>[5]trip_summary_region!C399</f>
        <v>2038</v>
      </c>
      <c r="D399">
        <f>[5]trip_summary_region!D399</f>
        <v>8</v>
      </c>
      <c r="E399">
        <f>[5]trip_summary_region!E399</f>
        <v>22</v>
      </c>
      <c r="F399">
        <f>[5]trip_summary_region!F399</f>
        <v>0.26429743430000002</v>
      </c>
      <c r="G399">
        <f>[5]trip_summary_region!G399</f>
        <v>7.9285702487999998</v>
      </c>
      <c r="H399">
        <f>[5]trip_summary_region!H399</f>
        <v>0.18419923969999999</v>
      </c>
      <c r="I399" t="str">
        <f>[5]trip_summary_region!I399</f>
        <v>Non-Household Travel</v>
      </c>
      <c r="J399" t="str">
        <f>[5]trip_summary_region!J399</f>
        <v>2037/38</v>
      </c>
    </row>
    <row r="400" spans="1:10" x14ac:dyDescent="0.25">
      <c r="A400" t="str">
        <f>[5]trip_summary_region!A400</f>
        <v>05 GISBORNE</v>
      </c>
      <c r="B400">
        <f>[5]trip_summary_region!B400</f>
        <v>11</v>
      </c>
      <c r="C400">
        <f>[5]trip_summary_region!C400</f>
        <v>2043</v>
      </c>
      <c r="D400">
        <f>[5]trip_summary_region!D400</f>
        <v>8</v>
      </c>
      <c r="E400">
        <f>[5]trip_summary_region!E400</f>
        <v>22</v>
      </c>
      <c r="F400">
        <f>[5]trip_summary_region!F400</f>
        <v>0.26271876900000002</v>
      </c>
      <c r="G400">
        <f>[5]trip_summary_region!G400</f>
        <v>7.1187143582000001</v>
      </c>
      <c r="H400">
        <f>[5]trip_summary_region!H400</f>
        <v>0.17192002810000001</v>
      </c>
      <c r="I400" t="str">
        <f>[5]trip_summary_region!I400</f>
        <v>Non-Household Travel</v>
      </c>
      <c r="J400" t="str">
        <f>[5]trip_summary_region!J400</f>
        <v>2042/43</v>
      </c>
    </row>
    <row r="401" spans="1:10" x14ac:dyDescent="0.25">
      <c r="A401" t="str">
        <f>[5]trip_summary_region!A401</f>
        <v>06 HAWKE`S BAY</v>
      </c>
      <c r="B401">
        <f>[5]trip_summary_region!B401</f>
        <v>0</v>
      </c>
      <c r="C401">
        <f>[5]trip_summary_region!C401</f>
        <v>2013</v>
      </c>
      <c r="D401">
        <f>[5]trip_summary_region!D401</f>
        <v>221</v>
      </c>
      <c r="E401">
        <f>[5]trip_summary_region!E401</f>
        <v>754</v>
      </c>
      <c r="F401">
        <f>[5]trip_summary_region!F401</f>
        <v>26.538300281000001</v>
      </c>
      <c r="G401">
        <f>[5]trip_summary_region!G401</f>
        <v>22.691613215</v>
      </c>
      <c r="H401">
        <f>[5]trip_summary_region!H401</f>
        <v>5.9462513095</v>
      </c>
      <c r="I401" t="str">
        <f>[5]trip_summary_region!I401</f>
        <v>Pedestrian</v>
      </c>
      <c r="J401" t="str">
        <f>[5]trip_summary_region!J401</f>
        <v>2012/13</v>
      </c>
    </row>
    <row r="402" spans="1:10" x14ac:dyDescent="0.25">
      <c r="A402" t="str">
        <f>[5]trip_summary_region!A402</f>
        <v>06 HAWKE`S BAY</v>
      </c>
      <c r="B402">
        <f>[5]trip_summary_region!B402</f>
        <v>0</v>
      </c>
      <c r="C402">
        <f>[5]trip_summary_region!C402</f>
        <v>2018</v>
      </c>
      <c r="D402">
        <f>[5]trip_summary_region!D402</f>
        <v>221</v>
      </c>
      <c r="E402">
        <f>[5]trip_summary_region!E402</f>
        <v>754</v>
      </c>
      <c r="F402">
        <f>[5]trip_summary_region!F402</f>
        <v>27.429980512</v>
      </c>
      <c r="G402">
        <f>[5]trip_summary_region!G402</f>
        <v>23.209966743999999</v>
      </c>
      <c r="H402">
        <f>[5]trip_summary_region!H402</f>
        <v>6.1119413737999997</v>
      </c>
      <c r="I402" t="str">
        <f>[5]trip_summary_region!I402</f>
        <v>Pedestrian</v>
      </c>
      <c r="J402" t="str">
        <f>[5]trip_summary_region!J402</f>
        <v>2017/18</v>
      </c>
    </row>
    <row r="403" spans="1:10" x14ac:dyDescent="0.25">
      <c r="A403" t="str">
        <f>[5]trip_summary_region!A403</f>
        <v>06 HAWKE`S BAY</v>
      </c>
      <c r="B403">
        <f>[5]trip_summary_region!B403</f>
        <v>0</v>
      </c>
      <c r="C403">
        <f>[5]trip_summary_region!C403</f>
        <v>2023</v>
      </c>
      <c r="D403">
        <f>[5]trip_summary_region!D403</f>
        <v>221</v>
      </c>
      <c r="E403">
        <f>[5]trip_summary_region!E403</f>
        <v>754</v>
      </c>
      <c r="F403">
        <f>[5]trip_summary_region!F403</f>
        <v>28.071989247000001</v>
      </c>
      <c r="G403">
        <f>[5]trip_summary_region!G403</f>
        <v>23.501564868999999</v>
      </c>
      <c r="H403">
        <f>[5]trip_summary_region!H403</f>
        <v>6.2445894601000003</v>
      </c>
      <c r="I403" t="str">
        <f>[5]trip_summary_region!I403</f>
        <v>Pedestrian</v>
      </c>
      <c r="J403" t="str">
        <f>[5]trip_summary_region!J403</f>
        <v>2022/23</v>
      </c>
    </row>
    <row r="404" spans="1:10" x14ac:dyDescent="0.25">
      <c r="A404" t="str">
        <f>[5]trip_summary_region!A404</f>
        <v>06 HAWKE`S BAY</v>
      </c>
      <c r="B404">
        <f>[5]trip_summary_region!B404</f>
        <v>0</v>
      </c>
      <c r="C404">
        <f>[5]trip_summary_region!C404</f>
        <v>2028</v>
      </c>
      <c r="D404">
        <f>[5]trip_summary_region!D404</f>
        <v>221</v>
      </c>
      <c r="E404">
        <f>[5]trip_summary_region!E404</f>
        <v>754</v>
      </c>
      <c r="F404">
        <f>[5]trip_summary_region!F404</f>
        <v>27.980235448999998</v>
      </c>
      <c r="G404">
        <f>[5]trip_summary_region!G404</f>
        <v>23.398156782000001</v>
      </c>
      <c r="H404">
        <f>[5]trip_summary_region!H404</f>
        <v>6.2047494628999997</v>
      </c>
      <c r="I404" t="str">
        <f>[5]trip_summary_region!I404</f>
        <v>Pedestrian</v>
      </c>
      <c r="J404" t="str">
        <f>[5]trip_summary_region!J404</f>
        <v>2027/28</v>
      </c>
    </row>
    <row r="405" spans="1:10" x14ac:dyDescent="0.25">
      <c r="A405" t="str">
        <f>[5]trip_summary_region!A405</f>
        <v>06 HAWKE`S BAY</v>
      </c>
      <c r="B405">
        <f>[5]trip_summary_region!B405</f>
        <v>0</v>
      </c>
      <c r="C405">
        <f>[5]trip_summary_region!C405</f>
        <v>2033</v>
      </c>
      <c r="D405">
        <f>[5]trip_summary_region!D405</f>
        <v>221</v>
      </c>
      <c r="E405">
        <f>[5]trip_summary_region!E405</f>
        <v>754</v>
      </c>
      <c r="F405">
        <f>[5]trip_summary_region!F405</f>
        <v>27.334537244</v>
      </c>
      <c r="G405">
        <f>[5]trip_summary_region!G405</f>
        <v>23.030792724000001</v>
      </c>
      <c r="H405">
        <f>[5]trip_summary_region!H405</f>
        <v>6.0804056130999999</v>
      </c>
      <c r="I405" t="str">
        <f>[5]trip_summary_region!I405</f>
        <v>Pedestrian</v>
      </c>
      <c r="J405" t="str">
        <f>[5]trip_summary_region!J405</f>
        <v>2032/33</v>
      </c>
    </row>
    <row r="406" spans="1:10" x14ac:dyDescent="0.25">
      <c r="A406" t="str">
        <f>[5]trip_summary_region!A406</f>
        <v>06 HAWKE`S BAY</v>
      </c>
      <c r="B406">
        <f>[5]trip_summary_region!B406</f>
        <v>0</v>
      </c>
      <c r="C406">
        <f>[5]trip_summary_region!C406</f>
        <v>2038</v>
      </c>
      <c r="D406">
        <f>[5]trip_summary_region!D406</f>
        <v>221</v>
      </c>
      <c r="E406">
        <f>[5]trip_summary_region!E406</f>
        <v>754</v>
      </c>
      <c r="F406">
        <f>[5]trip_summary_region!F406</f>
        <v>26.635841856999999</v>
      </c>
      <c r="G406">
        <f>[5]trip_summary_region!G406</f>
        <v>22.777687182000001</v>
      </c>
      <c r="H406">
        <f>[5]trip_summary_region!H406</f>
        <v>5.9708379517000001</v>
      </c>
      <c r="I406" t="str">
        <f>[5]trip_summary_region!I406</f>
        <v>Pedestrian</v>
      </c>
      <c r="J406" t="str">
        <f>[5]trip_summary_region!J406</f>
        <v>2037/38</v>
      </c>
    </row>
    <row r="407" spans="1:10" x14ac:dyDescent="0.25">
      <c r="A407" t="str">
        <f>[5]trip_summary_region!A407</f>
        <v>06 HAWKE`S BAY</v>
      </c>
      <c r="B407">
        <f>[5]trip_summary_region!B407</f>
        <v>0</v>
      </c>
      <c r="C407">
        <f>[5]trip_summary_region!C407</f>
        <v>2043</v>
      </c>
      <c r="D407">
        <f>[5]trip_summary_region!D407</f>
        <v>221</v>
      </c>
      <c r="E407">
        <f>[5]trip_summary_region!E407</f>
        <v>754</v>
      </c>
      <c r="F407">
        <f>[5]trip_summary_region!F407</f>
        <v>25.825355327</v>
      </c>
      <c r="G407">
        <f>[5]trip_summary_region!G407</f>
        <v>22.439128792999998</v>
      </c>
      <c r="H407">
        <f>[5]trip_summary_region!H407</f>
        <v>5.8416430276</v>
      </c>
      <c r="I407" t="str">
        <f>[5]trip_summary_region!I407</f>
        <v>Pedestrian</v>
      </c>
      <c r="J407" t="str">
        <f>[5]trip_summary_region!J407</f>
        <v>2042/43</v>
      </c>
    </row>
    <row r="408" spans="1:10" x14ac:dyDescent="0.25">
      <c r="A408" t="str">
        <f>[5]trip_summary_region!A408</f>
        <v>06 HAWKE`S BAY</v>
      </c>
      <c r="B408">
        <f>[5]trip_summary_region!B408</f>
        <v>1</v>
      </c>
      <c r="C408">
        <f>[5]trip_summary_region!C408</f>
        <v>2013</v>
      </c>
      <c r="D408">
        <f>[5]trip_summary_region!D408</f>
        <v>30</v>
      </c>
      <c r="E408">
        <f>[5]trip_summary_region!E408</f>
        <v>93</v>
      </c>
      <c r="F408">
        <f>[5]trip_summary_region!F408</f>
        <v>3.1819840940000002</v>
      </c>
      <c r="G408">
        <f>[5]trip_summary_region!G408</f>
        <v>9.5482363540000001</v>
      </c>
      <c r="H408">
        <f>[5]trip_summary_region!H408</f>
        <v>0.88401106659999995</v>
      </c>
      <c r="I408" t="str">
        <f>[5]trip_summary_region!I408</f>
        <v>Cyclist</v>
      </c>
      <c r="J408" t="str">
        <f>[5]trip_summary_region!J408</f>
        <v>2012/13</v>
      </c>
    </row>
    <row r="409" spans="1:10" x14ac:dyDescent="0.25">
      <c r="A409" t="str">
        <f>[5]trip_summary_region!A409</f>
        <v>06 HAWKE`S BAY</v>
      </c>
      <c r="B409">
        <f>[5]trip_summary_region!B409</f>
        <v>1</v>
      </c>
      <c r="C409">
        <f>[5]trip_summary_region!C409</f>
        <v>2018</v>
      </c>
      <c r="D409">
        <f>[5]trip_summary_region!D409</f>
        <v>30</v>
      </c>
      <c r="E409">
        <f>[5]trip_summary_region!E409</f>
        <v>93</v>
      </c>
      <c r="F409">
        <f>[5]trip_summary_region!F409</f>
        <v>3.2473192461</v>
      </c>
      <c r="G409">
        <f>[5]trip_summary_region!G409</f>
        <v>10.032392258</v>
      </c>
      <c r="H409">
        <f>[5]trip_summary_region!H409</f>
        <v>0.92707566509999995</v>
      </c>
      <c r="I409" t="str">
        <f>[5]trip_summary_region!I409</f>
        <v>Cyclist</v>
      </c>
      <c r="J409" t="str">
        <f>[5]trip_summary_region!J409</f>
        <v>2017/18</v>
      </c>
    </row>
    <row r="410" spans="1:10" x14ac:dyDescent="0.25">
      <c r="A410" t="str">
        <f>[5]trip_summary_region!A410</f>
        <v>06 HAWKE`S BAY</v>
      </c>
      <c r="B410">
        <f>[5]trip_summary_region!B410</f>
        <v>1</v>
      </c>
      <c r="C410">
        <f>[5]trip_summary_region!C410</f>
        <v>2023</v>
      </c>
      <c r="D410">
        <f>[5]trip_summary_region!D410</f>
        <v>30</v>
      </c>
      <c r="E410">
        <f>[5]trip_summary_region!E410</f>
        <v>93</v>
      </c>
      <c r="F410">
        <f>[5]trip_summary_region!F410</f>
        <v>3.3254693085999998</v>
      </c>
      <c r="G410">
        <f>[5]trip_summary_region!G410</f>
        <v>10.255764629</v>
      </c>
      <c r="H410">
        <f>[5]trip_summary_region!H410</f>
        <v>0.94165506160000001</v>
      </c>
      <c r="I410" t="str">
        <f>[5]trip_summary_region!I410</f>
        <v>Cyclist</v>
      </c>
      <c r="J410" t="str">
        <f>[5]trip_summary_region!J410</f>
        <v>2022/23</v>
      </c>
    </row>
    <row r="411" spans="1:10" x14ac:dyDescent="0.25">
      <c r="A411" t="str">
        <f>[5]trip_summary_region!A411</f>
        <v>06 HAWKE`S BAY</v>
      </c>
      <c r="B411">
        <f>[5]trip_summary_region!B411</f>
        <v>1</v>
      </c>
      <c r="C411">
        <f>[5]trip_summary_region!C411</f>
        <v>2028</v>
      </c>
      <c r="D411">
        <f>[5]trip_summary_region!D411</f>
        <v>30</v>
      </c>
      <c r="E411">
        <f>[5]trip_summary_region!E411</f>
        <v>93</v>
      </c>
      <c r="F411">
        <f>[5]trip_summary_region!F411</f>
        <v>3.3831654313000001</v>
      </c>
      <c r="G411">
        <f>[5]trip_summary_region!G411</f>
        <v>10.548974404999999</v>
      </c>
      <c r="H411">
        <f>[5]trip_summary_region!H411</f>
        <v>0.96561803390000001</v>
      </c>
      <c r="I411" t="str">
        <f>[5]trip_summary_region!I411</f>
        <v>Cyclist</v>
      </c>
      <c r="J411" t="str">
        <f>[5]trip_summary_region!J411</f>
        <v>2027/28</v>
      </c>
    </row>
    <row r="412" spans="1:10" x14ac:dyDescent="0.25">
      <c r="A412" t="str">
        <f>[5]trip_summary_region!A412</f>
        <v>06 HAWKE`S BAY</v>
      </c>
      <c r="B412">
        <f>[5]trip_summary_region!B412</f>
        <v>1</v>
      </c>
      <c r="C412">
        <f>[5]trip_summary_region!C412</f>
        <v>2033</v>
      </c>
      <c r="D412">
        <f>[5]trip_summary_region!D412</f>
        <v>30</v>
      </c>
      <c r="E412">
        <f>[5]trip_summary_region!E412</f>
        <v>93</v>
      </c>
      <c r="F412">
        <f>[5]trip_summary_region!F412</f>
        <v>3.3399816380999998</v>
      </c>
      <c r="G412">
        <f>[5]trip_summary_region!G412</f>
        <v>10.788477503999999</v>
      </c>
      <c r="H412">
        <f>[5]trip_summary_region!H412</f>
        <v>0.97766807990000004</v>
      </c>
      <c r="I412" t="str">
        <f>[5]trip_summary_region!I412</f>
        <v>Cyclist</v>
      </c>
      <c r="J412" t="str">
        <f>[5]trip_summary_region!J412</f>
        <v>2032/33</v>
      </c>
    </row>
    <row r="413" spans="1:10" x14ac:dyDescent="0.25">
      <c r="A413" t="str">
        <f>[5]trip_summary_region!A413</f>
        <v>06 HAWKE`S BAY</v>
      </c>
      <c r="B413">
        <f>[5]trip_summary_region!B413</f>
        <v>1</v>
      </c>
      <c r="C413">
        <f>[5]trip_summary_region!C413</f>
        <v>2038</v>
      </c>
      <c r="D413">
        <f>[5]trip_summary_region!D413</f>
        <v>30</v>
      </c>
      <c r="E413">
        <f>[5]trip_summary_region!E413</f>
        <v>93</v>
      </c>
      <c r="F413">
        <f>[5]trip_summary_region!F413</f>
        <v>3.2985489507999999</v>
      </c>
      <c r="G413">
        <f>[5]trip_summary_region!G413</f>
        <v>10.727869518</v>
      </c>
      <c r="H413">
        <f>[5]trip_summary_region!H413</f>
        <v>0.97173983789999996</v>
      </c>
      <c r="I413" t="str">
        <f>[5]trip_summary_region!I413</f>
        <v>Cyclist</v>
      </c>
      <c r="J413" t="str">
        <f>[5]trip_summary_region!J413</f>
        <v>2037/38</v>
      </c>
    </row>
    <row r="414" spans="1:10" x14ac:dyDescent="0.25">
      <c r="A414" t="str">
        <f>[5]trip_summary_region!A414</f>
        <v>06 HAWKE`S BAY</v>
      </c>
      <c r="B414">
        <f>[5]trip_summary_region!B414</f>
        <v>1</v>
      </c>
      <c r="C414">
        <f>[5]trip_summary_region!C414</f>
        <v>2043</v>
      </c>
      <c r="D414">
        <f>[5]trip_summary_region!D414</f>
        <v>30</v>
      </c>
      <c r="E414">
        <f>[5]trip_summary_region!E414</f>
        <v>93</v>
      </c>
      <c r="F414">
        <f>[5]trip_summary_region!F414</f>
        <v>3.2376379794000001</v>
      </c>
      <c r="G414">
        <f>[5]trip_summary_region!G414</f>
        <v>10.601259002999999</v>
      </c>
      <c r="H414">
        <f>[5]trip_summary_region!H414</f>
        <v>0.96098666119999998</v>
      </c>
      <c r="I414" t="str">
        <f>[5]trip_summary_region!I414</f>
        <v>Cyclist</v>
      </c>
      <c r="J414" t="str">
        <f>[5]trip_summary_region!J414</f>
        <v>2042/43</v>
      </c>
    </row>
    <row r="415" spans="1:10" x14ac:dyDescent="0.25">
      <c r="A415" t="str">
        <f>[5]trip_summary_region!A415</f>
        <v>06 HAWKE`S BAY</v>
      </c>
      <c r="B415">
        <f>[5]trip_summary_region!B415</f>
        <v>2</v>
      </c>
      <c r="C415">
        <f>[5]trip_summary_region!C415</f>
        <v>2013</v>
      </c>
      <c r="D415">
        <f>[5]trip_summary_region!D415</f>
        <v>446</v>
      </c>
      <c r="E415">
        <f>[5]trip_summary_region!E415</f>
        <v>3171</v>
      </c>
      <c r="F415">
        <f>[5]trip_summary_region!F415</f>
        <v>111.16933473</v>
      </c>
      <c r="G415">
        <f>[5]trip_summary_region!G415</f>
        <v>1001.7566771</v>
      </c>
      <c r="H415">
        <f>[5]trip_summary_region!H415</f>
        <v>25.377986313000001</v>
      </c>
      <c r="I415" t="str">
        <f>[5]trip_summary_region!I415</f>
        <v>Light Vehicle Driver</v>
      </c>
      <c r="J415" t="str">
        <f>[5]trip_summary_region!J415</f>
        <v>2012/13</v>
      </c>
    </row>
    <row r="416" spans="1:10" x14ac:dyDescent="0.25">
      <c r="A416" t="str">
        <f>[5]trip_summary_region!A416</f>
        <v>06 HAWKE`S BAY</v>
      </c>
      <c r="B416">
        <f>[5]trip_summary_region!B416</f>
        <v>2</v>
      </c>
      <c r="C416">
        <f>[5]trip_summary_region!C416</f>
        <v>2018</v>
      </c>
      <c r="D416">
        <f>[5]trip_summary_region!D416</f>
        <v>446</v>
      </c>
      <c r="E416">
        <f>[5]trip_summary_region!E416</f>
        <v>3171</v>
      </c>
      <c r="F416">
        <f>[5]trip_summary_region!F416</f>
        <v>117.27201801</v>
      </c>
      <c r="G416">
        <f>[5]trip_summary_region!G416</f>
        <v>1062.3768493</v>
      </c>
      <c r="H416">
        <f>[5]trip_summary_region!H416</f>
        <v>26.851582032</v>
      </c>
      <c r="I416" t="str">
        <f>[5]trip_summary_region!I416</f>
        <v>Light Vehicle Driver</v>
      </c>
      <c r="J416" t="str">
        <f>[5]trip_summary_region!J416</f>
        <v>2017/18</v>
      </c>
    </row>
    <row r="417" spans="1:10" x14ac:dyDescent="0.25">
      <c r="A417" t="str">
        <f>[5]trip_summary_region!A417</f>
        <v>06 HAWKE`S BAY</v>
      </c>
      <c r="B417">
        <f>[5]trip_summary_region!B417</f>
        <v>2</v>
      </c>
      <c r="C417">
        <f>[5]trip_summary_region!C417</f>
        <v>2023</v>
      </c>
      <c r="D417">
        <f>[5]trip_summary_region!D417</f>
        <v>446</v>
      </c>
      <c r="E417">
        <f>[5]trip_summary_region!E417</f>
        <v>3171</v>
      </c>
      <c r="F417">
        <f>[5]trip_summary_region!F417</f>
        <v>121.13650556</v>
      </c>
      <c r="G417">
        <f>[5]trip_summary_region!G417</f>
        <v>1094.0680745</v>
      </c>
      <c r="H417">
        <f>[5]trip_summary_region!H417</f>
        <v>27.730618091</v>
      </c>
      <c r="I417" t="str">
        <f>[5]trip_summary_region!I417</f>
        <v>Light Vehicle Driver</v>
      </c>
      <c r="J417" t="str">
        <f>[5]trip_summary_region!J417</f>
        <v>2022/23</v>
      </c>
    </row>
    <row r="418" spans="1:10" x14ac:dyDescent="0.25">
      <c r="A418" t="str">
        <f>[5]trip_summary_region!A418</f>
        <v>06 HAWKE`S BAY</v>
      </c>
      <c r="B418">
        <f>[5]trip_summary_region!B418</f>
        <v>2</v>
      </c>
      <c r="C418">
        <f>[5]trip_summary_region!C418</f>
        <v>2028</v>
      </c>
      <c r="D418">
        <f>[5]trip_summary_region!D418</f>
        <v>446</v>
      </c>
      <c r="E418">
        <f>[5]trip_summary_region!E418</f>
        <v>3171</v>
      </c>
      <c r="F418">
        <f>[5]trip_summary_region!F418</f>
        <v>125.2359852</v>
      </c>
      <c r="G418">
        <f>[5]trip_summary_region!G418</f>
        <v>1132.1334380999999</v>
      </c>
      <c r="H418">
        <f>[5]trip_summary_region!H418</f>
        <v>28.761619458999998</v>
      </c>
      <c r="I418" t="str">
        <f>[5]trip_summary_region!I418</f>
        <v>Light Vehicle Driver</v>
      </c>
      <c r="J418" t="str">
        <f>[5]trip_summary_region!J418</f>
        <v>2027/28</v>
      </c>
    </row>
    <row r="419" spans="1:10" x14ac:dyDescent="0.25">
      <c r="A419" t="str">
        <f>[5]trip_summary_region!A419</f>
        <v>06 HAWKE`S BAY</v>
      </c>
      <c r="B419">
        <f>[5]trip_summary_region!B419</f>
        <v>2</v>
      </c>
      <c r="C419">
        <f>[5]trip_summary_region!C419</f>
        <v>2033</v>
      </c>
      <c r="D419">
        <f>[5]trip_summary_region!D419</f>
        <v>446</v>
      </c>
      <c r="E419">
        <f>[5]trip_summary_region!E419</f>
        <v>3171</v>
      </c>
      <c r="F419">
        <f>[5]trip_summary_region!F419</f>
        <v>128.04335444</v>
      </c>
      <c r="G419">
        <f>[5]trip_summary_region!G419</f>
        <v>1158.6771392999999</v>
      </c>
      <c r="H419">
        <f>[5]trip_summary_region!H419</f>
        <v>29.491402811</v>
      </c>
      <c r="I419" t="str">
        <f>[5]trip_summary_region!I419</f>
        <v>Light Vehicle Driver</v>
      </c>
      <c r="J419" t="str">
        <f>[5]trip_summary_region!J419</f>
        <v>2032/33</v>
      </c>
    </row>
    <row r="420" spans="1:10" x14ac:dyDescent="0.25">
      <c r="A420" t="str">
        <f>[5]trip_summary_region!A420</f>
        <v>06 HAWKE`S BAY</v>
      </c>
      <c r="B420">
        <f>[5]trip_summary_region!B420</f>
        <v>2</v>
      </c>
      <c r="C420">
        <f>[5]trip_summary_region!C420</f>
        <v>2038</v>
      </c>
      <c r="D420">
        <f>[5]trip_summary_region!D420</f>
        <v>446</v>
      </c>
      <c r="E420">
        <f>[5]trip_summary_region!E420</f>
        <v>3171</v>
      </c>
      <c r="F420">
        <f>[5]trip_summary_region!F420</f>
        <v>128.84921331999999</v>
      </c>
      <c r="G420">
        <f>[5]trip_summary_region!G420</f>
        <v>1165.5586172999999</v>
      </c>
      <c r="H420">
        <f>[5]trip_summary_region!H420</f>
        <v>29.735569444999999</v>
      </c>
      <c r="I420" t="str">
        <f>[5]trip_summary_region!I420</f>
        <v>Light Vehicle Driver</v>
      </c>
      <c r="J420" t="str">
        <f>[5]trip_summary_region!J420</f>
        <v>2037/38</v>
      </c>
    </row>
    <row r="421" spans="1:10" x14ac:dyDescent="0.25">
      <c r="A421" t="str">
        <f>[5]trip_summary_region!A421</f>
        <v>06 HAWKE`S BAY</v>
      </c>
      <c r="B421">
        <f>[5]trip_summary_region!B421</f>
        <v>2</v>
      </c>
      <c r="C421">
        <f>[5]trip_summary_region!C421</f>
        <v>2043</v>
      </c>
      <c r="D421">
        <f>[5]trip_summary_region!D421</f>
        <v>446</v>
      </c>
      <c r="E421">
        <f>[5]trip_summary_region!E421</f>
        <v>3171</v>
      </c>
      <c r="F421">
        <f>[5]trip_summary_region!F421</f>
        <v>129.13646527</v>
      </c>
      <c r="G421">
        <f>[5]trip_summary_region!G421</f>
        <v>1167.2849154999999</v>
      </c>
      <c r="H421">
        <f>[5]trip_summary_region!H421</f>
        <v>29.848199676</v>
      </c>
      <c r="I421" t="str">
        <f>[5]trip_summary_region!I421</f>
        <v>Light Vehicle Driver</v>
      </c>
      <c r="J421" t="str">
        <f>[5]trip_summary_region!J421</f>
        <v>2042/43</v>
      </c>
    </row>
    <row r="422" spans="1:10" x14ac:dyDescent="0.25">
      <c r="A422" t="str">
        <f>[5]trip_summary_region!A422</f>
        <v>06 HAWKE`S BAY</v>
      </c>
      <c r="B422">
        <f>[5]trip_summary_region!B422</f>
        <v>3</v>
      </c>
      <c r="C422">
        <f>[5]trip_summary_region!C422</f>
        <v>2013</v>
      </c>
      <c r="D422">
        <f>[5]trip_summary_region!D422</f>
        <v>300</v>
      </c>
      <c r="E422">
        <f>[5]trip_summary_region!E422</f>
        <v>1579</v>
      </c>
      <c r="F422">
        <f>[5]trip_summary_region!F422</f>
        <v>58.497679761999997</v>
      </c>
      <c r="G422">
        <f>[5]trip_summary_region!G422</f>
        <v>607.82570181000006</v>
      </c>
      <c r="H422">
        <f>[5]trip_summary_region!H422</f>
        <v>15.230731736999999</v>
      </c>
      <c r="I422" t="str">
        <f>[5]trip_summary_region!I422</f>
        <v>Light Vehicle Passenger</v>
      </c>
      <c r="J422" t="str">
        <f>[5]trip_summary_region!J422</f>
        <v>2012/13</v>
      </c>
    </row>
    <row r="423" spans="1:10" x14ac:dyDescent="0.25">
      <c r="A423" t="str">
        <f>[5]trip_summary_region!A423</f>
        <v>06 HAWKE`S BAY</v>
      </c>
      <c r="B423">
        <f>[5]trip_summary_region!B423</f>
        <v>3</v>
      </c>
      <c r="C423">
        <f>[5]trip_summary_region!C423</f>
        <v>2018</v>
      </c>
      <c r="D423">
        <f>[5]trip_summary_region!D423</f>
        <v>300</v>
      </c>
      <c r="E423">
        <f>[5]trip_summary_region!E423</f>
        <v>1579</v>
      </c>
      <c r="F423">
        <f>[5]trip_summary_region!F423</f>
        <v>58.935029659000001</v>
      </c>
      <c r="G423">
        <f>[5]trip_summary_region!G423</f>
        <v>628.16745817000003</v>
      </c>
      <c r="H423">
        <f>[5]trip_summary_region!H423</f>
        <v>15.608337468</v>
      </c>
      <c r="I423" t="str">
        <f>[5]trip_summary_region!I423</f>
        <v>Light Vehicle Passenger</v>
      </c>
      <c r="J423" t="str">
        <f>[5]trip_summary_region!J423</f>
        <v>2017/18</v>
      </c>
    </row>
    <row r="424" spans="1:10" x14ac:dyDescent="0.25">
      <c r="A424" t="str">
        <f>[5]trip_summary_region!A424</f>
        <v>06 HAWKE`S BAY</v>
      </c>
      <c r="B424">
        <f>[5]trip_summary_region!B424</f>
        <v>3</v>
      </c>
      <c r="C424">
        <f>[5]trip_summary_region!C424</f>
        <v>2023</v>
      </c>
      <c r="D424">
        <f>[5]trip_summary_region!D424</f>
        <v>300</v>
      </c>
      <c r="E424">
        <f>[5]trip_summary_region!E424</f>
        <v>1579</v>
      </c>
      <c r="F424">
        <f>[5]trip_summary_region!F424</f>
        <v>58.666913270000002</v>
      </c>
      <c r="G424">
        <f>[5]trip_summary_region!G424</f>
        <v>638.14087371000005</v>
      </c>
      <c r="H424">
        <f>[5]trip_summary_region!H424</f>
        <v>15.773724852999999</v>
      </c>
      <c r="I424" t="str">
        <f>[5]trip_summary_region!I424</f>
        <v>Light Vehicle Passenger</v>
      </c>
      <c r="J424" t="str">
        <f>[5]trip_summary_region!J424</f>
        <v>2022/23</v>
      </c>
    </row>
    <row r="425" spans="1:10" x14ac:dyDescent="0.25">
      <c r="A425" t="str">
        <f>[5]trip_summary_region!A425</f>
        <v>06 HAWKE`S BAY</v>
      </c>
      <c r="B425">
        <f>[5]trip_summary_region!B425</f>
        <v>3</v>
      </c>
      <c r="C425">
        <f>[5]trip_summary_region!C425</f>
        <v>2028</v>
      </c>
      <c r="D425">
        <f>[5]trip_summary_region!D425</f>
        <v>300</v>
      </c>
      <c r="E425">
        <f>[5]trip_summary_region!E425</f>
        <v>1579</v>
      </c>
      <c r="F425">
        <f>[5]trip_summary_region!F425</f>
        <v>58.768283236000002</v>
      </c>
      <c r="G425">
        <f>[5]trip_summary_region!G425</f>
        <v>641.93849739999996</v>
      </c>
      <c r="H425">
        <f>[5]trip_summary_region!H425</f>
        <v>15.905760315</v>
      </c>
      <c r="I425" t="str">
        <f>[5]trip_summary_region!I425</f>
        <v>Light Vehicle Passenger</v>
      </c>
      <c r="J425" t="str">
        <f>[5]trip_summary_region!J425</f>
        <v>2027/28</v>
      </c>
    </row>
    <row r="426" spans="1:10" x14ac:dyDescent="0.25">
      <c r="A426" t="str">
        <f>[5]trip_summary_region!A426</f>
        <v>06 HAWKE`S BAY</v>
      </c>
      <c r="B426">
        <f>[5]trip_summary_region!B426</f>
        <v>3</v>
      </c>
      <c r="C426">
        <f>[5]trip_summary_region!C426</f>
        <v>2033</v>
      </c>
      <c r="D426">
        <f>[5]trip_summary_region!D426</f>
        <v>300</v>
      </c>
      <c r="E426">
        <f>[5]trip_summary_region!E426</f>
        <v>1579</v>
      </c>
      <c r="F426">
        <f>[5]trip_summary_region!F426</f>
        <v>58.019072258000001</v>
      </c>
      <c r="G426">
        <f>[5]trip_summary_region!G426</f>
        <v>632.96035600000005</v>
      </c>
      <c r="H426">
        <f>[5]trip_summary_region!H426</f>
        <v>15.722057272000001</v>
      </c>
      <c r="I426" t="str">
        <f>[5]trip_summary_region!I426</f>
        <v>Light Vehicle Passenger</v>
      </c>
      <c r="J426" t="str">
        <f>[5]trip_summary_region!J426</f>
        <v>2032/33</v>
      </c>
    </row>
    <row r="427" spans="1:10" x14ac:dyDescent="0.25">
      <c r="A427" t="str">
        <f>[5]trip_summary_region!A427</f>
        <v>06 HAWKE`S BAY</v>
      </c>
      <c r="B427">
        <f>[5]trip_summary_region!B427</f>
        <v>3</v>
      </c>
      <c r="C427">
        <f>[5]trip_summary_region!C427</f>
        <v>2038</v>
      </c>
      <c r="D427">
        <f>[5]trip_summary_region!D427</f>
        <v>300</v>
      </c>
      <c r="E427">
        <f>[5]trip_summary_region!E427</f>
        <v>1579</v>
      </c>
      <c r="F427">
        <f>[5]trip_summary_region!F427</f>
        <v>57.399440222999999</v>
      </c>
      <c r="G427">
        <f>[5]trip_summary_region!G427</f>
        <v>619.34126666999998</v>
      </c>
      <c r="H427">
        <f>[5]trip_summary_region!H427</f>
        <v>15.422286015999999</v>
      </c>
      <c r="I427" t="str">
        <f>[5]trip_summary_region!I427</f>
        <v>Light Vehicle Passenger</v>
      </c>
      <c r="J427" t="str">
        <f>[5]trip_summary_region!J427</f>
        <v>2037/38</v>
      </c>
    </row>
    <row r="428" spans="1:10" x14ac:dyDescent="0.25">
      <c r="A428" t="str">
        <f>[5]trip_summary_region!A428</f>
        <v>06 HAWKE`S BAY</v>
      </c>
      <c r="B428">
        <f>[5]trip_summary_region!B428</f>
        <v>3</v>
      </c>
      <c r="C428">
        <f>[5]trip_summary_region!C428</f>
        <v>2043</v>
      </c>
      <c r="D428">
        <f>[5]trip_summary_region!D428</f>
        <v>300</v>
      </c>
      <c r="E428">
        <f>[5]trip_summary_region!E428</f>
        <v>1579</v>
      </c>
      <c r="F428">
        <f>[5]trip_summary_region!F428</f>
        <v>56.550302309999999</v>
      </c>
      <c r="G428">
        <f>[5]trip_summary_region!G428</f>
        <v>603.14902110000003</v>
      </c>
      <c r="H428">
        <f>[5]trip_summary_region!H428</f>
        <v>15.060494965</v>
      </c>
      <c r="I428" t="str">
        <f>[5]trip_summary_region!I428</f>
        <v>Light Vehicle Passenger</v>
      </c>
      <c r="J428" t="str">
        <f>[5]trip_summary_region!J428</f>
        <v>2042/43</v>
      </c>
    </row>
    <row r="429" spans="1:10" x14ac:dyDescent="0.25">
      <c r="A429" t="str">
        <f>[5]trip_summary_region!A429</f>
        <v>06 HAWKE`S BAY</v>
      </c>
      <c r="B429">
        <f>[5]trip_summary_region!B429</f>
        <v>4</v>
      </c>
      <c r="C429">
        <f>[5]trip_summary_region!C429</f>
        <v>2013</v>
      </c>
      <c r="D429">
        <f>[5]trip_summary_region!D429</f>
        <v>4</v>
      </c>
      <c r="E429">
        <f>[5]trip_summary_region!E429</f>
        <v>8</v>
      </c>
      <c r="F429">
        <f>[5]trip_summary_region!F429</f>
        <v>0.32519619989999998</v>
      </c>
      <c r="G429">
        <f>[5]trip_summary_region!G429</f>
        <v>1.7589425135000001</v>
      </c>
      <c r="H429">
        <f>[5]trip_summary_region!H429</f>
        <v>4.5837477299999999E-2</v>
      </c>
      <c r="I429" t="s">
        <v>116</v>
      </c>
      <c r="J429" t="str">
        <f>[5]trip_summary_region!J429</f>
        <v>2012/13</v>
      </c>
    </row>
    <row r="430" spans="1:10" x14ac:dyDescent="0.25">
      <c r="A430" t="str">
        <f>[5]trip_summary_region!A430</f>
        <v>06 HAWKE`S BAY</v>
      </c>
      <c r="B430">
        <f>[5]trip_summary_region!B430</f>
        <v>4</v>
      </c>
      <c r="C430">
        <f>[5]trip_summary_region!C430</f>
        <v>2018</v>
      </c>
      <c r="D430">
        <f>[5]trip_summary_region!D430</f>
        <v>4</v>
      </c>
      <c r="E430">
        <f>[5]trip_summary_region!E430</f>
        <v>8</v>
      </c>
      <c r="F430">
        <f>[5]trip_summary_region!F430</f>
        <v>0.33069106520000002</v>
      </c>
      <c r="G430">
        <f>[5]trip_summary_region!G430</f>
        <v>1.7036296033</v>
      </c>
      <c r="H430">
        <f>[5]trip_summary_region!H430</f>
        <v>4.7156156499999997E-2</v>
      </c>
      <c r="I430" t="s">
        <v>116</v>
      </c>
      <c r="J430" t="str">
        <f>[5]trip_summary_region!J430</f>
        <v>2017/18</v>
      </c>
    </row>
    <row r="431" spans="1:10" x14ac:dyDescent="0.25">
      <c r="A431" t="str">
        <f>[5]trip_summary_region!A431</f>
        <v>06 HAWKE`S BAY</v>
      </c>
      <c r="B431">
        <f>[5]trip_summary_region!B431</f>
        <v>4</v>
      </c>
      <c r="C431">
        <f>[5]trip_summary_region!C431</f>
        <v>2023</v>
      </c>
      <c r="D431">
        <f>[5]trip_summary_region!D431</f>
        <v>4</v>
      </c>
      <c r="E431">
        <f>[5]trip_summary_region!E431</f>
        <v>8</v>
      </c>
      <c r="F431">
        <f>[5]trip_summary_region!F431</f>
        <v>0.34134944420000002</v>
      </c>
      <c r="G431">
        <f>[5]trip_summary_region!G431</f>
        <v>1.6722897465</v>
      </c>
      <c r="H431">
        <f>[5]trip_summary_region!H431</f>
        <v>4.8922941800000001E-2</v>
      </c>
      <c r="I431" t="s">
        <v>116</v>
      </c>
      <c r="J431" t="str">
        <f>[5]trip_summary_region!J431</f>
        <v>2022/23</v>
      </c>
    </row>
    <row r="432" spans="1:10" x14ac:dyDescent="0.25">
      <c r="A432" t="str">
        <f>[5]trip_summary_region!A432</f>
        <v>06 HAWKE`S BAY</v>
      </c>
      <c r="B432">
        <f>[5]trip_summary_region!B432</f>
        <v>4</v>
      </c>
      <c r="C432">
        <f>[5]trip_summary_region!C432</f>
        <v>2028</v>
      </c>
      <c r="D432">
        <f>[5]trip_summary_region!D432</f>
        <v>4</v>
      </c>
      <c r="E432">
        <f>[5]trip_summary_region!E432</f>
        <v>8</v>
      </c>
      <c r="F432">
        <f>[5]trip_summary_region!F432</f>
        <v>0.35353218650000001</v>
      </c>
      <c r="G432">
        <f>[5]trip_summary_region!G432</f>
        <v>1.6688544890999999</v>
      </c>
      <c r="H432">
        <f>[5]trip_summary_region!H432</f>
        <v>5.1050616700000002E-2</v>
      </c>
      <c r="I432" t="s">
        <v>116</v>
      </c>
      <c r="J432" t="str">
        <f>[5]trip_summary_region!J432</f>
        <v>2027/28</v>
      </c>
    </row>
    <row r="433" spans="1:10" x14ac:dyDescent="0.25">
      <c r="A433" t="str">
        <f>[5]trip_summary_region!A433</f>
        <v>06 HAWKE`S BAY</v>
      </c>
      <c r="B433">
        <f>[5]trip_summary_region!B433</f>
        <v>4</v>
      </c>
      <c r="C433">
        <f>[5]trip_summary_region!C433</f>
        <v>2033</v>
      </c>
      <c r="D433">
        <f>[5]trip_summary_region!D433</f>
        <v>4</v>
      </c>
      <c r="E433">
        <f>[5]trip_summary_region!E433</f>
        <v>8</v>
      </c>
      <c r="F433">
        <f>[5]trip_summary_region!F433</f>
        <v>0.36695981970000002</v>
      </c>
      <c r="G433">
        <f>[5]trip_summary_region!G433</f>
        <v>1.6783231248999999</v>
      </c>
      <c r="H433">
        <f>[5]trip_summary_region!H433</f>
        <v>5.4036852599999997E-2</v>
      </c>
      <c r="I433" t="s">
        <v>116</v>
      </c>
      <c r="J433" t="str">
        <f>[5]trip_summary_region!J433</f>
        <v>2032/33</v>
      </c>
    </row>
    <row r="434" spans="1:10" x14ac:dyDescent="0.25">
      <c r="A434" t="str">
        <f>[5]trip_summary_region!A434</f>
        <v>06 HAWKE`S BAY</v>
      </c>
      <c r="B434">
        <f>[5]trip_summary_region!B434</f>
        <v>4</v>
      </c>
      <c r="C434">
        <f>[5]trip_summary_region!C434</f>
        <v>2038</v>
      </c>
      <c r="D434">
        <f>[5]trip_summary_region!D434</f>
        <v>4</v>
      </c>
      <c r="E434">
        <f>[5]trip_summary_region!E434</f>
        <v>8</v>
      </c>
      <c r="F434">
        <f>[5]trip_summary_region!F434</f>
        <v>0.35718872400000001</v>
      </c>
      <c r="G434">
        <f>[5]trip_summary_region!G434</f>
        <v>1.6131464772999999</v>
      </c>
      <c r="H434">
        <f>[5]trip_summary_region!H434</f>
        <v>5.37000984E-2</v>
      </c>
      <c r="I434" t="s">
        <v>116</v>
      </c>
      <c r="J434" t="str">
        <f>[5]trip_summary_region!J434</f>
        <v>2037/38</v>
      </c>
    </row>
    <row r="435" spans="1:10" x14ac:dyDescent="0.25">
      <c r="A435" t="str">
        <f>[5]trip_summary_region!A435</f>
        <v>06 HAWKE`S BAY</v>
      </c>
      <c r="B435">
        <f>[5]trip_summary_region!B435</f>
        <v>4</v>
      </c>
      <c r="C435">
        <f>[5]trip_summary_region!C435</f>
        <v>2043</v>
      </c>
      <c r="D435">
        <f>[5]trip_summary_region!D435</f>
        <v>4</v>
      </c>
      <c r="E435">
        <f>[5]trip_summary_region!E435</f>
        <v>8</v>
      </c>
      <c r="F435">
        <f>[5]trip_summary_region!F435</f>
        <v>0.33915382760000001</v>
      </c>
      <c r="G435">
        <f>[5]trip_summary_region!G435</f>
        <v>1.5285787811</v>
      </c>
      <c r="H435">
        <f>[5]trip_summary_region!H435</f>
        <v>5.1700970899999997E-2</v>
      </c>
      <c r="I435" t="s">
        <v>116</v>
      </c>
      <c r="J435" t="str">
        <f>[5]trip_summary_region!J435</f>
        <v>2042/43</v>
      </c>
    </row>
    <row r="436" spans="1:10" x14ac:dyDescent="0.25">
      <c r="A436" t="str">
        <f>[5]trip_summary_region!A436</f>
        <v>06 HAWKE`S BAY</v>
      </c>
      <c r="B436">
        <f>[5]trip_summary_region!B436</f>
        <v>5</v>
      </c>
      <c r="C436">
        <f>[5]trip_summary_region!C436</f>
        <v>2013</v>
      </c>
      <c r="D436">
        <f>[5]trip_summary_region!D436</f>
        <v>6</v>
      </c>
      <c r="E436">
        <f>[5]trip_summary_region!E436</f>
        <v>19</v>
      </c>
      <c r="F436">
        <f>[5]trip_summary_region!F436</f>
        <v>0.65061969099999994</v>
      </c>
      <c r="G436">
        <f>[5]trip_summary_region!G436</f>
        <v>3.0321841239</v>
      </c>
      <c r="H436">
        <f>[5]trip_summary_region!H436</f>
        <v>0.11763194120000001</v>
      </c>
      <c r="I436" t="str">
        <f>[5]trip_summary_region!I436</f>
        <v>Motorcyclist</v>
      </c>
      <c r="J436" t="str">
        <f>[5]trip_summary_region!J436</f>
        <v>2012/13</v>
      </c>
    </row>
    <row r="437" spans="1:10" x14ac:dyDescent="0.25">
      <c r="A437" t="str">
        <f>[5]trip_summary_region!A437</f>
        <v>06 HAWKE`S BAY</v>
      </c>
      <c r="B437">
        <f>[5]trip_summary_region!B437</f>
        <v>5</v>
      </c>
      <c r="C437">
        <f>[5]trip_summary_region!C437</f>
        <v>2018</v>
      </c>
      <c r="D437">
        <f>[5]trip_summary_region!D437</f>
        <v>6</v>
      </c>
      <c r="E437">
        <f>[5]trip_summary_region!E437</f>
        <v>19</v>
      </c>
      <c r="F437">
        <f>[5]trip_summary_region!F437</f>
        <v>0.61577450040000004</v>
      </c>
      <c r="G437">
        <f>[5]trip_summary_region!G437</f>
        <v>3.1470884633999998</v>
      </c>
      <c r="H437">
        <f>[5]trip_summary_region!H437</f>
        <v>0.1125540652</v>
      </c>
      <c r="I437" t="str">
        <f>[5]trip_summary_region!I437</f>
        <v>Motorcyclist</v>
      </c>
      <c r="J437" t="str">
        <f>[5]trip_summary_region!J437</f>
        <v>2017/18</v>
      </c>
    </row>
    <row r="438" spans="1:10" x14ac:dyDescent="0.25">
      <c r="A438" t="str">
        <f>[5]trip_summary_region!A438</f>
        <v>06 HAWKE`S BAY</v>
      </c>
      <c r="B438">
        <f>[5]trip_summary_region!B438</f>
        <v>5</v>
      </c>
      <c r="C438">
        <f>[5]trip_summary_region!C438</f>
        <v>2023</v>
      </c>
      <c r="D438">
        <f>[5]trip_summary_region!D438</f>
        <v>6</v>
      </c>
      <c r="E438">
        <f>[5]trip_summary_region!E438</f>
        <v>19</v>
      </c>
      <c r="F438">
        <f>[5]trip_summary_region!F438</f>
        <v>0.577221863</v>
      </c>
      <c r="G438">
        <f>[5]trip_summary_region!G438</f>
        <v>3.1888436533000002</v>
      </c>
      <c r="H438">
        <f>[5]trip_summary_region!H438</f>
        <v>0.1078638739</v>
      </c>
      <c r="I438" t="str">
        <f>[5]trip_summary_region!I438</f>
        <v>Motorcyclist</v>
      </c>
      <c r="J438" t="str">
        <f>[5]trip_summary_region!J438</f>
        <v>2022/23</v>
      </c>
    </row>
    <row r="439" spans="1:10" x14ac:dyDescent="0.25">
      <c r="A439" t="str">
        <f>[5]trip_summary_region!A439</f>
        <v>06 HAWKE`S BAY</v>
      </c>
      <c r="B439">
        <f>[5]trip_summary_region!B439</f>
        <v>5</v>
      </c>
      <c r="C439">
        <f>[5]trip_summary_region!C439</f>
        <v>2028</v>
      </c>
      <c r="D439">
        <f>[5]trip_summary_region!D439</f>
        <v>6</v>
      </c>
      <c r="E439">
        <f>[5]trip_summary_region!E439</f>
        <v>19</v>
      </c>
      <c r="F439">
        <f>[5]trip_summary_region!F439</f>
        <v>0.55282079679999996</v>
      </c>
      <c r="G439">
        <f>[5]trip_summary_region!G439</f>
        <v>3.0102562057000002</v>
      </c>
      <c r="H439">
        <f>[5]trip_summary_region!H439</f>
        <v>0.1033850835</v>
      </c>
      <c r="I439" t="str">
        <f>[5]trip_summary_region!I439</f>
        <v>Motorcyclist</v>
      </c>
      <c r="J439" t="str">
        <f>[5]trip_summary_region!J439</f>
        <v>2027/28</v>
      </c>
    </row>
    <row r="440" spans="1:10" x14ac:dyDescent="0.25">
      <c r="A440" t="str">
        <f>[5]trip_summary_region!A440</f>
        <v>06 HAWKE`S BAY</v>
      </c>
      <c r="B440">
        <f>[5]trip_summary_region!B440</f>
        <v>5</v>
      </c>
      <c r="C440">
        <f>[5]trip_summary_region!C440</f>
        <v>2033</v>
      </c>
      <c r="D440">
        <f>[5]trip_summary_region!D440</f>
        <v>6</v>
      </c>
      <c r="E440">
        <f>[5]trip_summary_region!E440</f>
        <v>19</v>
      </c>
      <c r="F440">
        <f>[5]trip_summary_region!F440</f>
        <v>0.51548948939999995</v>
      </c>
      <c r="G440">
        <f>[5]trip_summary_region!G440</f>
        <v>2.7843699933999999</v>
      </c>
      <c r="H440">
        <f>[5]trip_summary_region!H440</f>
        <v>9.4683085700000003E-2</v>
      </c>
      <c r="I440" t="str">
        <f>[5]trip_summary_region!I440</f>
        <v>Motorcyclist</v>
      </c>
      <c r="J440" t="str">
        <f>[5]trip_summary_region!J440</f>
        <v>2032/33</v>
      </c>
    </row>
    <row r="441" spans="1:10" x14ac:dyDescent="0.25">
      <c r="A441" t="str">
        <f>[5]trip_summary_region!A441</f>
        <v>06 HAWKE`S BAY</v>
      </c>
      <c r="B441">
        <f>[5]trip_summary_region!B441</f>
        <v>5</v>
      </c>
      <c r="C441">
        <f>[5]trip_summary_region!C441</f>
        <v>2038</v>
      </c>
      <c r="D441">
        <f>[5]trip_summary_region!D441</f>
        <v>6</v>
      </c>
      <c r="E441">
        <f>[5]trip_summary_region!E441</f>
        <v>19</v>
      </c>
      <c r="F441">
        <f>[5]trip_summary_region!F441</f>
        <v>0.47477909750000002</v>
      </c>
      <c r="G441">
        <f>[5]trip_summary_region!G441</f>
        <v>2.6252733485999999</v>
      </c>
      <c r="H441">
        <f>[5]trip_summary_region!H441</f>
        <v>8.8572250800000002E-2</v>
      </c>
      <c r="I441" t="str">
        <f>[5]trip_summary_region!I441</f>
        <v>Motorcyclist</v>
      </c>
      <c r="J441" t="str">
        <f>[5]trip_summary_region!J441</f>
        <v>2037/38</v>
      </c>
    </row>
    <row r="442" spans="1:10" x14ac:dyDescent="0.25">
      <c r="A442" t="str">
        <f>[5]trip_summary_region!A442</f>
        <v>06 HAWKE`S BAY</v>
      </c>
      <c r="B442">
        <f>[5]trip_summary_region!B442</f>
        <v>5</v>
      </c>
      <c r="C442">
        <f>[5]trip_summary_region!C442</f>
        <v>2043</v>
      </c>
      <c r="D442">
        <f>[5]trip_summary_region!D442</f>
        <v>6</v>
      </c>
      <c r="E442">
        <f>[5]trip_summary_region!E442</f>
        <v>19</v>
      </c>
      <c r="F442">
        <f>[5]trip_summary_region!F442</f>
        <v>0.43350243700000002</v>
      </c>
      <c r="G442">
        <f>[5]trip_summary_region!G442</f>
        <v>2.4749209025000001</v>
      </c>
      <c r="H442">
        <f>[5]trip_summary_region!H442</f>
        <v>8.2458415800000004E-2</v>
      </c>
      <c r="I442" t="str">
        <f>[5]trip_summary_region!I442</f>
        <v>Motorcyclist</v>
      </c>
      <c r="J442" t="str">
        <f>[5]trip_summary_region!J442</f>
        <v>2042/43</v>
      </c>
    </row>
    <row r="443" spans="1:10" x14ac:dyDescent="0.25">
      <c r="A443" t="str">
        <f>[5]trip_summary_region!A443</f>
        <v>06 HAWKE`S BAY</v>
      </c>
      <c r="B443">
        <f>[5]trip_summary_region!B443</f>
        <v>7</v>
      </c>
      <c r="C443">
        <f>[5]trip_summary_region!C443</f>
        <v>2013</v>
      </c>
      <c r="D443">
        <f>[5]trip_summary_region!D443</f>
        <v>50</v>
      </c>
      <c r="E443">
        <f>[5]trip_summary_region!E443</f>
        <v>142</v>
      </c>
      <c r="F443">
        <f>[5]trip_summary_region!F443</f>
        <v>4.5218645043999999</v>
      </c>
      <c r="G443">
        <f>[5]trip_summary_region!G443</f>
        <v>39.591997026999998</v>
      </c>
      <c r="H443">
        <f>[5]trip_summary_region!H443</f>
        <v>1.3660147812000001</v>
      </c>
      <c r="I443" t="str">
        <f>[5]trip_summary_region!I443</f>
        <v>Local Bus</v>
      </c>
      <c r="J443" t="str">
        <f>[5]trip_summary_region!J443</f>
        <v>2012/13</v>
      </c>
    </row>
    <row r="444" spans="1:10" x14ac:dyDescent="0.25">
      <c r="A444" t="str">
        <f>[5]trip_summary_region!A444</f>
        <v>06 HAWKE`S BAY</v>
      </c>
      <c r="B444">
        <f>[5]trip_summary_region!B444</f>
        <v>7</v>
      </c>
      <c r="C444">
        <f>[5]trip_summary_region!C444</f>
        <v>2018</v>
      </c>
      <c r="D444">
        <f>[5]trip_summary_region!D444</f>
        <v>50</v>
      </c>
      <c r="E444">
        <f>[5]trip_summary_region!E444</f>
        <v>142</v>
      </c>
      <c r="F444">
        <f>[5]trip_summary_region!F444</f>
        <v>4.4607048811999999</v>
      </c>
      <c r="G444">
        <f>[5]trip_summary_region!G444</f>
        <v>38.035323120999998</v>
      </c>
      <c r="H444">
        <f>[5]trip_summary_region!H444</f>
        <v>1.3544011966</v>
      </c>
      <c r="I444" t="str">
        <f>[5]trip_summary_region!I444</f>
        <v>Local Bus</v>
      </c>
      <c r="J444" t="str">
        <f>[5]trip_summary_region!J444</f>
        <v>2017/18</v>
      </c>
    </row>
    <row r="445" spans="1:10" x14ac:dyDescent="0.25">
      <c r="A445" t="str">
        <f>[5]trip_summary_region!A445</f>
        <v>06 HAWKE`S BAY</v>
      </c>
      <c r="B445">
        <f>[5]trip_summary_region!B445</f>
        <v>7</v>
      </c>
      <c r="C445">
        <f>[5]trip_summary_region!C445</f>
        <v>2023</v>
      </c>
      <c r="D445">
        <f>[5]trip_summary_region!D445</f>
        <v>50</v>
      </c>
      <c r="E445">
        <f>[5]trip_summary_region!E445</f>
        <v>142</v>
      </c>
      <c r="F445">
        <f>[5]trip_summary_region!F445</f>
        <v>4.4100952614000004</v>
      </c>
      <c r="G445">
        <f>[5]trip_summary_region!G445</f>
        <v>36.712064374999997</v>
      </c>
      <c r="H445">
        <f>[5]trip_summary_region!H445</f>
        <v>1.3449300063</v>
      </c>
      <c r="I445" t="str">
        <f>[5]trip_summary_region!I445</f>
        <v>Local Bus</v>
      </c>
      <c r="J445" t="str">
        <f>[5]trip_summary_region!J445</f>
        <v>2022/23</v>
      </c>
    </row>
    <row r="446" spans="1:10" x14ac:dyDescent="0.25">
      <c r="A446" t="str">
        <f>[5]trip_summary_region!A446</f>
        <v>06 HAWKE`S BAY</v>
      </c>
      <c r="B446">
        <f>[5]trip_summary_region!B446</f>
        <v>7</v>
      </c>
      <c r="C446">
        <f>[5]trip_summary_region!C446</f>
        <v>2028</v>
      </c>
      <c r="D446">
        <f>[5]trip_summary_region!D446</f>
        <v>50</v>
      </c>
      <c r="E446">
        <f>[5]trip_summary_region!E446</f>
        <v>142</v>
      </c>
      <c r="F446">
        <f>[5]trip_summary_region!F446</f>
        <v>4.4172247625000001</v>
      </c>
      <c r="G446">
        <f>[5]trip_summary_region!G446</f>
        <v>36.770764001000003</v>
      </c>
      <c r="H446">
        <f>[5]trip_summary_region!H446</f>
        <v>1.3486397030999999</v>
      </c>
      <c r="I446" t="str">
        <f>[5]trip_summary_region!I446</f>
        <v>Local Bus</v>
      </c>
      <c r="J446" t="str">
        <f>[5]trip_summary_region!J446</f>
        <v>2027/28</v>
      </c>
    </row>
    <row r="447" spans="1:10" x14ac:dyDescent="0.25">
      <c r="A447" t="str">
        <f>[5]trip_summary_region!A447</f>
        <v>06 HAWKE`S BAY</v>
      </c>
      <c r="B447">
        <f>[5]trip_summary_region!B447</f>
        <v>7</v>
      </c>
      <c r="C447">
        <f>[5]trip_summary_region!C447</f>
        <v>2033</v>
      </c>
      <c r="D447">
        <f>[5]trip_summary_region!D447</f>
        <v>50</v>
      </c>
      <c r="E447">
        <f>[5]trip_summary_region!E447</f>
        <v>142</v>
      </c>
      <c r="F447">
        <f>[5]trip_summary_region!F447</f>
        <v>4.2669626844000001</v>
      </c>
      <c r="G447">
        <f>[5]trip_summary_region!G447</f>
        <v>35.534913803000002</v>
      </c>
      <c r="H447">
        <f>[5]trip_summary_region!H447</f>
        <v>1.3004854295999999</v>
      </c>
      <c r="I447" t="str">
        <f>[5]trip_summary_region!I447</f>
        <v>Local Bus</v>
      </c>
      <c r="J447" t="str">
        <f>[5]trip_summary_region!J447</f>
        <v>2032/33</v>
      </c>
    </row>
    <row r="448" spans="1:10" x14ac:dyDescent="0.25">
      <c r="A448" t="str">
        <f>[5]trip_summary_region!A448</f>
        <v>06 HAWKE`S BAY</v>
      </c>
      <c r="B448">
        <f>[5]trip_summary_region!B448</f>
        <v>7</v>
      </c>
      <c r="C448">
        <f>[5]trip_summary_region!C448</f>
        <v>2038</v>
      </c>
      <c r="D448">
        <f>[5]trip_summary_region!D448</f>
        <v>50</v>
      </c>
      <c r="E448">
        <f>[5]trip_summary_region!E448</f>
        <v>142</v>
      </c>
      <c r="F448">
        <f>[5]trip_summary_region!F448</f>
        <v>4.2079333999999999</v>
      </c>
      <c r="G448">
        <f>[5]trip_summary_region!G448</f>
        <v>35.101439718000002</v>
      </c>
      <c r="H448">
        <f>[5]trip_summary_region!H448</f>
        <v>1.2835044789000001</v>
      </c>
      <c r="I448" t="str">
        <f>[5]trip_summary_region!I448</f>
        <v>Local Bus</v>
      </c>
      <c r="J448" t="str">
        <f>[5]trip_summary_region!J448</f>
        <v>2037/38</v>
      </c>
    </row>
    <row r="449" spans="1:10" x14ac:dyDescent="0.25">
      <c r="A449" t="str">
        <f>[5]trip_summary_region!A449</f>
        <v>06 HAWKE`S BAY</v>
      </c>
      <c r="B449">
        <f>[5]trip_summary_region!B449</f>
        <v>7</v>
      </c>
      <c r="C449">
        <f>[5]trip_summary_region!C449</f>
        <v>2043</v>
      </c>
      <c r="D449">
        <f>[5]trip_summary_region!D449</f>
        <v>50</v>
      </c>
      <c r="E449">
        <f>[5]trip_summary_region!E449</f>
        <v>142</v>
      </c>
      <c r="F449">
        <f>[5]trip_summary_region!F449</f>
        <v>4.1231029353000004</v>
      </c>
      <c r="G449">
        <f>[5]trip_summary_region!G449</f>
        <v>34.470171174999997</v>
      </c>
      <c r="H449">
        <f>[5]trip_summary_region!H449</f>
        <v>1.2580087369999999</v>
      </c>
      <c r="I449" t="str">
        <f>[5]trip_summary_region!I449</f>
        <v>Local Bus</v>
      </c>
      <c r="J449" t="str">
        <f>[5]trip_summary_region!J449</f>
        <v>2042/43</v>
      </c>
    </row>
    <row r="450" spans="1:10" x14ac:dyDescent="0.25">
      <c r="A450" t="str">
        <f>[5]trip_summary_region!A450</f>
        <v>06 HAWKE`S BAY</v>
      </c>
      <c r="B450">
        <f>[5]trip_summary_region!B450</f>
        <v>9</v>
      </c>
      <c r="C450">
        <f>[5]trip_summary_region!C450</f>
        <v>2013</v>
      </c>
      <c r="D450">
        <f>[5]trip_summary_region!D450</f>
        <v>3</v>
      </c>
      <c r="E450">
        <f>[5]trip_summary_region!E450</f>
        <v>10</v>
      </c>
      <c r="F450">
        <f>[5]trip_summary_region!F450</f>
        <v>0.49138149730000003</v>
      </c>
      <c r="G450">
        <f>[5]trip_summary_region!G450</f>
        <v>0</v>
      </c>
      <c r="H450">
        <f>[5]trip_summary_region!H450</f>
        <v>0.15778150060000001</v>
      </c>
      <c r="I450" t="str">
        <f>[5]trip_summary_region!I450</f>
        <v>Other Household Travel</v>
      </c>
      <c r="J450" t="str">
        <f>[5]trip_summary_region!J450</f>
        <v>2012/13</v>
      </c>
    </row>
    <row r="451" spans="1:10" x14ac:dyDescent="0.25">
      <c r="A451" t="str">
        <f>[5]trip_summary_region!A451</f>
        <v>06 HAWKE`S BAY</v>
      </c>
      <c r="B451">
        <f>[5]trip_summary_region!B451</f>
        <v>9</v>
      </c>
      <c r="C451">
        <f>[5]trip_summary_region!C451</f>
        <v>2018</v>
      </c>
      <c r="D451">
        <f>[5]trip_summary_region!D451</f>
        <v>3</v>
      </c>
      <c r="E451">
        <f>[5]trip_summary_region!E451</f>
        <v>10</v>
      </c>
      <c r="F451">
        <f>[5]trip_summary_region!F451</f>
        <v>0.52685948049999998</v>
      </c>
      <c r="G451">
        <f>[5]trip_summary_region!G451</f>
        <v>0</v>
      </c>
      <c r="H451">
        <f>[5]trip_summary_region!H451</f>
        <v>0.16557927610000001</v>
      </c>
      <c r="I451" t="str">
        <f>[5]trip_summary_region!I451</f>
        <v>Other Household Travel</v>
      </c>
      <c r="J451" t="str">
        <f>[5]trip_summary_region!J451</f>
        <v>2017/18</v>
      </c>
    </row>
    <row r="452" spans="1:10" x14ac:dyDescent="0.25">
      <c r="A452" t="str">
        <f>[5]trip_summary_region!A452</f>
        <v>06 HAWKE`S BAY</v>
      </c>
      <c r="B452">
        <f>[5]trip_summary_region!B452</f>
        <v>9</v>
      </c>
      <c r="C452">
        <f>[5]trip_summary_region!C452</f>
        <v>2023</v>
      </c>
      <c r="D452">
        <f>[5]trip_summary_region!D452</f>
        <v>3</v>
      </c>
      <c r="E452">
        <f>[5]trip_summary_region!E452</f>
        <v>10</v>
      </c>
      <c r="F452">
        <f>[5]trip_summary_region!F452</f>
        <v>0.60921790809999998</v>
      </c>
      <c r="G452">
        <f>[5]trip_summary_region!G452</f>
        <v>0</v>
      </c>
      <c r="H452">
        <f>[5]trip_summary_region!H452</f>
        <v>0.18742793930000001</v>
      </c>
      <c r="I452" t="str">
        <f>[5]trip_summary_region!I452</f>
        <v>Other Household Travel</v>
      </c>
      <c r="J452" t="str">
        <f>[5]trip_summary_region!J452</f>
        <v>2022/23</v>
      </c>
    </row>
    <row r="453" spans="1:10" x14ac:dyDescent="0.25">
      <c r="A453" t="str">
        <f>[5]trip_summary_region!A453</f>
        <v>06 HAWKE`S BAY</v>
      </c>
      <c r="B453">
        <f>[5]trip_summary_region!B453</f>
        <v>9</v>
      </c>
      <c r="C453">
        <f>[5]trip_summary_region!C453</f>
        <v>2028</v>
      </c>
      <c r="D453">
        <f>[5]trip_summary_region!D453</f>
        <v>3</v>
      </c>
      <c r="E453">
        <f>[5]trip_summary_region!E453</f>
        <v>10</v>
      </c>
      <c r="F453">
        <f>[5]trip_summary_region!F453</f>
        <v>0.7131821572</v>
      </c>
      <c r="G453">
        <f>[5]trip_summary_region!G453</f>
        <v>0</v>
      </c>
      <c r="H453">
        <f>[5]trip_summary_region!H453</f>
        <v>0.2139732204</v>
      </c>
      <c r="I453" t="str">
        <f>[5]trip_summary_region!I453</f>
        <v>Other Household Travel</v>
      </c>
      <c r="J453" t="str">
        <f>[5]trip_summary_region!J453</f>
        <v>2027/28</v>
      </c>
    </row>
    <row r="454" spans="1:10" x14ac:dyDescent="0.25">
      <c r="A454" t="str">
        <f>[5]trip_summary_region!A454</f>
        <v>06 HAWKE`S BAY</v>
      </c>
      <c r="B454">
        <f>[5]trip_summary_region!B454</f>
        <v>9</v>
      </c>
      <c r="C454">
        <f>[5]trip_summary_region!C454</f>
        <v>2033</v>
      </c>
      <c r="D454">
        <f>[5]trip_summary_region!D454</f>
        <v>3</v>
      </c>
      <c r="E454">
        <f>[5]trip_summary_region!E454</f>
        <v>10</v>
      </c>
      <c r="F454">
        <f>[5]trip_summary_region!F454</f>
        <v>0.79721437640000004</v>
      </c>
      <c r="G454">
        <f>[5]trip_summary_region!G454</f>
        <v>0</v>
      </c>
      <c r="H454">
        <f>[5]trip_summary_region!H454</f>
        <v>0.23354020640000001</v>
      </c>
      <c r="I454" t="str">
        <f>[5]trip_summary_region!I454</f>
        <v>Other Household Travel</v>
      </c>
      <c r="J454" t="str">
        <f>[5]trip_summary_region!J454</f>
        <v>2032/33</v>
      </c>
    </row>
    <row r="455" spans="1:10" x14ac:dyDescent="0.25">
      <c r="A455" t="str">
        <f>[5]trip_summary_region!A455</f>
        <v>06 HAWKE`S BAY</v>
      </c>
      <c r="B455">
        <f>[5]trip_summary_region!B455</f>
        <v>9</v>
      </c>
      <c r="C455">
        <f>[5]trip_summary_region!C455</f>
        <v>2038</v>
      </c>
      <c r="D455">
        <f>[5]trip_summary_region!D455</f>
        <v>3</v>
      </c>
      <c r="E455">
        <f>[5]trip_summary_region!E455</f>
        <v>10</v>
      </c>
      <c r="F455">
        <f>[5]trip_summary_region!F455</f>
        <v>0.89059539619999994</v>
      </c>
      <c r="G455">
        <f>[5]trip_summary_region!G455</f>
        <v>0</v>
      </c>
      <c r="H455">
        <f>[5]trip_summary_region!H455</f>
        <v>0.25765342320000001</v>
      </c>
      <c r="I455" t="str">
        <f>[5]trip_summary_region!I455</f>
        <v>Other Household Travel</v>
      </c>
      <c r="J455" t="str">
        <f>[5]trip_summary_region!J455</f>
        <v>2037/38</v>
      </c>
    </row>
    <row r="456" spans="1:10" x14ac:dyDescent="0.25">
      <c r="A456" t="str">
        <f>[5]trip_summary_region!A456</f>
        <v>06 HAWKE`S BAY</v>
      </c>
      <c r="B456">
        <f>[5]trip_summary_region!B456</f>
        <v>9</v>
      </c>
      <c r="C456">
        <f>[5]trip_summary_region!C456</f>
        <v>2043</v>
      </c>
      <c r="D456">
        <f>[5]trip_summary_region!D456</f>
        <v>3</v>
      </c>
      <c r="E456">
        <f>[5]trip_summary_region!E456</f>
        <v>10</v>
      </c>
      <c r="F456">
        <f>[5]trip_summary_region!F456</f>
        <v>0.98573371649999997</v>
      </c>
      <c r="G456">
        <f>[5]trip_summary_region!G456</f>
        <v>0</v>
      </c>
      <c r="H456">
        <f>[5]trip_summary_region!H456</f>
        <v>0.28228127980000001</v>
      </c>
      <c r="I456" t="str">
        <f>[5]trip_summary_region!I456</f>
        <v>Other Household Travel</v>
      </c>
      <c r="J456" t="str">
        <f>[5]trip_summary_region!J456</f>
        <v>2042/43</v>
      </c>
    </row>
    <row r="457" spans="1:10" x14ac:dyDescent="0.25">
      <c r="A457" t="str">
        <f>[5]trip_summary_region!A457</f>
        <v>06 HAWKE`S BAY</v>
      </c>
      <c r="B457">
        <f>[5]trip_summary_region!B457</f>
        <v>10</v>
      </c>
      <c r="C457">
        <f>[5]trip_summary_region!C457</f>
        <v>2013</v>
      </c>
      <c r="D457">
        <f>[5]trip_summary_region!D457</f>
        <v>3</v>
      </c>
      <c r="E457">
        <f>[5]trip_summary_region!E457</f>
        <v>5</v>
      </c>
      <c r="F457">
        <f>[5]trip_summary_region!F457</f>
        <v>0.36260942909999999</v>
      </c>
      <c r="G457">
        <f>[5]trip_summary_region!G457</f>
        <v>56.865163273</v>
      </c>
      <c r="H457">
        <f>[5]trip_summary_region!H457</f>
        <v>0.96259589999999995</v>
      </c>
      <c r="I457" t="str">
        <f>[5]trip_summary_region!I457</f>
        <v>Air/Non-Local PT</v>
      </c>
      <c r="J457" t="str">
        <f>[5]trip_summary_region!J457</f>
        <v>2012/13</v>
      </c>
    </row>
    <row r="458" spans="1:10" x14ac:dyDescent="0.25">
      <c r="A458" t="str">
        <f>[5]trip_summary_region!A458</f>
        <v>06 HAWKE`S BAY</v>
      </c>
      <c r="B458">
        <f>[5]trip_summary_region!B458</f>
        <v>10</v>
      </c>
      <c r="C458">
        <f>[5]trip_summary_region!C458</f>
        <v>2018</v>
      </c>
      <c r="D458">
        <f>[5]trip_summary_region!D458</f>
        <v>3</v>
      </c>
      <c r="E458">
        <f>[5]trip_summary_region!E458</f>
        <v>5</v>
      </c>
      <c r="F458">
        <f>[5]trip_summary_region!F458</f>
        <v>0.40724406400000002</v>
      </c>
      <c r="G458">
        <f>[5]trip_summary_region!G458</f>
        <v>63.508635699999999</v>
      </c>
      <c r="H458">
        <f>[5]trip_summary_region!H458</f>
        <v>1.0774162499</v>
      </c>
      <c r="I458" t="str">
        <f>[5]trip_summary_region!I458</f>
        <v>Air/Non-Local PT</v>
      </c>
      <c r="J458" t="str">
        <f>[5]trip_summary_region!J458</f>
        <v>2017/18</v>
      </c>
    </row>
    <row r="459" spans="1:10" x14ac:dyDescent="0.25">
      <c r="A459" t="str">
        <f>[5]trip_summary_region!A459</f>
        <v>06 HAWKE`S BAY</v>
      </c>
      <c r="B459">
        <f>[5]trip_summary_region!B459</f>
        <v>10</v>
      </c>
      <c r="C459">
        <f>[5]trip_summary_region!C459</f>
        <v>2023</v>
      </c>
      <c r="D459">
        <f>[5]trip_summary_region!D459</f>
        <v>3</v>
      </c>
      <c r="E459">
        <f>[5]trip_summary_region!E459</f>
        <v>5</v>
      </c>
      <c r="F459">
        <f>[5]trip_summary_region!F459</f>
        <v>0.4270829692</v>
      </c>
      <c r="G459">
        <f>[5]trip_summary_region!G459</f>
        <v>65.819938144000005</v>
      </c>
      <c r="H459">
        <f>[5]trip_summary_region!H459</f>
        <v>1.1213505067</v>
      </c>
      <c r="I459" t="str">
        <f>[5]trip_summary_region!I459</f>
        <v>Air/Non-Local PT</v>
      </c>
      <c r="J459" t="str">
        <f>[5]trip_summary_region!J459</f>
        <v>2022/23</v>
      </c>
    </row>
    <row r="460" spans="1:10" x14ac:dyDescent="0.25">
      <c r="A460" t="str">
        <f>[5]trip_summary_region!A460</f>
        <v>06 HAWKE`S BAY</v>
      </c>
      <c r="B460">
        <f>[5]trip_summary_region!B460</f>
        <v>10</v>
      </c>
      <c r="C460">
        <f>[5]trip_summary_region!C460</f>
        <v>2028</v>
      </c>
      <c r="D460">
        <f>[5]trip_summary_region!D460</f>
        <v>3</v>
      </c>
      <c r="E460">
        <f>[5]trip_summary_region!E460</f>
        <v>5</v>
      </c>
      <c r="F460">
        <f>[5]trip_summary_region!F460</f>
        <v>0.41769314219999998</v>
      </c>
      <c r="G460">
        <f>[5]trip_summary_region!G460</f>
        <v>64.037845982999997</v>
      </c>
      <c r="H460">
        <f>[5]trip_summary_region!H460</f>
        <v>1.0924113896000001</v>
      </c>
      <c r="I460" t="str">
        <f>[5]trip_summary_region!I460</f>
        <v>Air/Non-Local PT</v>
      </c>
      <c r="J460" t="str">
        <f>[5]trip_summary_region!J460</f>
        <v>2027/28</v>
      </c>
    </row>
    <row r="461" spans="1:10" x14ac:dyDescent="0.25">
      <c r="A461" t="str">
        <f>[5]trip_summary_region!A461</f>
        <v>06 HAWKE`S BAY</v>
      </c>
      <c r="B461">
        <f>[5]trip_summary_region!B461</f>
        <v>10</v>
      </c>
      <c r="C461">
        <f>[5]trip_summary_region!C461</f>
        <v>2033</v>
      </c>
      <c r="D461">
        <f>[5]trip_summary_region!D461</f>
        <v>3</v>
      </c>
      <c r="E461">
        <f>[5]trip_summary_region!E461</f>
        <v>5</v>
      </c>
      <c r="F461">
        <f>[5]trip_summary_region!F461</f>
        <v>0.40544398590000003</v>
      </c>
      <c r="G461">
        <f>[5]trip_summary_region!G461</f>
        <v>61.649101404</v>
      </c>
      <c r="H461">
        <f>[5]trip_summary_region!H461</f>
        <v>1.0550207791999999</v>
      </c>
      <c r="I461" t="str">
        <f>[5]trip_summary_region!I461</f>
        <v>Air/Non-Local PT</v>
      </c>
      <c r="J461" t="str">
        <f>[5]trip_summary_region!J461</f>
        <v>2032/33</v>
      </c>
    </row>
    <row r="462" spans="1:10" x14ac:dyDescent="0.25">
      <c r="A462" t="str">
        <f>[5]trip_summary_region!A462</f>
        <v>06 HAWKE`S BAY</v>
      </c>
      <c r="B462">
        <f>[5]trip_summary_region!B462</f>
        <v>10</v>
      </c>
      <c r="C462">
        <f>[5]trip_summary_region!C462</f>
        <v>2038</v>
      </c>
      <c r="D462">
        <f>[5]trip_summary_region!D462</f>
        <v>3</v>
      </c>
      <c r="E462">
        <f>[5]trip_summary_region!E462</f>
        <v>5</v>
      </c>
      <c r="F462">
        <f>[5]trip_summary_region!F462</f>
        <v>0.40044310500000002</v>
      </c>
      <c r="G462">
        <f>[5]trip_summary_region!G462</f>
        <v>62.295452337999997</v>
      </c>
      <c r="H462">
        <f>[5]trip_summary_region!H462</f>
        <v>1.0564085158000001</v>
      </c>
      <c r="I462" t="str">
        <f>[5]trip_summary_region!I462</f>
        <v>Air/Non-Local PT</v>
      </c>
      <c r="J462" t="str">
        <f>[5]trip_summary_region!J462</f>
        <v>2037/38</v>
      </c>
    </row>
    <row r="463" spans="1:10" x14ac:dyDescent="0.25">
      <c r="A463" t="str">
        <f>[5]trip_summary_region!A463</f>
        <v>06 HAWKE`S BAY</v>
      </c>
      <c r="B463">
        <f>[5]trip_summary_region!B463</f>
        <v>10</v>
      </c>
      <c r="C463">
        <f>[5]trip_summary_region!C463</f>
        <v>2043</v>
      </c>
      <c r="D463">
        <f>[5]trip_summary_region!D463</f>
        <v>3</v>
      </c>
      <c r="E463">
        <f>[5]trip_summary_region!E463</f>
        <v>5</v>
      </c>
      <c r="F463">
        <f>[5]trip_summary_region!F463</f>
        <v>0.39161066839999997</v>
      </c>
      <c r="G463">
        <f>[5]trip_summary_region!G463</f>
        <v>62.339253394000004</v>
      </c>
      <c r="H463">
        <f>[5]trip_summary_region!H463</f>
        <v>1.0476136737999999</v>
      </c>
      <c r="I463" t="str">
        <f>[5]trip_summary_region!I463</f>
        <v>Air/Non-Local PT</v>
      </c>
      <c r="J463" t="str">
        <f>[5]trip_summary_region!J463</f>
        <v>2042/43</v>
      </c>
    </row>
    <row r="464" spans="1:10" x14ac:dyDescent="0.25">
      <c r="A464" t="str">
        <f>[5]trip_summary_region!A464</f>
        <v>06 HAWKE`S BAY</v>
      </c>
      <c r="B464">
        <f>[5]trip_summary_region!B464</f>
        <v>11</v>
      </c>
      <c r="C464">
        <f>[5]trip_summary_region!C464</f>
        <v>2013</v>
      </c>
      <c r="D464">
        <f>[5]trip_summary_region!D464</f>
        <v>8</v>
      </c>
      <c r="E464">
        <f>[5]trip_summary_region!E464</f>
        <v>27</v>
      </c>
      <c r="F464">
        <f>[5]trip_summary_region!F464</f>
        <v>0.84253347339999995</v>
      </c>
      <c r="G464">
        <f>[5]trip_summary_region!G464</f>
        <v>31.621733808999998</v>
      </c>
      <c r="H464">
        <f>[5]trip_summary_region!H464</f>
        <v>0.62196297879999995</v>
      </c>
      <c r="I464" t="str">
        <f>[5]trip_summary_region!I464</f>
        <v>Non-Household Travel</v>
      </c>
      <c r="J464" t="str">
        <f>[5]trip_summary_region!J464</f>
        <v>2012/13</v>
      </c>
    </row>
    <row r="465" spans="1:10" x14ac:dyDescent="0.25">
      <c r="A465" t="str">
        <f>[5]trip_summary_region!A465</f>
        <v>06 HAWKE`S BAY</v>
      </c>
      <c r="B465">
        <f>[5]trip_summary_region!B465</f>
        <v>11</v>
      </c>
      <c r="C465">
        <f>[5]trip_summary_region!C465</f>
        <v>2018</v>
      </c>
      <c r="D465">
        <f>[5]trip_summary_region!D465</f>
        <v>8</v>
      </c>
      <c r="E465">
        <f>[5]trip_summary_region!E465</f>
        <v>27</v>
      </c>
      <c r="F465">
        <f>[5]trip_summary_region!F465</f>
        <v>0.9532945746</v>
      </c>
      <c r="G465">
        <f>[5]trip_summary_region!G465</f>
        <v>36.919926830999998</v>
      </c>
      <c r="H465">
        <f>[5]trip_summary_region!H465</f>
        <v>0.72287574229999996</v>
      </c>
      <c r="I465" t="str">
        <f>[5]trip_summary_region!I465</f>
        <v>Non-Household Travel</v>
      </c>
      <c r="J465" t="str">
        <f>[5]trip_summary_region!J465</f>
        <v>2017/18</v>
      </c>
    </row>
    <row r="466" spans="1:10" x14ac:dyDescent="0.25">
      <c r="A466" t="str">
        <f>[5]trip_summary_region!A466</f>
        <v>06 HAWKE`S BAY</v>
      </c>
      <c r="B466">
        <f>[5]trip_summary_region!B466</f>
        <v>11</v>
      </c>
      <c r="C466">
        <f>[5]trip_summary_region!C466</f>
        <v>2023</v>
      </c>
      <c r="D466">
        <f>[5]trip_summary_region!D466</f>
        <v>8</v>
      </c>
      <c r="E466">
        <f>[5]trip_summary_region!E466</f>
        <v>27</v>
      </c>
      <c r="F466">
        <f>[5]trip_summary_region!F466</f>
        <v>1.0359565143</v>
      </c>
      <c r="G466">
        <f>[5]trip_summary_region!G466</f>
        <v>39.901408740000001</v>
      </c>
      <c r="H466">
        <f>[5]trip_summary_region!H466</f>
        <v>0.7868554311</v>
      </c>
      <c r="I466" t="str">
        <f>[5]trip_summary_region!I466</f>
        <v>Non-Household Travel</v>
      </c>
      <c r="J466" t="str">
        <f>[5]trip_summary_region!J466</f>
        <v>2022/23</v>
      </c>
    </row>
    <row r="467" spans="1:10" x14ac:dyDescent="0.25">
      <c r="A467" t="str">
        <f>[5]trip_summary_region!A467</f>
        <v>06 HAWKE`S BAY</v>
      </c>
      <c r="B467">
        <f>[5]trip_summary_region!B467</f>
        <v>11</v>
      </c>
      <c r="C467">
        <f>[5]trip_summary_region!C467</f>
        <v>2028</v>
      </c>
      <c r="D467">
        <f>[5]trip_summary_region!D467</f>
        <v>8</v>
      </c>
      <c r="E467">
        <f>[5]trip_summary_region!E467</f>
        <v>27</v>
      </c>
      <c r="F467">
        <f>[5]trip_summary_region!F467</f>
        <v>1.1022083997000001</v>
      </c>
      <c r="G467">
        <f>[5]trip_summary_region!G467</f>
        <v>39.913187131000001</v>
      </c>
      <c r="H467">
        <f>[5]trip_summary_region!H467</f>
        <v>0.80798844970000006</v>
      </c>
      <c r="I467" t="str">
        <f>[5]trip_summary_region!I467</f>
        <v>Non-Household Travel</v>
      </c>
      <c r="J467" t="str">
        <f>[5]trip_summary_region!J467</f>
        <v>2027/28</v>
      </c>
    </row>
    <row r="468" spans="1:10" x14ac:dyDescent="0.25">
      <c r="A468" t="str">
        <f>[5]trip_summary_region!A468</f>
        <v>06 HAWKE`S BAY</v>
      </c>
      <c r="B468">
        <f>[5]trip_summary_region!B468</f>
        <v>11</v>
      </c>
      <c r="C468">
        <f>[5]trip_summary_region!C468</f>
        <v>2033</v>
      </c>
      <c r="D468">
        <f>[5]trip_summary_region!D468</f>
        <v>8</v>
      </c>
      <c r="E468">
        <f>[5]trip_summary_region!E468</f>
        <v>27</v>
      </c>
      <c r="F468">
        <f>[5]trip_summary_region!F468</f>
        <v>1.1479130124000001</v>
      </c>
      <c r="G468">
        <f>[5]trip_summary_region!G468</f>
        <v>40.269540558999999</v>
      </c>
      <c r="H468">
        <f>[5]trip_summary_region!H468</f>
        <v>0.83018581759999999</v>
      </c>
      <c r="I468" t="str">
        <f>[5]trip_summary_region!I468</f>
        <v>Non-Household Travel</v>
      </c>
      <c r="J468" t="str">
        <f>[5]trip_summary_region!J468</f>
        <v>2032/33</v>
      </c>
    </row>
    <row r="469" spans="1:10" x14ac:dyDescent="0.25">
      <c r="A469" t="str">
        <f>[5]trip_summary_region!A469</f>
        <v>06 HAWKE`S BAY</v>
      </c>
      <c r="B469">
        <f>[5]trip_summary_region!B469</f>
        <v>11</v>
      </c>
      <c r="C469">
        <f>[5]trip_summary_region!C469</f>
        <v>2038</v>
      </c>
      <c r="D469">
        <f>[5]trip_summary_region!D469</f>
        <v>8</v>
      </c>
      <c r="E469">
        <f>[5]trip_summary_region!E469</f>
        <v>27</v>
      </c>
      <c r="F469">
        <f>[5]trip_summary_region!F469</f>
        <v>1.2054335355000001</v>
      </c>
      <c r="G469">
        <f>[5]trip_summary_region!G469</f>
        <v>41.449128305999999</v>
      </c>
      <c r="H469">
        <f>[5]trip_summary_region!H469</f>
        <v>0.86709079479999995</v>
      </c>
      <c r="I469" t="str">
        <f>[5]trip_summary_region!I469</f>
        <v>Non-Household Travel</v>
      </c>
      <c r="J469" t="str">
        <f>[5]trip_summary_region!J469</f>
        <v>2037/38</v>
      </c>
    </row>
    <row r="470" spans="1:10" x14ac:dyDescent="0.25">
      <c r="A470" t="str">
        <f>[5]trip_summary_region!A470</f>
        <v>06 HAWKE`S BAY</v>
      </c>
      <c r="B470">
        <f>[5]trip_summary_region!B470</f>
        <v>11</v>
      </c>
      <c r="C470">
        <f>[5]trip_summary_region!C470</f>
        <v>2043</v>
      </c>
      <c r="D470">
        <f>[5]trip_summary_region!D470</f>
        <v>8</v>
      </c>
      <c r="E470">
        <f>[5]trip_summary_region!E470</f>
        <v>27</v>
      </c>
      <c r="F470">
        <f>[5]trip_summary_region!F470</f>
        <v>1.2589719690000001</v>
      </c>
      <c r="G470">
        <f>[5]trip_summary_region!G470</f>
        <v>42.58301093</v>
      </c>
      <c r="H470">
        <f>[5]trip_summary_region!H470</f>
        <v>0.90271286529999994</v>
      </c>
      <c r="I470" t="str">
        <f>[5]trip_summary_region!I470</f>
        <v>Non-Household Travel</v>
      </c>
      <c r="J470" t="str">
        <f>[5]trip_summary_region!J470</f>
        <v>2042/43</v>
      </c>
    </row>
    <row r="471" spans="1:10" x14ac:dyDescent="0.25">
      <c r="A471" t="str">
        <f>[5]trip_summary_region!A471</f>
        <v>07 TARANAKI</v>
      </c>
      <c r="B471">
        <f>[5]trip_summary_region!B471</f>
        <v>0</v>
      </c>
      <c r="C471">
        <f>[5]trip_summary_region!C471</f>
        <v>2013</v>
      </c>
      <c r="D471">
        <f>[5]trip_summary_region!D471</f>
        <v>314</v>
      </c>
      <c r="E471">
        <f>[5]trip_summary_region!E471</f>
        <v>1091</v>
      </c>
      <c r="F471">
        <f>[5]trip_summary_region!F471</f>
        <v>23.308571313000002</v>
      </c>
      <c r="G471">
        <f>[5]trip_summary_region!G471</f>
        <v>16.820589198</v>
      </c>
      <c r="H471">
        <f>[5]trip_summary_region!H471</f>
        <v>4.7547330373000003</v>
      </c>
      <c r="I471" t="str">
        <f>[5]trip_summary_region!I471</f>
        <v>Pedestrian</v>
      </c>
      <c r="J471" t="str">
        <f>[5]trip_summary_region!J471</f>
        <v>2012/13</v>
      </c>
    </row>
    <row r="472" spans="1:10" x14ac:dyDescent="0.25">
      <c r="A472" t="str">
        <f>[5]trip_summary_region!A472</f>
        <v>07 TARANAKI</v>
      </c>
      <c r="B472">
        <f>[5]trip_summary_region!B472</f>
        <v>0</v>
      </c>
      <c r="C472">
        <f>[5]trip_summary_region!C472</f>
        <v>2018</v>
      </c>
      <c r="D472">
        <f>[5]trip_summary_region!D472</f>
        <v>314</v>
      </c>
      <c r="E472">
        <f>[5]trip_summary_region!E472</f>
        <v>1091</v>
      </c>
      <c r="F472">
        <f>[5]trip_summary_region!F472</f>
        <v>24.212180058000001</v>
      </c>
      <c r="G472">
        <f>[5]trip_summary_region!G472</f>
        <v>17.53496093</v>
      </c>
      <c r="H472">
        <f>[5]trip_summary_region!H472</f>
        <v>4.8028224763000003</v>
      </c>
      <c r="I472" t="str">
        <f>[5]trip_summary_region!I472</f>
        <v>Pedestrian</v>
      </c>
      <c r="J472" t="str">
        <f>[5]trip_summary_region!J472</f>
        <v>2017/18</v>
      </c>
    </row>
    <row r="473" spans="1:10" x14ac:dyDescent="0.25">
      <c r="A473" t="str">
        <f>[5]trip_summary_region!A473</f>
        <v>07 TARANAKI</v>
      </c>
      <c r="B473">
        <f>[5]trip_summary_region!B473</f>
        <v>0</v>
      </c>
      <c r="C473">
        <f>[5]trip_summary_region!C473</f>
        <v>2023</v>
      </c>
      <c r="D473">
        <f>[5]trip_summary_region!D473</f>
        <v>314</v>
      </c>
      <c r="E473">
        <f>[5]trip_summary_region!E473</f>
        <v>1091</v>
      </c>
      <c r="F473">
        <f>[5]trip_summary_region!F473</f>
        <v>24.497834480000002</v>
      </c>
      <c r="G473">
        <f>[5]trip_summary_region!G473</f>
        <v>17.822499924999999</v>
      </c>
      <c r="H473">
        <f>[5]trip_summary_region!H473</f>
        <v>4.7590874453999996</v>
      </c>
      <c r="I473" t="str">
        <f>[5]trip_summary_region!I473</f>
        <v>Pedestrian</v>
      </c>
      <c r="J473" t="str">
        <f>[5]trip_summary_region!J473</f>
        <v>2022/23</v>
      </c>
    </row>
    <row r="474" spans="1:10" x14ac:dyDescent="0.25">
      <c r="A474" t="str">
        <f>[5]trip_summary_region!A474</f>
        <v>07 TARANAKI</v>
      </c>
      <c r="B474">
        <f>[5]trip_summary_region!B474</f>
        <v>0</v>
      </c>
      <c r="C474">
        <f>[5]trip_summary_region!C474</f>
        <v>2028</v>
      </c>
      <c r="D474">
        <f>[5]trip_summary_region!D474</f>
        <v>314</v>
      </c>
      <c r="E474">
        <f>[5]trip_summary_region!E474</f>
        <v>1091</v>
      </c>
      <c r="F474">
        <f>[5]trip_summary_region!F474</f>
        <v>24.411519596000002</v>
      </c>
      <c r="G474">
        <f>[5]trip_summary_region!G474</f>
        <v>17.912139479</v>
      </c>
      <c r="H474">
        <f>[5]trip_summary_region!H474</f>
        <v>4.6829578895999999</v>
      </c>
      <c r="I474" t="str">
        <f>[5]trip_summary_region!I474</f>
        <v>Pedestrian</v>
      </c>
      <c r="J474" t="str">
        <f>[5]trip_summary_region!J474</f>
        <v>2027/28</v>
      </c>
    </row>
    <row r="475" spans="1:10" x14ac:dyDescent="0.25">
      <c r="A475" t="str">
        <f>[5]trip_summary_region!A475</f>
        <v>07 TARANAKI</v>
      </c>
      <c r="B475">
        <f>[5]trip_summary_region!B475</f>
        <v>0</v>
      </c>
      <c r="C475">
        <f>[5]trip_summary_region!C475</f>
        <v>2033</v>
      </c>
      <c r="D475">
        <f>[5]trip_summary_region!D475</f>
        <v>314</v>
      </c>
      <c r="E475">
        <f>[5]trip_summary_region!E475</f>
        <v>1091</v>
      </c>
      <c r="F475">
        <f>[5]trip_summary_region!F475</f>
        <v>24.167691655999999</v>
      </c>
      <c r="G475">
        <f>[5]trip_summary_region!G475</f>
        <v>17.855241856999999</v>
      </c>
      <c r="H475">
        <f>[5]trip_summary_region!H475</f>
        <v>4.5983995738000001</v>
      </c>
      <c r="I475" t="str">
        <f>[5]trip_summary_region!I475</f>
        <v>Pedestrian</v>
      </c>
      <c r="J475" t="str">
        <f>[5]trip_summary_region!J475</f>
        <v>2032/33</v>
      </c>
    </row>
    <row r="476" spans="1:10" x14ac:dyDescent="0.25">
      <c r="A476" t="str">
        <f>[5]trip_summary_region!A476</f>
        <v>07 TARANAKI</v>
      </c>
      <c r="B476">
        <f>[5]trip_summary_region!B476</f>
        <v>0</v>
      </c>
      <c r="C476">
        <f>[5]trip_summary_region!C476</f>
        <v>2038</v>
      </c>
      <c r="D476">
        <f>[5]trip_summary_region!D476</f>
        <v>314</v>
      </c>
      <c r="E476">
        <f>[5]trip_summary_region!E476</f>
        <v>1091</v>
      </c>
      <c r="F476">
        <f>[5]trip_summary_region!F476</f>
        <v>23.825431801000001</v>
      </c>
      <c r="G476">
        <f>[5]trip_summary_region!G476</f>
        <v>17.790355129000002</v>
      </c>
      <c r="H476">
        <f>[5]trip_summary_region!H476</f>
        <v>4.5175158639999999</v>
      </c>
      <c r="I476" t="str">
        <f>[5]trip_summary_region!I476</f>
        <v>Pedestrian</v>
      </c>
      <c r="J476" t="str">
        <f>[5]trip_summary_region!J476</f>
        <v>2037/38</v>
      </c>
    </row>
    <row r="477" spans="1:10" x14ac:dyDescent="0.25">
      <c r="A477" t="str">
        <f>[5]trip_summary_region!A477</f>
        <v>07 TARANAKI</v>
      </c>
      <c r="B477">
        <f>[5]trip_summary_region!B477</f>
        <v>0</v>
      </c>
      <c r="C477">
        <f>[5]trip_summary_region!C477</f>
        <v>2043</v>
      </c>
      <c r="D477">
        <f>[5]trip_summary_region!D477</f>
        <v>314</v>
      </c>
      <c r="E477">
        <f>[5]trip_summary_region!E477</f>
        <v>1091</v>
      </c>
      <c r="F477">
        <f>[5]trip_summary_region!F477</f>
        <v>23.430274555</v>
      </c>
      <c r="G477">
        <f>[5]trip_summary_region!G477</f>
        <v>17.701020218</v>
      </c>
      <c r="H477">
        <f>[5]trip_summary_region!H477</f>
        <v>4.4335261329</v>
      </c>
      <c r="I477" t="str">
        <f>[5]trip_summary_region!I477</f>
        <v>Pedestrian</v>
      </c>
      <c r="J477" t="str">
        <f>[5]trip_summary_region!J477</f>
        <v>2042/43</v>
      </c>
    </row>
    <row r="478" spans="1:10" x14ac:dyDescent="0.25">
      <c r="A478" t="str">
        <f>[5]trip_summary_region!A478</f>
        <v>07 TARANAKI</v>
      </c>
      <c r="B478">
        <f>[5]trip_summary_region!B478</f>
        <v>1</v>
      </c>
      <c r="C478">
        <f>[5]trip_summary_region!C478</f>
        <v>2013</v>
      </c>
      <c r="D478">
        <f>[5]trip_summary_region!D478</f>
        <v>45</v>
      </c>
      <c r="E478">
        <f>[5]trip_summary_region!E478</f>
        <v>133</v>
      </c>
      <c r="F478">
        <f>[5]trip_summary_region!F478</f>
        <v>2.1611397319000001</v>
      </c>
      <c r="G478">
        <f>[5]trip_summary_region!G478</f>
        <v>5.5737915155</v>
      </c>
      <c r="H478">
        <f>[5]trip_summary_region!H478</f>
        <v>0.51341482110000003</v>
      </c>
      <c r="I478" t="str">
        <f>[5]trip_summary_region!I478</f>
        <v>Cyclist</v>
      </c>
      <c r="J478" t="str">
        <f>[5]trip_summary_region!J478</f>
        <v>2012/13</v>
      </c>
    </row>
    <row r="479" spans="1:10" x14ac:dyDescent="0.25">
      <c r="A479" t="str">
        <f>[5]trip_summary_region!A479</f>
        <v>07 TARANAKI</v>
      </c>
      <c r="B479">
        <f>[5]trip_summary_region!B479</f>
        <v>1</v>
      </c>
      <c r="C479">
        <f>[5]trip_summary_region!C479</f>
        <v>2018</v>
      </c>
      <c r="D479">
        <f>[5]trip_summary_region!D479</f>
        <v>45</v>
      </c>
      <c r="E479">
        <f>[5]trip_summary_region!E479</f>
        <v>133</v>
      </c>
      <c r="F479">
        <f>[5]trip_summary_region!F479</f>
        <v>2.1698102010000002</v>
      </c>
      <c r="G479">
        <f>[5]trip_summary_region!G479</f>
        <v>5.6993542844</v>
      </c>
      <c r="H479">
        <f>[5]trip_summary_region!H479</f>
        <v>0.5307125264</v>
      </c>
      <c r="I479" t="str">
        <f>[5]trip_summary_region!I479</f>
        <v>Cyclist</v>
      </c>
      <c r="J479" t="str">
        <f>[5]trip_summary_region!J479</f>
        <v>2017/18</v>
      </c>
    </row>
    <row r="480" spans="1:10" x14ac:dyDescent="0.25">
      <c r="A480" t="str">
        <f>[5]trip_summary_region!A480</f>
        <v>07 TARANAKI</v>
      </c>
      <c r="B480">
        <f>[5]trip_summary_region!B480</f>
        <v>1</v>
      </c>
      <c r="C480">
        <f>[5]trip_summary_region!C480</f>
        <v>2023</v>
      </c>
      <c r="D480">
        <f>[5]trip_summary_region!D480</f>
        <v>45</v>
      </c>
      <c r="E480">
        <f>[5]trip_summary_region!E480</f>
        <v>133</v>
      </c>
      <c r="F480">
        <f>[5]trip_summary_region!F480</f>
        <v>2.1475793008999999</v>
      </c>
      <c r="G480">
        <f>[5]trip_summary_region!G480</f>
        <v>5.6939714579</v>
      </c>
      <c r="H480">
        <f>[5]trip_summary_region!H480</f>
        <v>0.53334585239999999</v>
      </c>
      <c r="I480" t="str">
        <f>[5]trip_summary_region!I480</f>
        <v>Cyclist</v>
      </c>
      <c r="J480" t="str">
        <f>[5]trip_summary_region!J480</f>
        <v>2022/23</v>
      </c>
    </row>
    <row r="481" spans="1:10" x14ac:dyDescent="0.25">
      <c r="A481" t="str">
        <f>[5]trip_summary_region!A481</f>
        <v>07 TARANAKI</v>
      </c>
      <c r="B481">
        <f>[5]trip_summary_region!B481</f>
        <v>1</v>
      </c>
      <c r="C481">
        <f>[5]trip_summary_region!C481</f>
        <v>2028</v>
      </c>
      <c r="D481">
        <f>[5]trip_summary_region!D481</f>
        <v>45</v>
      </c>
      <c r="E481">
        <f>[5]trip_summary_region!E481</f>
        <v>133</v>
      </c>
      <c r="F481">
        <f>[5]trip_summary_region!F481</f>
        <v>2.0820245854000001</v>
      </c>
      <c r="G481">
        <f>[5]trip_summary_region!G481</f>
        <v>5.4469470082000004</v>
      </c>
      <c r="H481">
        <f>[5]trip_summary_region!H481</f>
        <v>0.51432747000000001</v>
      </c>
      <c r="I481" t="str">
        <f>[5]trip_summary_region!I481</f>
        <v>Cyclist</v>
      </c>
      <c r="J481" t="str">
        <f>[5]trip_summary_region!J481</f>
        <v>2027/28</v>
      </c>
    </row>
    <row r="482" spans="1:10" x14ac:dyDescent="0.25">
      <c r="A482" t="str">
        <f>[5]trip_summary_region!A482</f>
        <v>07 TARANAKI</v>
      </c>
      <c r="B482">
        <f>[5]trip_summary_region!B482</f>
        <v>1</v>
      </c>
      <c r="C482">
        <f>[5]trip_summary_region!C482</f>
        <v>2033</v>
      </c>
      <c r="D482">
        <f>[5]trip_summary_region!D482</f>
        <v>45</v>
      </c>
      <c r="E482">
        <f>[5]trip_summary_region!E482</f>
        <v>133</v>
      </c>
      <c r="F482">
        <f>[5]trip_summary_region!F482</f>
        <v>2.0295711643000001</v>
      </c>
      <c r="G482">
        <f>[5]trip_summary_region!G482</f>
        <v>5.3855192833999999</v>
      </c>
      <c r="H482">
        <f>[5]trip_summary_region!H482</f>
        <v>0.51014516239999996</v>
      </c>
      <c r="I482" t="str">
        <f>[5]trip_summary_region!I482</f>
        <v>Cyclist</v>
      </c>
      <c r="J482" t="str">
        <f>[5]trip_summary_region!J482</f>
        <v>2032/33</v>
      </c>
    </row>
    <row r="483" spans="1:10" x14ac:dyDescent="0.25">
      <c r="A483" t="str">
        <f>[5]trip_summary_region!A483</f>
        <v>07 TARANAKI</v>
      </c>
      <c r="B483">
        <f>[5]trip_summary_region!B483</f>
        <v>1</v>
      </c>
      <c r="C483">
        <f>[5]trip_summary_region!C483</f>
        <v>2038</v>
      </c>
      <c r="D483">
        <f>[5]trip_summary_region!D483</f>
        <v>45</v>
      </c>
      <c r="E483">
        <f>[5]trip_summary_region!E483</f>
        <v>133</v>
      </c>
      <c r="F483">
        <f>[5]trip_summary_region!F483</f>
        <v>1.9555655027000001</v>
      </c>
      <c r="G483">
        <f>[5]trip_summary_region!G483</f>
        <v>5.4459820749999999</v>
      </c>
      <c r="H483">
        <f>[5]trip_summary_region!H483</f>
        <v>0.5128819912</v>
      </c>
      <c r="I483" t="str">
        <f>[5]trip_summary_region!I483</f>
        <v>Cyclist</v>
      </c>
      <c r="J483" t="str">
        <f>[5]trip_summary_region!J483</f>
        <v>2037/38</v>
      </c>
    </row>
    <row r="484" spans="1:10" x14ac:dyDescent="0.25">
      <c r="A484" t="str">
        <f>[5]trip_summary_region!A484</f>
        <v>07 TARANAKI</v>
      </c>
      <c r="B484">
        <f>[5]trip_summary_region!B484</f>
        <v>1</v>
      </c>
      <c r="C484">
        <f>[5]trip_summary_region!C484</f>
        <v>2043</v>
      </c>
      <c r="D484">
        <f>[5]trip_summary_region!D484</f>
        <v>45</v>
      </c>
      <c r="E484">
        <f>[5]trip_summary_region!E484</f>
        <v>133</v>
      </c>
      <c r="F484">
        <f>[5]trip_summary_region!F484</f>
        <v>1.8896302406000001</v>
      </c>
      <c r="G484">
        <f>[5]trip_summary_region!G484</f>
        <v>5.5476818932</v>
      </c>
      <c r="H484">
        <f>[5]trip_summary_region!H484</f>
        <v>0.51884323669999999</v>
      </c>
      <c r="I484" t="str">
        <f>[5]trip_summary_region!I484</f>
        <v>Cyclist</v>
      </c>
      <c r="J484" t="str">
        <f>[5]trip_summary_region!J484</f>
        <v>2042/43</v>
      </c>
    </row>
    <row r="485" spans="1:10" x14ac:dyDescent="0.25">
      <c r="A485" t="str">
        <f>[5]trip_summary_region!A485</f>
        <v>07 TARANAKI</v>
      </c>
      <c r="B485">
        <f>[5]trip_summary_region!B485</f>
        <v>2</v>
      </c>
      <c r="C485">
        <f>[5]trip_summary_region!C485</f>
        <v>2013</v>
      </c>
      <c r="D485">
        <f>[5]trip_summary_region!D485</f>
        <v>575</v>
      </c>
      <c r="E485">
        <f>[5]trip_summary_region!E485</f>
        <v>4143</v>
      </c>
      <c r="F485">
        <f>[5]trip_summary_region!F485</f>
        <v>90.801950900999998</v>
      </c>
      <c r="G485">
        <f>[5]trip_summary_region!G485</f>
        <v>933.36875414999997</v>
      </c>
      <c r="H485">
        <f>[5]trip_summary_region!H485</f>
        <v>21.205429401</v>
      </c>
      <c r="I485" t="str">
        <f>[5]trip_summary_region!I485</f>
        <v>Light Vehicle Driver</v>
      </c>
      <c r="J485" t="str">
        <f>[5]trip_summary_region!J485</f>
        <v>2012/13</v>
      </c>
    </row>
    <row r="486" spans="1:10" x14ac:dyDescent="0.25">
      <c r="A486" t="str">
        <f>[5]trip_summary_region!A486</f>
        <v>07 TARANAKI</v>
      </c>
      <c r="B486">
        <f>[5]trip_summary_region!B486</f>
        <v>2</v>
      </c>
      <c r="C486">
        <f>[5]trip_summary_region!C486</f>
        <v>2018</v>
      </c>
      <c r="D486">
        <f>[5]trip_summary_region!D486</f>
        <v>575</v>
      </c>
      <c r="E486">
        <f>[5]trip_summary_region!E486</f>
        <v>4143</v>
      </c>
      <c r="F486">
        <f>[5]trip_summary_region!F486</f>
        <v>96.544495486000002</v>
      </c>
      <c r="G486">
        <f>[5]trip_summary_region!G486</f>
        <v>1005.2077748</v>
      </c>
      <c r="H486">
        <f>[5]trip_summary_region!H486</f>
        <v>22.731107899000001</v>
      </c>
      <c r="I486" t="str">
        <f>[5]trip_summary_region!I486</f>
        <v>Light Vehicle Driver</v>
      </c>
      <c r="J486" t="str">
        <f>[5]trip_summary_region!J486</f>
        <v>2017/18</v>
      </c>
    </row>
    <row r="487" spans="1:10" x14ac:dyDescent="0.25">
      <c r="A487" t="str">
        <f>[5]trip_summary_region!A487</f>
        <v>07 TARANAKI</v>
      </c>
      <c r="B487">
        <f>[5]trip_summary_region!B487</f>
        <v>2</v>
      </c>
      <c r="C487">
        <f>[5]trip_summary_region!C487</f>
        <v>2023</v>
      </c>
      <c r="D487">
        <f>[5]trip_summary_region!D487</f>
        <v>575</v>
      </c>
      <c r="E487">
        <f>[5]trip_summary_region!E487</f>
        <v>4143</v>
      </c>
      <c r="F487">
        <f>[5]trip_summary_region!F487</f>
        <v>100.35730082000001</v>
      </c>
      <c r="G487">
        <f>[5]trip_summary_region!G487</f>
        <v>1051.4597498999999</v>
      </c>
      <c r="H487">
        <f>[5]trip_summary_region!H487</f>
        <v>23.735088105999999</v>
      </c>
      <c r="I487" t="str">
        <f>[5]trip_summary_region!I487</f>
        <v>Light Vehicle Driver</v>
      </c>
      <c r="J487" t="str">
        <f>[5]trip_summary_region!J487</f>
        <v>2022/23</v>
      </c>
    </row>
    <row r="488" spans="1:10" x14ac:dyDescent="0.25">
      <c r="A488" t="str">
        <f>[5]trip_summary_region!A488</f>
        <v>07 TARANAKI</v>
      </c>
      <c r="B488">
        <f>[5]trip_summary_region!B488</f>
        <v>2</v>
      </c>
      <c r="C488">
        <f>[5]trip_summary_region!C488</f>
        <v>2028</v>
      </c>
      <c r="D488">
        <f>[5]trip_summary_region!D488</f>
        <v>575</v>
      </c>
      <c r="E488">
        <f>[5]trip_summary_region!E488</f>
        <v>4143</v>
      </c>
      <c r="F488">
        <f>[5]trip_summary_region!F488</f>
        <v>103.33985337</v>
      </c>
      <c r="G488">
        <f>[5]trip_summary_region!G488</f>
        <v>1078.6353959999999</v>
      </c>
      <c r="H488">
        <f>[5]trip_summary_region!H488</f>
        <v>24.429981941000001</v>
      </c>
      <c r="I488" t="str">
        <f>[5]trip_summary_region!I488</f>
        <v>Light Vehicle Driver</v>
      </c>
      <c r="J488" t="str">
        <f>[5]trip_summary_region!J488</f>
        <v>2027/28</v>
      </c>
    </row>
    <row r="489" spans="1:10" x14ac:dyDescent="0.25">
      <c r="A489" t="str">
        <f>[5]trip_summary_region!A489</f>
        <v>07 TARANAKI</v>
      </c>
      <c r="B489">
        <f>[5]trip_summary_region!B489</f>
        <v>2</v>
      </c>
      <c r="C489">
        <f>[5]trip_summary_region!C489</f>
        <v>2033</v>
      </c>
      <c r="D489">
        <f>[5]trip_summary_region!D489</f>
        <v>575</v>
      </c>
      <c r="E489">
        <f>[5]trip_summary_region!E489</f>
        <v>4143</v>
      </c>
      <c r="F489">
        <f>[5]trip_summary_region!F489</f>
        <v>104.34847512</v>
      </c>
      <c r="G489">
        <f>[5]trip_summary_region!G489</f>
        <v>1085.7181313000001</v>
      </c>
      <c r="H489">
        <f>[5]trip_summary_region!H489</f>
        <v>24.681607252999999</v>
      </c>
      <c r="I489" t="str">
        <f>[5]trip_summary_region!I489</f>
        <v>Light Vehicle Driver</v>
      </c>
      <c r="J489" t="str">
        <f>[5]trip_summary_region!J489</f>
        <v>2032/33</v>
      </c>
    </row>
    <row r="490" spans="1:10" x14ac:dyDescent="0.25">
      <c r="A490" t="str">
        <f>[5]trip_summary_region!A490</f>
        <v>07 TARANAKI</v>
      </c>
      <c r="B490">
        <f>[5]trip_summary_region!B490</f>
        <v>2</v>
      </c>
      <c r="C490">
        <f>[5]trip_summary_region!C490</f>
        <v>2038</v>
      </c>
      <c r="D490">
        <f>[5]trip_summary_region!D490</f>
        <v>575</v>
      </c>
      <c r="E490">
        <f>[5]trip_summary_region!E490</f>
        <v>4143</v>
      </c>
      <c r="F490">
        <f>[5]trip_summary_region!F490</f>
        <v>105.06699736</v>
      </c>
      <c r="G490">
        <f>[5]trip_summary_region!G490</f>
        <v>1102.4151623</v>
      </c>
      <c r="H490">
        <f>[5]trip_summary_region!H490</f>
        <v>25.013110663999999</v>
      </c>
      <c r="I490" t="str">
        <f>[5]trip_summary_region!I490</f>
        <v>Light Vehicle Driver</v>
      </c>
      <c r="J490" t="str">
        <f>[5]trip_summary_region!J490</f>
        <v>2037/38</v>
      </c>
    </row>
    <row r="491" spans="1:10" x14ac:dyDescent="0.25">
      <c r="A491" t="str">
        <f>[5]trip_summary_region!A491</f>
        <v>07 TARANAKI</v>
      </c>
      <c r="B491">
        <f>[5]trip_summary_region!B491</f>
        <v>2</v>
      </c>
      <c r="C491">
        <f>[5]trip_summary_region!C491</f>
        <v>2043</v>
      </c>
      <c r="D491">
        <f>[5]trip_summary_region!D491</f>
        <v>575</v>
      </c>
      <c r="E491">
        <f>[5]trip_summary_region!E491</f>
        <v>4143</v>
      </c>
      <c r="F491">
        <f>[5]trip_summary_region!F491</f>
        <v>105.19878405999999</v>
      </c>
      <c r="G491">
        <f>[5]trip_summary_region!G491</f>
        <v>1113.9243205</v>
      </c>
      <c r="H491">
        <f>[5]trip_summary_region!H491</f>
        <v>25.216884839999999</v>
      </c>
      <c r="I491" t="str">
        <f>[5]trip_summary_region!I491</f>
        <v>Light Vehicle Driver</v>
      </c>
      <c r="J491" t="str">
        <f>[5]trip_summary_region!J491</f>
        <v>2042/43</v>
      </c>
    </row>
    <row r="492" spans="1:10" x14ac:dyDescent="0.25">
      <c r="A492" t="str">
        <f>[5]trip_summary_region!A492</f>
        <v>07 TARANAKI</v>
      </c>
      <c r="B492">
        <f>[5]trip_summary_region!B492</f>
        <v>3</v>
      </c>
      <c r="C492">
        <f>[5]trip_summary_region!C492</f>
        <v>2013</v>
      </c>
      <c r="D492">
        <f>[5]trip_summary_region!D492</f>
        <v>446</v>
      </c>
      <c r="E492">
        <f>[5]trip_summary_region!E492</f>
        <v>2212</v>
      </c>
      <c r="F492">
        <f>[5]trip_summary_region!F492</f>
        <v>45.48406773</v>
      </c>
      <c r="G492">
        <f>[5]trip_summary_region!G492</f>
        <v>656.25872372000003</v>
      </c>
      <c r="H492">
        <f>[5]trip_summary_region!H492</f>
        <v>13.125178352000001</v>
      </c>
      <c r="I492" t="str">
        <f>[5]trip_summary_region!I492</f>
        <v>Light Vehicle Passenger</v>
      </c>
      <c r="J492" t="str">
        <f>[5]trip_summary_region!J492</f>
        <v>2012/13</v>
      </c>
    </row>
    <row r="493" spans="1:10" x14ac:dyDescent="0.25">
      <c r="A493" t="str">
        <f>[5]trip_summary_region!A493</f>
        <v>07 TARANAKI</v>
      </c>
      <c r="B493">
        <f>[5]trip_summary_region!B493</f>
        <v>3</v>
      </c>
      <c r="C493">
        <f>[5]trip_summary_region!C493</f>
        <v>2018</v>
      </c>
      <c r="D493">
        <f>[5]trip_summary_region!D493</f>
        <v>446</v>
      </c>
      <c r="E493">
        <f>[5]trip_summary_region!E493</f>
        <v>2212</v>
      </c>
      <c r="F493">
        <f>[5]trip_summary_region!F493</f>
        <v>45.646355010999997</v>
      </c>
      <c r="G493">
        <f>[5]trip_summary_region!G493</f>
        <v>654.53776778999998</v>
      </c>
      <c r="H493">
        <f>[5]trip_summary_region!H493</f>
        <v>13.115308556</v>
      </c>
      <c r="I493" t="str">
        <f>[5]trip_summary_region!I493</f>
        <v>Light Vehicle Passenger</v>
      </c>
      <c r="J493" t="str">
        <f>[5]trip_summary_region!J493</f>
        <v>2017/18</v>
      </c>
    </row>
    <row r="494" spans="1:10" x14ac:dyDescent="0.25">
      <c r="A494" t="str">
        <f>[5]trip_summary_region!A494</f>
        <v>07 TARANAKI</v>
      </c>
      <c r="B494">
        <f>[5]trip_summary_region!B494</f>
        <v>3</v>
      </c>
      <c r="C494">
        <f>[5]trip_summary_region!C494</f>
        <v>2023</v>
      </c>
      <c r="D494">
        <f>[5]trip_summary_region!D494</f>
        <v>446</v>
      </c>
      <c r="E494">
        <f>[5]trip_summary_region!E494</f>
        <v>2212</v>
      </c>
      <c r="F494">
        <f>[5]trip_summary_region!F494</f>
        <v>45.099895337</v>
      </c>
      <c r="G494">
        <f>[5]trip_summary_region!G494</f>
        <v>641.56447295999999</v>
      </c>
      <c r="H494">
        <f>[5]trip_summary_region!H494</f>
        <v>12.895918591999999</v>
      </c>
      <c r="I494" t="str">
        <f>[5]trip_summary_region!I494</f>
        <v>Light Vehicle Passenger</v>
      </c>
      <c r="J494" t="str">
        <f>[5]trip_summary_region!J494</f>
        <v>2022/23</v>
      </c>
    </row>
    <row r="495" spans="1:10" x14ac:dyDescent="0.25">
      <c r="A495" t="str">
        <f>[5]trip_summary_region!A495</f>
        <v>07 TARANAKI</v>
      </c>
      <c r="B495">
        <f>[5]trip_summary_region!B495</f>
        <v>3</v>
      </c>
      <c r="C495">
        <f>[5]trip_summary_region!C495</f>
        <v>2028</v>
      </c>
      <c r="D495">
        <f>[5]trip_summary_region!D495</f>
        <v>446</v>
      </c>
      <c r="E495">
        <f>[5]trip_summary_region!E495</f>
        <v>2212</v>
      </c>
      <c r="F495">
        <f>[5]trip_summary_region!F495</f>
        <v>44.699069059999999</v>
      </c>
      <c r="G495">
        <f>[5]trip_summary_region!G495</f>
        <v>635.29010734999997</v>
      </c>
      <c r="H495">
        <f>[5]trip_summary_region!H495</f>
        <v>12.800680613999999</v>
      </c>
      <c r="I495" t="str">
        <f>[5]trip_summary_region!I495</f>
        <v>Light Vehicle Passenger</v>
      </c>
      <c r="J495" t="str">
        <f>[5]trip_summary_region!J495</f>
        <v>2027/28</v>
      </c>
    </row>
    <row r="496" spans="1:10" x14ac:dyDescent="0.25">
      <c r="A496" t="str">
        <f>[5]trip_summary_region!A496</f>
        <v>07 TARANAKI</v>
      </c>
      <c r="B496">
        <f>[5]trip_summary_region!B496</f>
        <v>3</v>
      </c>
      <c r="C496">
        <f>[5]trip_summary_region!C496</f>
        <v>2033</v>
      </c>
      <c r="D496">
        <f>[5]trip_summary_region!D496</f>
        <v>446</v>
      </c>
      <c r="E496">
        <f>[5]trip_summary_region!E496</f>
        <v>2212</v>
      </c>
      <c r="F496">
        <f>[5]trip_summary_region!F496</f>
        <v>44.335198783999999</v>
      </c>
      <c r="G496">
        <f>[5]trip_summary_region!G496</f>
        <v>631.10600166999996</v>
      </c>
      <c r="H496">
        <f>[5]trip_summary_region!H496</f>
        <v>12.725479131</v>
      </c>
      <c r="I496" t="str">
        <f>[5]trip_summary_region!I496</f>
        <v>Light Vehicle Passenger</v>
      </c>
      <c r="J496" t="str">
        <f>[5]trip_summary_region!J496</f>
        <v>2032/33</v>
      </c>
    </row>
    <row r="497" spans="1:10" x14ac:dyDescent="0.25">
      <c r="A497" t="str">
        <f>[5]trip_summary_region!A497</f>
        <v>07 TARANAKI</v>
      </c>
      <c r="B497">
        <f>[5]trip_summary_region!B497</f>
        <v>3</v>
      </c>
      <c r="C497">
        <f>[5]trip_summary_region!C497</f>
        <v>2038</v>
      </c>
      <c r="D497">
        <f>[5]trip_summary_region!D497</f>
        <v>446</v>
      </c>
      <c r="E497">
        <f>[5]trip_summary_region!E497</f>
        <v>2212</v>
      </c>
      <c r="F497">
        <f>[5]trip_summary_region!F497</f>
        <v>43.716073639000001</v>
      </c>
      <c r="G497">
        <f>[5]trip_summary_region!G497</f>
        <v>619.95108234999998</v>
      </c>
      <c r="H497">
        <f>[5]trip_summary_region!H497</f>
        <v>12.527319645</v>
      </c>
      <c r="I497" t="str">
        <f>[5]trip_summary_region!I497</f>
        <v>Light Vehicle Passenger</v>
      </c>
      <c r="J497" t="str">
        <f>[5]trip_summary_region!J497</f>
        <v>2037/38</v>
      </c>
    </row>
    <row r="498" spans="1:10" x14ac:dyDescent="0.25">
      <c r="A498" t="str">
        <f>[5]trip_summary_region!A498</f>
        <v>07 TARANAKI</v>
      </c>
      <c r="B498">
        <f>[5]trip_summary_region!B498</f>
        <v>3</v>
      </c>
      <c r="C498">
        <f>[5]trip_summary_region!C498</f>
        <v>2043</v>
      </c>
      <c r="D498">
        <f>[5]trip_summary_region!D498</f>
        <v>446</v>
      </c>
      <c r="E498">
        <f>[5]trip_summary_region!E498</f>
        <v>2212</v>
      </c>
      <c r="F498">
        <f>[5]trip_summary_region!F498</f>
        <v>42.864546863000001</v>
      </c>
      <c r="G498">
        <f>[5]trip_summary_region!G498</f>
        <v>605.92168363999997</v>
      </c>
      <c r="H498">
        <f>[5]trip_summary_region!H498</f>
        <v>12.267550246000001</v>
      </c>
      <c r="I498" t="str">
        <f>[5]trip_summary_region!I498</f>
        <v>Light Vehicle Passenger</v>
      </c>
      <c r="J498" t="str">
        <f>[5]trip_summary_region!J498</f>
        <v>2042/43</v>
      </c>
    </row>
    <row r="499" spans="1:10" x14ac:dyDescent="0.25">
      <c r="A499" t="str">
        <f>[5]trip_summary_region!A499</f>
        <v>07 TARANAKI</v>
      </c>
      <c r="B499">
        <f>[5]trip_summary_region!B499</f>
        <v>4</v>
      </c>
      <c r="C499">
        <f>[5]trip_summary_region!C499</f>
        <v>2013</v>
      </c>
      <c r="D499">
        <f>[5]trip_summary_region!D499</f>
        <v>10</v>
      </c>
      <c r="E499">
        <f>[5]trip_summary_region!E499</f>
        <v>18</v>
      </c>
      <c r="F499">
        <f>[5]trip_summary_region!F499</f>
        <v>0.56194422089999996</v>
      </c>
      <c r="G499">
        <f>[5]trip_summary_region!G499</f>
        <v>1.1335038904000001</v>
      </c>
      <c r="H499">
        <f>[5]trip_summary_region!H499</f>
        <v>0.10005985589999999</v>
      </c>
      <c r="I499" t="s">
        <v>116</v>
      </c>
      <c r="J499" t="str">
        <f>[5]trip_summary_region!J499</f>
        <v>2012/13</v>
      </c>
    </row>
    <row r="500" spans="1:10" x14ac:dyDescent="0.25">
      <c r="A500" t="str">
        <f>[5]trip_summary_region!A500</f>
        <v>07 TARANAKI</v>
      </c>
      <c r="B500">
        <f>[5]trip_summary_region!B500</f>
        <v>4</v>
      </c>
      <c r="C500">
        <f>[5]trip_summary_region!C500</f>
        <v>2018</v>
      </c>
      <c r="D500">
        <f>[5]trip_summary_region!D500</f>
        <v>10</v>
      </c>
      <c r="E500">
        <f>[5]trip_summary_region!E500</f>
        <v>18</v>
      </c>
      <c r="F500">
        <f>[5]trip_summary_region!F500</f>
        <v>0.67532584159999998</v>
      </c>
      <c r="G500">
        <f>[5]trip_summary_region!G500</f>
        <v>1.3664527943</v>
      </c>
      <c r="H500">
        <f>[5]trip_summary_region!H500</f>
        <v>0.1211103456</v>
      </c>
      <c r="I500" t="s">
        <v>116</v>
      </c>
      <c r="J500" t="str">
        <f>[5]trip_summary_region!J500</f>
        <v>2017/18</v>
      </c>
    </row>
    <row r="501" spans="1:10" x14ac:dyDescent="0.25">
      <c r="A501" t="str">
        <f>[5]trip_summary_region!A501</f>
        <v>07 TARANAKI</v>
      </c>
      <c r="B501">
        <f>[5]trip_summary_region!B501</f>
        <v>4</v>
      </c>
      <c r="C501">
        <f>[5]trip_summary_region!C501</f>
        <v>2023</v>
      </c>
      <c r="D501">
        <f>[5]trip_summary_region!D501</f>
        <v>10</v>
      </c>
      <c r="E501">
        <f>[5]trip_summary_region!E501</f>
        <v>18</v>
      </c>
      <c r="F501">
        <f>[5]trip_summary_region!F501</f>
        <v>0.73371922720000005</v>
      </c>
      <c r="G501">
        <f>[5]trip_summary_region!G501</f>
        <v>1.4970564316999999</v>
      </c>
      <c r="H501">
        <f>[5]trip_summary_region!H501</f>
        <v>0.13195574369999999</v>
      </c>
      <c r="I501" t="s">
        <v>116</v>
      </c>
      <c r="J501" t="str">
        <f>[5]trip_summary_region!J501</f>
        <v>2022/23</v>
      </c>
    </row>
    <row r="502" spans="1:10" x14ac:dyDescent="0.25">
      <c r="A502" t="str">
        <f>[5]trip_summary_region!A502</f>
        <v>07 TARANAKI</v>
      </c>
      <c r="B502">
        <f>[5]trip_summary_region!B502</f>
        <v>4</v>
      </c>
      <c r="C502">
        <f>[5]trip_summary_region!C502</f>
        <v>2028</v>
      </c>
      <c r="D502">
        <f>[5]trip_summary_region!D502</f>
        <v>10</v>
      </c>
      <c r="E502">
        <f>[5]trip_summary_region!E502</f>
        <v>18</v>
      </c>
      <c r="F502">
        <f>[5]trip_summary_region!F502</f>
        <v>0.79107644219999995</v>
      </c>
      <c r="G502">
        <f>[5]trip_summary_region!G502</f>
        <v>1.6301704101000001</v>
      </c>
      <c r="H502">
        <f>[5]trip_summary_region!H502</f>
        <v>0.14285123250000001</v>
      </c>
      <c r="I502" t="s">
        <v>116</v>
      </c>
      <c r="J502" t="str">
        <f>[5]trip_summary_region!J502</f>
        <v>2027/28</v>
      </c>
    </row>
    <row r="503" spans="1:10" x14ac:dyDescent="0.25">
      <c r="A503" t="str">
        <f>[5]trip_summary_region!A503</f>
        <v>07 TARANAKI</v>
      </c>
      <c r="B503">
        <f>[5]trip_summary_region!B503</f>
        <v>4</v>
      </c>
      <c r="C503">
        <f>[5]trip_summary_region!C503</f>
        <v>2033</v>
      </c>
      <c r="D503">
        <f>[5]trip_summary_region!D503</f>
        <v>10</v>
      </c>
      <c r="E503">
        <f>[5]trip_summary_region!E503</f>
        <v>18</v>
      </c>
      <c r="F503">
        <f>[5]trip_summary_region!F503</f>
        <v>0.80320683739999998</v>
      </c>
      <c r="G503">
        <f>[5]trip_summary_region!G503</f>
        <v>1.6729183734999999</v>
      </c>
      <c r="H503">
        <f>[5]trip_summary_region!H503</f>
        <v>0.1462277857</v>
      </c>
      <c r="I503" t="s">
        <v>116</v>
      </c>
      <c r="J503" t="str">
        <f>[5]trip_summary_region!J503</f>
        <v>2032/33</v>
      </c>
    </row>
    <row r="504" spans="1:10" x14ac:dyDescent="0.25">
      <c r="A504" t="str">
        <f>[5]trip_summary_region!A504</f>
        <v>07 TARANAKI</v>
      </c>
      <c r="B504">
        <f>[5]trip_summary_region!B504</f>
        <v>4</v>
      </c>
      <c r="C504">
        <f>[5]trip_summary_region!C504</f>
        <v>2038</v>
      </c>
      <c r="D504">
        <f>[5]trip_summary_region!D504</f>
        <v>10</v>
      </c>
      <c r="E504">
        <f>[5]trip_summary_region!E504</f>
        <v>18</v>
      </c>
      <c r="F504">
        <f>[5]trip_summary_region!F504</f>
        <v>0.80582034920000001</v>
      </c>
      <c r="G504">
        <f>[5]trip_summary_region!G504</f>
        <v>1.7017684255000001</v>
      </c>
      <c r="H504">
        <f>[5]trip_summary_region!H504</f>
        <v>0.14691548679999999</v>
      </c>
      <c r="I504" t="s">
        <v>116</v>
      </c>
      <c r="J504" t="str">
        <f>[5]trip_summary_region!J504</f>
        <v>2037/38</v>
      </c>
    </row>
    <row r="505" spans="1:10" x14ac:dyDescent="0.25">
      <c r="A505" t="str">
        <f>[5]trip_summary_region!A505</f>
        <v>07 TARANAKI</v>
      </c>
      <c r="B505">
        <f>[5]trip_summary_region!B505</f>
        <v>4</v>
      </c>
      <c r="C505">
        <f>[5]trip_summary_region!C505</f>
        <v>2043</v>
      </c>
      <c r="D505">
        <f>[5]trip_summary_region!D505</f>
        <v>10</v>
      </c>
      <c r="E505">
        <f>[5]trip_summary_region!E505</f>
        <v>18</v>
      </c>
      <c r="F505">
        <f>[5]trip_summary_region!F505</f>
        <v>0.80199921360000004</v>
      </c>
      <c r="G505">
        <f>[5]trip_summary_region!G505</f>
        <v>1.7184032031000001</v>
      </c>
      <c r="H505">
        <f>[5]trip_summary_region!H505</f>
        <v>0.14645045810000001</v>
      </c>
      <c r="I505" t="s">
        <v>116</v>
      </c>
      <c r="J505" t="str">
        <f>[5]trip_summary_region!J505</f>
        <v>2042/43</v>
      </c>
    </row>
    <row r="506" spans="1:10" x14ac:dyDescent="0.25">
      <c r="A506" t="str">
        <f>[5]trip_summary_region!A506</f>
        <v>07 TARANAKI</v>
      </c>
      <c r="B506">
        <f>[5]trip_summary_region!B506</f>
        <v>5</v>
      </c>
      <c r="C506">
        <f>[5]trip_summary_region!C506</f>
        <v>2013</v>
      </c>
      <c r="D506">
        <f>[5]trip_summary_region!D506</f>
        <v>14</v>
      </c>
      <c r="E506">
        <f>[5]trip_summary_region!E506</f>
        <v>51</v>
      </c>
      <c r="F506">
        <f>[5]trip_summary_region!F506</f>
        <v>1.091812341</v>
      </c>
      <c r="G506">
        <f>[5]trip_summary_region!G506</f>
        <v>7.0100687938000004</v>
      </c>
      <c r="H506">
        <f>[5]trip_summary_region!H506</f>
        <v>0.25001806910000002</v>
      </c>
      <c r="I506" t="str">
        <f>[5]trip_summary_region!I506</f>
        <v>Motorcyclist</v>
      </c>
      <c r="J506" t="str">
        <f>[5]trip_summary_region!J506</f>
        <v>2012/13</v>
      </c>
    </row>
    <row r="507" spans="1:10" x14ac:dyDescent="0.25">
      <c r="A507" t="str">
        <f>[5]trip_summary_region!A507</f>
        <v>07 TARANAKI</v>
      </c>
      <c r="B507">
        <f>[5]trip_summary_region!B507</f>
        <v>5</v>
      </c>
      <c r="C507">
        <f>[5]trip_summary_region!C507</f>
        <v>2018</v>
      </c>
      <c r="D507">
        <f>[5]trip_summary_region!D507</f>
        <v>14</v>
      </c>
      <c r="E507">
        <f>[5]trip_summary_region!E507</f>
        <v>51</v>
      </c>
      <c r="F507">
        <f>[5]trip_summary_region!F507</f>
        <v>1.1454847770000001</v>
      </c>
      <c r="G507">
        <f>[5]trip_summary_region!G507</f>
        <v>7.2801277295000002</v>
      </c>
      <c r="H507">
        <f>[5]trip_summary_region!H507</f>
        <v>0.25975179180000002</v>
      </c>
      <c r="I507" t="str">
        <f>[5]trip_summary_region!I507</f>
        <v>Motorcyclist</v>
      </c>
      <c r="J507" t="str">
        <f>[5]trip_summary_region!J507</f>
        <v>2017/18</v>
      </c>
    </row>
    <row r="508" spans="1:10" x14ac:dyDescent="0.25">
      <c r="A508" t="str">
        <f>[5]trip_summary_region!A508</f>
        <v>07 TARANAKI</v>
      </c>
      <c r="B508">
        <f>[5]trip_summary_region!B508</f>
        <v>5</v>
      </c>
      <c r="C508">
        <f>[5]trip_summary_region!C508</f>
        <v>2023</v>
      </c>
      <c r="D508">
        <f>[5]trip_summary_region!D508</f>
        <v>14</v>
      </c>
      <c r="E508">
        <f>[5]trip_summary_region!E508</f>
        <v>51</v>
      </c>
      <c r="F508">
        <f>[5]trip_summary_region!F508</f>
        <v>1.1336116976999999</v>
      </c>
      <c r="G508">
        <f>[5]trip_summary_region!G508</f>
        <v>7.3798361622000002</v>
      </c>
      <c r="H508">
        <f>[5]trip_summary_region!H508</f>
        <v>0.26352924189999999</v>
      </c>
      <c r="I508" t="str">
        <f>[5]trip_summary_region!I508</f>
        <v>Motorcyclist</v>
      </c>
      <c r="J508" t="str">
        <f>[5]trip_summary_region!J508</f>
        <v>2022/23</v>
      </c>
    </row>
    <row r="509" spans="1:10" x14ac:dyDescent="0.25">
      <c r="A509" t="str">
        <f>[5]trip_summary_region!A509</f>
        <v>07 TARANAKI</v>
      </c>
      <c r="B509">
        <f>[5]trip_summary_region!B509</f>
        <v>5</v>
      </c>
      <c r="C509">
        <f>[5]trip_summary_region!C509</f>
        <v>2028</v>
      </c>
      <c r="D509">
        <f>[5]trip_summary_region!D509</f>
        <v>14</v>
      </c>
      <c r="E509">
        <f>[5]trip_summary_region!E509</f>
        <v>51</v>
      </c>
      <c r="F509">
        <f>[5]trip_summary_region!F509</f>
        <v>1.0611769563</v>
      </c>
      <c r="G509">
        <f>[5]trip_summary_region!G509</f>
        <v>7.3621526298999997</v>
      </c>
      <c r="H509">
        <f>[5]trip_summary_region!H509</f>
        <v>0.2600842042</v>
      </c>
      <c r="I509" t="str">
        <f>[5]trip_summary_region!I509</f>
        <v>Motorcyclist</v>
      </c>
      <c r="J509" t="str">
        <f>[5]trip_summary_region!J509</f>
        <v>2027/28</v>
      </c>
    </row>
    <row r="510" spans="1:10" x14ac:dyDescent="0.25">
      <c r="A510" t="str">
        <f>[5]trip_summary_region!A510</f>
        <v>07 TARANAKI</v>
      </c>
      <c r="B510">
        <f>[5]trip_summary_region!B510</f>
        <v>5</v>
      </c>
      <c r="C510">
        <f>[5]trip_summary_region!C510</f>
        <v>2033</v>
      </c>
      <c r="D510">
        <f>[5]trip_summary_region!D510</f>
        <v>14</v>
      </c>
      <c r="E510">
        <f>[5]trip_summary_region!E510</f>
        <v>51</v>
      </c>
      <c r="F510">
        <f>[5]trip_summary_region!F510</f>
        <v>0.99988484040000003</v>
      </c>
      <c r="G510">
        <f>[5]trip_summary_region!G510</f>
        <v>7.0816585221999997</v>
      </c>
      <c r="H510">
        <f>[5]trip_summary_region!H510</f>
        <v>0.25323412960000002</v>
      </c>
      <c r="I510" t="str">
        <f>[5]trip_summary_region!I510</f>
        <v>Motorcyclist</v>
      </c>
      <c r="J510" t="str">
        <f>[5]trip_summary_region!J510</f>
        <v>2032/33</v>
      </c>
    </row>
    <row r="511" spans="1:10" x14ac:dyDescent="0.25">
      <c r="A511" t="str">
        <f>[5]trip_summary_region!A511</f>
        <v>07 TARANAKI</v>
      </c>
      <c r="B511">
        <f>[5]trip_summary_region!B511</f>
        <v>5</v>
      </c>
      <c r="C511">
        <f>[5]trip_summary_region!C511</f>
        <v>2038</v>
      </c>
      <c r="D511">
        <f>[5]trip_summary_region!D511</f>
        <v>14</v>
      </c>
      <c r="E511">
        <f>[5]trip_summary_region!E511</f>
        <v>51</v>
      </c>
      <c r="F511">
        <f>[5]trip_summary_region!F511</f>
        <v>0.97634664900000001</v>
      </c>
      <c r="G511">
        <f>[5]trip_summary_region!G511</f>
        <v>6.7771499517000002</v>
      </c>
      <c r="H511">
        <f>[5]trip_summary_region!H511</f>
        <v>0.2476314322</v>
      </c>
      <c r="I511" t="str">
        <f>[5]trip_summary_region!I511</f>
        <v>Motorcyclist</v>
      </c>
      <c r="J511" t="str">
        <f>[5]trip_summary_region!J511</f>
        <v>2037/38</v>
      </c>
    </row>
    <row r="512" spans="1:10" x14ac:dyDescent="0.25">
      <c r="A512" t="str">
        <f>[5]trip_summary_region!A512</f>
        <v>07 TARANAKI</v>
      </c>
      <c r="B512">
        <f>[5]trip_summary_region!B512</f>
        <v>5</v>
      </c>
      <c r="C512">
        <f>[5]trip_summary_region!C512</f>
        <v>2043</v>
      </c>
      <c r="D512">
        <f>[5]trip_summary_region!D512</f>
        <v>14</v>
      </c>
      <c r="E512">
        <f>[5]trip_summary_region!E512</f>
        <v>51</v>
      </c>
      <c r="F512">
        <f>[5]trip_summary_region!F512</f>
        <v>0.94675415409999997</v>
      </c>
      <c r="G512">
        <f>[5]trip_summary_region!G512</f>
        <v>6.4570847358999997</v>
      </c>
      <c r="H512">
        <f>[5]trip_summary_region!H512</f>
        <v>0.24167250270000001</v>
      </c>
      <c r="I512" t="str">
        <f>[5]trip_summary_region!I512</f>
        <v>Motorcyclist</v>
      </c>
      <c r="J512" t="str">
        <f>[5]trip_summary_region!J512</f>
        <v>2042/43</v>
      </c>
    </row>
    <row r="513" spans="1:10" x14ac:dyDescent="0.25">
      <c r="A513" t="str">
        <f>[5]trip_summary_region!A513</f>
        <v>07 TARANAKI</v>
      </c>
      <c r="B513">
        <f>[5]trip_summary_region!B513</f>
        <v>6</v>
      </c>
      <c r="C513">
        <f>[5]trip_summary_region!C513</f>
        <v>2013</v>
      </c>
      <c r="D513">
        <f>[5]trip_summary_region!D513</f>
        <v>1</v>
      </c>
      <c r="E513">
        <f>[5]trip_summary_region!E513</f>
        <v>2</v>
      </c>
      <c r="F513">
        <f>[5]trip_summary_region!F513</f>
        <v>5.3266318100000001E-2</v>
      </c>
      <c r="G513">
        <f>[5]trip_summary_region!G513</f>
        <v>0.36455468079999997</v>
      </c>
      <c r="H513">
        <f>[5]trip_summary_region!H513</f>
        <v>8.8777196999999999E-3</v>
      </c>
      <c r="I513" t="str">
        <f>[5]trip_summary_region!I513</f>
        <v>Local Train</v>
      </c>
      <c r="J513" t="str">
        <f>[5]trip_summary_region!J513</f>
        <v>2012/13</v>
      </c>
    </row>
    <row r="514" spans="1:10" x14ac:dyDescent="0.25">
      <c r="A514" t="str">
        <f>[5]trip_summary_region!A514</f>
        <v>07 TARANAKI</v>
      </c>
      <c r="B514">
        <f>[5]trip_summary_region!B514</f>
        <v>6</v>
      </c>
      <c r="C514">
        <f>[5]trip_summary_region!C514</f>
        <v>2018</v>
      </c>
      <c r="D514">
        <f>[5]trip_summary_region!D514</f>
        <v>1</v>
      </c>
      <c r="E514">
        <f>[5]trip_summary_region!E514</f>
        <v>2</v>
      </c>
      <c r="F514">
        <f>[5]trip_summary_region!F514</f>
        <v>5.1328161800000001E-2</v>
      </c>
      <c r="G514">
        <f>[5]trip_summary_region!G514</f>
        <v>0.35128993920000001</v>
      </c>
      <c r="H514">
        <f>[5]trip_summary_region!H514</f>
        <v>8.5546935999999997E-3</v>
      </c>
      <c r="I514" t="str">
        <f>[5]trip_summary_region!I514</f>
        <v>Local Train</v>
      </c>
      <c r="J514" t="str">
        <f>[5]trip_summary_region!J514</f>
        <v>2017/18</v>
      </c>
    </row>
    <row r="515" spans="1:10" x14ac:dyDescent="0.25">
      <c r="A515" t="str">
        <f>[5]trip_summary_region!A515</f>
        <v>07 TARANAKI</v>
      </c>
      <c r="B515">
        <f>[5]trip_summary_region!B515</f>
        <v>6</v>
      </c>
      <c r="C515">
        <f>[5]trip_summary_region!C515</f>
        <v>2023</v>
      </c>
      <c r="D515">
        <f>[5]trip_summary_region!D515</f>
        <v>1</v>
      </c>
      <c r="E515">
        <f>[5]trip_summary_region!E515</f>
        <v>2</v>
      </c>
      <c r="F515">
        <f>[5]trip_summary_region!F515</f>
        <v>4.5856063000000002E-2</v>
      </c>
      <c r="G515">
        <f>[5]trip_summary_region!G515</f>
        <v>0.31383889539999998</v>
      </c>
      <c r="H515">
        <f>[5]trip_summary_region!H515</f>
        <v>7.6426771999999997E-3</v>
      </c>
      <c r="I515" t="str">
        <f>[5]trip_summary_region!I515</f>
        <v>Local Train</v>
      </c>
      <c r="J515" t="str">
        <f>[5]trip_summary_region!J515</f>
        <v>2022/23</v>
      </c>
    </row>
    <row r="516" spans="1:10" x14ac:dyDescent="0.25">
      <c r="A516" t="str">
        <f>[5]trip_summary_region!A516</f>
        <v>07 TARANAKI</v>
      </c>
      <c r="B516">
        <f>[5]trip_summary_region!B516</f>
        <v>6</v>
      </c>
      <c r="C516">
        <f>[5]trip_summary_region!C516</f>
        <v>2028</v>
      </c>
      <c r="D516">
        <f>[5]trip_summary_region!D516</f>
        <v>1</v>
      </c>
      <c r="E516">
        <f>[5]trip_summary_region!E516</f>
        <v>2</v>
      </c>
      <c r="F516">
        <f>[5]trip_summary_region!F516</f>
        <v>4.4473716599999998E-2</v>
      </c>
      <c r="G516">
        <f>[5]trip_summary_region!G516</f>
        <v>0.3043781163</v>
      </c>
      <c r="H516">
        <f>[5]trip_summary_region!H516</f>
        <v>7.4122861000000002E-3</v>
      </c>
      <c r="I516" t="str">
        <f>[5]trip_summary_region!I516</f>
        <v>Local Train</v>
      </c>
      <c r="J516" t="str">
        <f>[5]trip_summary_region!J516</f>
        <v>2027/28</v>
      </c>
    </row>
    <row r="517" spans="1:10" x14ac:dyDescent="0.25">
      <c r="A517" t="str">
        <f>[5]trip_summary_region!A517</f>
        <v>07 TARANAKI</v>
      </c>
      <c r="B517">
        <f>[5]trip_summary_region!B517</f>
        <v>6</v>
      </c>
      <c r="C517">
        <f>[5]trip_summary_region!C517</f>
        <v>2033</v>
      </c>
      <c r="D517">
        <f>[5]trip_summary_region!D517</f>
        <v>1</v>
      </c>
      <c r="E517">
        <f>[5]trip_summary_region!E517</f>
        <v>2</v>
      </c>
      <c r="F517">
        <f>[5]trip_summary_region!F517</f>
        <v>4.8385431700000002E-2</v>
      </c>
      <c r="G517">
        <f>[5]trip_summary_region!G517</f>
        <v>0.33114989449999999</v>
      </c>
      <c r="H517">
        <f>[5]trip_summary_region!H517</f>
        <v>8.0642386000000007E-3</v>
      </c>
      <c r="I517" t="str">
        <f>[5]trip_summary_region!I517</f>
        <v>Local Train</v>
      </c>
      <c r="J517" t="str">
        <f>[5]trip_summary_region!J517</f>
        <v>2032/33</v>
      </c>
    </row>
    <row r="518" spans="1:10" x14ac:dyDescent="0.25">
      <c r="A518" t="str">
        <f>[5]trip_summary_region!A518</f>
        <v>07 TARANAKI</v>
      </c>
      <c r="B518">
        <f>[5]trip_summary_region!B518</f>
        <v>6</v>
      </c>
      <c r="C518">
        <f>[5]trip_summary_region!C518</f>
        <v>2038</v>
      </c>
      <c r="D518">
        <f>[5]trip_summary_region!D518</f>
        <v>1</v>
      </c>
      <c r="E518">
        <f>[5]trip_summary_region!E518</f>
        <v>2</v>
      </c>
      <c r="F518">
        <f>[5]trip_summary_region!F518</f>
        <v>5.6064219999999998E-2</v>
      </c>
      <c r="G518">
        <f>[5]trip_summary_region!G518</f>
        <v>0.38370352159999999</v>
      </c>
      <c r="H518">
        <f>[5]trip_summary_region!H518</f>
        <v>9.3440367000000007E-3</v>
      </c>
      <c r="I518" t="str">
        <f>[5]trip_summary_region!I518</f>
        <v>Local Train</v>
      </c>
      <c r="J518" t="str">
        <f>[5]trip_summary_region!J518</f>
        <v>2037/38</v>
      </c>
    </row>
    <row r="519" spans="1:10" x14ac:dyDescent="0.25">
      <c r="A519" t="str">
        <f>[5]trip_summary_region!A519</f>
        <v>07 TARANAKI</v>
      </c>
      <c r="B519">
        <f>[5]trip_summary_region!B519</f>
        <v>6</v>
      </c>
      <c r="C519">
        <f>[5]trip_summary_region!C519</f>
        <v>2043</v>
      </c>
      <c r="D519">
        <f>[5]trip_summary_region!D519</f>
        <v>1</v>
      </c>
      <c r="E519">
        <f>[5]trip_summary_region!E519</f>
        <v>2</v>
      </c>
      <c r="F519">
        <f>[5]trip_summary_region!F519</f>
        <v>6.3376737899999994E-2</v>
      </c>
      <c r="G519">
        <f>[5]trip_summary_region!G519</f>
        <v>0.43375039389999998</v>
      </c>
      <c r="H519">
        <f>[5]trip_summary_region!H519</f>
        <v>1.0562789600000001E-2</v>
      </c>
      <c r="I519" t="str">
        <f>[5]trip_summary_region!I519</f>
        <v>Local Train</v>
      </c>
      <c r="J519" t="str">
        <f>[5]trip_summary_region!J519</f>
        <v>2042/43</v>
      </c>
    </row>
    <row r="520" spans="1:10" x14ac:dyDescent="0.25">
      <c r="A520" t="str">
        <f>[5]trip_summary_region!A520</f>
        <v>07 TARANAKI</v>
      </c>
      <c r="B520">
        <f>[5]trip_summary_region!B520</f>
        <v>7</v>
      </c>
      <c r="C520">
        <f>[5]trip_summary_region!C520</f>
        <v>2013</v>
      </c>
      <c r="D520">
        <f>[5]trip_summary_region!D520</f>
        <v>22</v>
      </c>
      <c r="E520">
        <f>[5]trip_summary_region!E520</f>
        <v>54</v>
      </c>
      <c r="F520">
        <f>[5]trip_summary_region!F520</f>
        <v>1.2787514622</v>
      </c>
      <c r="G520">
        <f>[5]trip_summary_region!G520</f>
        <v>14.084735078</v>
      </c>
      <c r="H520">
        <f>[5]trip_summary_region!H520</f>
        <v>0.4632962336</v>
      </c>
      <c r="I520" t="str">
        <f>[5]trip_summary_region!I520</f>
        <v>Local Bus</v>
      </c>
      <c r="J520" t="str">
        <f>[5]trip_summary_region!J520</f>
        <v>2012/13</v>
      </c>
    </row>
    <row r="521" spans="1:10" x14ac:dyDescent="0.25">
      <c r="A521" t="str">
        <f>[5]trip_summary_region!A521</f>
        <v>07 TARANAKI</v>
      </c>
      <c r="B521">
        <f>[5]trip_summary_region!B521</f>
        <v>7</v>
      </c>
      <c r="C521">
        <f>[5]trip_summary_region!C521</f>
        <v>2018</v>
      </c>
      <c r="D521">
        <f>[5]trip_summary_region!D521</f>
        <v>22</v>
      </c>
      <c r="E521">
        <f>[5]trip_summary_region!E521</f>
        <v>54</v>
      </c>
      <c r="F521">
        <f>[5]trip_summary_region!F521</f>
        <v>1.3054492605000001</v>
      </c>
      <c r="G521">
        <f>[5]trip_summary_region!G521</f>
        <v>15.051061588</v>
      </c>
      <c r="H521">
        <f>[5]trip_summary_region!H521</f>
        <v>0.46992084690000002</v>
      </c>
      <c r="I521" t="str">
        <f>[5]trip_summary_region!I521</f>
        <v>Local Bus</v>
      </c>
      <c r="J521" t="str">
        <f>[5]trip_summary_region!J521</f>
        <v>2017/18</v>
      </c>
    </row>
    <row r="522" spans="1:10" x14ac:dyDescent="0.25">
      <c r="A522" t="str">
        <f>[5]trip_summary_region!A522</f>
        <v>07 TARANAKI</v>
      </c>
      <c r="B522">
        <f>[5]trip_summary_region!B522</f>
        <v>7</v>
      </c>
      <c r="C522">
        <f>[5]trip_summary_region!C522</f>
        <v>2023</v>
      </c>
      <c r="D522">
        <f>[5]trip_summary_region!D522</f>
        <v>22</v>
      </c>
      <c r="E522">
        <f>[5]trip_summary_region!E522</f>
        <v>54</v>
      </c>
      <c r="F522">
        <f>[5]trip_summary_region!F522</f>
        <v>1.3057410854</v>
      </c>
      <c r="G522">
        <f>[5]trip_summary_region!G522</f>
        <v>15.64016335</v>
      </c>
      <c r="H522">
        <f>[5]trip_summary_region!H522</f>
        <v>0.46911211520000001</v>
      </c>
      <c r="I522" t="str">
        <f>[5]trip_summary_region!I522</f>
        <v>Local Bus</v>
      </c>
      <c r="J522" t="str">
        <f>[5]trip_summary_region!J522</f>
        <v>2022/23</v>
      </c>
    </row>
    <row r="523" spans="1:10" x14ac:dyDescent="0.25">
      <c r="A523" t="str">
        <f>[5]trip_summary_region!A523</f>
        <v>07 TARANAKI</v>
      </c>
      <c r="B523">
        <f>[5]trip_summary_region!B523</f>
        <v>7</v>
      </c>
      <c r="C523">
        <f>[5]trip_summary_region!C523</f>
        <v>2028</v>
      </c>
      <c r="D523">
        <f>[5]trip_summary_region!D523</f>
        <v>22</v>
      </c>
      <c r="E523">
        <f>[5]trip_summary_region!E523</f>
        <v>54</v>
      </c>
      <c r="F523">
        <f>[5]trip_summary_region!F523</f>
        <v>1.2753849182000001</v>
      </c>
      <c r="G523">
        <f>[5]trip_summary_region!G523</f>
        <v>15.545292867000001</v>
      </c>
      <c r="H523">
        <f>[5]trip_summary_region!H523</f>
        <v>0.45844926000000003</v>
      </c>
      <c r="I523" t="str">
        <f>[5]trip_summary_region!I523</f>
        <v>Local Bus</v>
      </c>
      <c r="J523" t="str">
        <f>[5]trip_summary_region!J523</f>
        <v>2027/28</v>
      </c>
    </row>
    <row r="524" spans="1:10" x14ac:dyDescent="0.25">
      <c r="A524" t="str">
        <f>[5]trip_summary_region!A524</f>
        <v>07 TARANAKI</v>
      </c>
      <c r="B524">
        <f>[5]trip_summary_region!B524</f>
        <v>7</v>
      </c>
      <c r="C524">
        <f>[5]trip_summary_region!C524</f>
        <v>2033</v>
      </c>
      <c r="D524">
        <f>[5]trip_summary_region!D524</f>
        <v>22</v>
      </c>
      <c r="E524">
        <f>[5]trip_summary_region!E524</f>
        <v>54</v>
      </c>
      <c r="F524">
        <f>[5]trip_summary_region!F524</f>
        <v>1.2267417540000001</v>
      </c>
      <c r="G524">
        <f>[5]trip_summary_region!G524</f>
        <v>15.222023061</v>
      </c>
      <c r="H524">
        <f>[5]trip_summary_region!H524</f>
        <v>0.44235985880000001</v>
      </c>
      <c r="I524" t="str">
        <f>[5]trip_summary_region!I524</f>
        <v>Local Bus</v>
      </c>
      <c r="J524" t="str">
        <f>[5]trip_summary_region!J524</f>
        <v>2032/33</v>
      </c>
    </row>
    <row r="525" spans="1:10" x14ac:dyDescent="0.25">
      <c r="A525" t="str">
        <f>[5]trip_summary_region!A525</f>
        <v>07 TARANAKI</v>
      </c>
      <c r="B525">
        <f>[5]trip_summary_region!B525</f>
        <v>7</v>
      </c>
      <c r="C525">
        <f>[5]trip_summary_region!C525</f>
        <v>2038</v>
      </c>
      <c r="D525">
        <f>[5]trip_summary_region!D525</f>
        <v>22</v>
      </c>
      <c r="E525">
        <f>[5]trip_summary_region!E525</f>
        <v>54</v>
      </c>
      <c r="F525">
        <f>[5]trip_summary_region!F525</f>
        <v>1.2294697066</v>
      </c>
      <c r="G525">
        <f>[5]trip_summary_region!G525</f>
        <v>16.080845462999999</v>
      </c>
      <c r="H525">
        <f>[5]trip_summary_region!H525</f>
        <v>0.44989020099999999</v>
      </c>
      <c r="I525" t="str">
        <f>[5]trip_summary_region!I525</f>
        <v>Local Bus</v>
      </c>
      <c r="J525" t="str">
        <f>[5]trip_summary_region!J525</f>
        <v>2037/38</v>
      </c>
    </row>
    <row r="526" spans="1:10" x14ac:dyDescent="0.25">
      <c r="A526" t="str">
        <f>[5]trip_summary_region!A526</f>
        <v>07 TARANAKI</v>
      </c>
      <c r="B526">
        <f>[5]trip_summary_region!B526</f>
        <v>7</v>
      </c>
      <c r="C526">
        <f>[5]trip_summary_region!C526</f>
        <v>2043</v>
      </c>
      <c r="D526">
        <f>[5]trip_summary_region!D526</f>
        <v>22</v>
      </c>
      <c r="E526">
        <f>[5]trip_summary_region!E526</f>
        <v>54</v>
      </c>
      <c r="F526">
        <f>[5]trip_summary_region!F526</f>
        <v>1.2296789217999999</v>
      </c>
      <c r="G526">
        <f>[5]trip_summary_region!G526</f>
        <v>16.94682177</v>
      </c>
      <c r="H526">
        <f>[5]trip_summary_region!H526</f>
        <v>0.45703947709999998</v>
      </c>
      <c r="I526" t="str">
        <f>[5]trip_summary_region!I526</f>
        <v>Local Bus</v>
      </c>
      <c r="J526" t="str">
        <f>[5]trip_summary_region!J526</f>
        <v>2042/43</v>
      </c>
    </row>
    <row r="527" spans="1:10" x14ac:dyDescent="0.25">
      <c r="A527" t="str">
        <f>[5]trip_summary_region!A527</f>
        <v>07 TARANAKI</v>
      </c>
      <c r="B527">
        <f>[5]trip_summary_region!B527</f>
        <v>9</v>
      </c>
      <c r="C527">
        <f>[5]trip_summary_region!C527</f>
        <v>2013</v>
      </c>
      <c r="D527">
        <f>[5]trip_summary_region!D527</f>
        <v>4</v>
      </c>
      <c r="E527">
        <f>[5]trip_summary_region!E527</f>
        <v>11</v>
      </c>
      <c r="F527">
        <f>[5]trip_summary_region!F527</f>
        <v>0.17475937220000001</v>
      </c>
      <c r="G527">
        <f>[5]trip_summary_region!G527</f>
        <v>0</v>
      </c>
      <c r="H527">
        <f>[5]trip_summary_region!H527</f>
        <v>5.6354069499999999E-2</v>
      </c>
      <c r="I527" t="str">
        <f>[5]trip_summary_region!I527</f>
        <v>Other Household Travel</v>
      </c>
      <c r="J527" t="str">
        <f>[5]trip_summary_region!J527</f>
        <v>2012/13</v>
      </c>
    </row>
    <row r="528" spans="1:10" x14ac:dyDescent="0.25">
      <c r="A528" t="str">
        <f>[5]trip_summary_region!A528</f>
        <v>07 TARANAKI</v>
      </c>
      <c r="B528">
        <f>[5]trip_summary_region!B528</f>
        <v>9</v>
      </c>
      <c r="C528">
        <f>[5]trip_summary_region!C528</f>
        <v>2018</v>
      </c>
      <c r="D528">
        <f>[5]trip_summary_region!D528</f>
        <v>4</v>
      </c>
      <c r="E528">
        <f>[5]trip_summary_region!E528</f>
        <v>11</v>
      </c>
      <c r="F528">
        <f>[5]trip_summary_region!F528</f>
        <v>0.18407041860000001</v>
      </c>
      <c r="G528">
        <f>[5]trip_summary_region!G528</f>
        <v>0</v>
      </c>
      <c r="H528">
        <f>[5]trip_summary_region!H528</f>
        <v>5.90471682E-2</v>
      </c>
      <c r="I528" t="str">
        <f>[5]trip_summary_region!I528</f>
        <v>Other Household Travel</v>
      </c>
      <c r="J528" t="str">
        <f>[5]trip_summary_region!J528</f>
        <v>2017/18</v>
      </c>
    </row>
    <row r="529" spans="1:10" x14ac:dyDescent="0.25">
      <c r="A529" t="str">
        <f>[5]trip_summary_region!A529</f>
        <v>07 TARANAKI</v>
      </c>
      <c r="B529">
        <f>[5]trip_summary_region!B529</f>
        <v>9</v>
      </c>
      <c r="C529">
        <f>[5]trip_summary_region!C529</f>
        <v>2023</v>
      </c>
      <c r="D529">
        <f>[5]trip_summary_region!D529</f>
        <v>4</v>
      </c>
      <c r="E529">
        <f>[5]trip_summary_region!E529</f>
        <v>11</v>
      </c>
      <c r="F529">
        <f>[5]trip_summary_region!F529</f>
        <v>0.19124480669999999</v>
      </c>
      <c r="G529">
        <f>[5]trip_summary_region!G529</f>
        <v>0</v>
      </c>
      <c r="H529">
        <f>[5]trip_summary_region!H529</f>
        <v>6.2038836100000001E-2</v>
      </c>
      <c r="I529" t="str">
        <f>[5]trip_summary_region!I529</f>
        <v>Other Household Travel</v>
      </c>
      <c r="J529" t="str">
        <f>[5]trip_summary_region!J529</f>
        <v>2022/23</v>
      </c>
    </row>
    <row r="530" spans="1:10" x14ac:dyDescent="0.25">
      <c r="A530" t="str">
        <f>[5]trip_summary_region!A530</f>
        <v>07 TARANAKI</v>
      </c>
      <c r="B530">
        <f>[5]trip_summary_region!B530</f>
        <v>9</v>
      </c>
      <c r="C530">
        <f>[5]trip_summary_region!C530</f>
        <v>2028</v>
      </c>
      <c r="D530">
        <f>[5]trip_summary_region!D530</f>
        <v>4</v>
      </c>
      <c r="E530">
        <f>[5]trip_summary_region!E530</f>
        <v>11</v>
      </c>
      <c r="F530">
        <f>[5]trip_summary_region!F530</f>
        <v>0.19594329660000001</v>
      </c>
      <c r="G530">
        <f>[5]trip_summary_region!G530</f>
        <v>0</v>
      </c>
      <c r="H530">
        <f>[5]trip_summary_region!H530</f>
        <v>6.7968314399999993E-2</v>
      </c>
      <c r="I530" t="str">
        <f>[5]trip_summary_region!I530</f>
        <v>Other Household Travel</v>
      </c>
      <c r="J530" t="str">
        <f>[5]trip_summary_region!J530</f>
        <v>2027/28</v>
      </c>
    </row>
    <row r="531" spans="1:10" x14ac:dyDescent="0.25">
      <c r="A531" t="str">
        <f>[5]trip_summary_region!A531</f>
        <v>07 TARANAKI</v>
      </c>
      <c r="B531">
        <f>[5]trip_summary_region!B531</f>
        <v>9</v>
      </c>
      <c r="C531">
        <f>[5]trip_summary_region!C531</f>
        <v>2033</v>
      </c>
      <c r="D531">
        <f>[5]trip_summary_region!D531</f>
        <v>4</v>
      </c>
      <c r="E531">
        <f>[5]trip_summary_region!E531</f>
        <v>11</v>
      </c>
      <c r="F531">
        <f>[5]trip_summary_region!F531</f>
        <v>0.2128381821</v>
      </c>
      <c r="G531">
        <f>[5]trip_summary_region!G531</f>
        <v>0</v>
      </c>
      <c r="H531">
        <f>[5]trip_summary_region!H531</f>
        <v>7.9599653800000003E-2</v>
      </c>
      <c r="I531" t="str">
        <f>[5]trip_summary_region!I531</f>
        <v>Other Household Travel</v>
      </c>
      <c r="J531" t="str">
        <f>[5]trip_summary_region!J531</f>
        <v>2032/33</v>
      </c>
    </row>
    <row r="532" spans="1:10" x14ac:dyDescent="0.25">
      <c r="A532" t="str">
        <f>[5]trip_summary_region!A532</f>
        <v>07 TARANAKI</v>
      </c>
      <c r="B532">
        <f>[5]trip_summary_region!B532</f>
        <v>9</v>
      </c>
      <c r="C532">
        <f>[5]trip_summary_region!C532</f>
        <v>2038</v>
      </c>
      <c r="D532">
        <f>[5]trip_summary_region!D532</f>
        <v>4</v>
      </c>
      <c r="E532">
        <f>[5]trip_summary_region!E532</f>
        <v>11</v>
      </c>
      <c r="F532">
        <f>[5]trip_summary_region!F532</f>
        <v>0.22320737660000001</v>
      </c>
      <c r="G532">
        <f>[5]trip_summary_region!G532</f>
        <v>0</v>
      </c>
      <c r="H532">
        <f>[5]trip_summary_region!H532</f>
        <v>8.7074746199999997E-2</v>
      </c>
      <c r="I532" t="str">
        <f>[5]trip_summary_region!I532</f>
        <v>Other Household Travel</v>
      </c>
      <c r="J532" t="str">
        <f>[5]trip_summary_region!J532</f>
        <v>2037/38</v>
      </c>
    </row>
    <row r="533" spans="1:10" x14ac:dyDescent="0.25">
      <c r="A533" t="str">
        <f>[5]trip_summary_region!A533</f>
        <v>07 TARANAKI</v>
      </c>
      <c r="B533">
        <f>[5]trip_summary_region!B533</f>
        <v>9</v>
      </c>
      <c r="C533">
        <f>[5]trip_summary_region!C533</f>
        <v>2043</v>
      </c>
      <c r="D533">
        <f>[5]trip_summary_region!D533</f>
        <v>4</v>
      </c>
      <c r="E533">
        <f>[5]trip_summary_region!E533</f>
        <v>11</v>
      </c>
      <c r="F533">
        <f>[5]trip_summary_region!F533</f>
        <v>0.22671599570000001</v>
      </c>
      <c r="G533">
        <f>[5]trip_summary_region!G533</f>
        <v>0</v>
      </c>
      <c r="H533">
        <f>[5]trip_summary_region!H533</f>
        <v>9.0784232699999995E-2</v>
      </c>
      <c r="I533" t="str">
        <f>[5]trip_summary_region!I533</f>
        <v>Other Household Travel</v>
      </c>
      <c r="J533" t="str">
        <f>[5]trip_summary_region!J533</f>
        <v>2042/43</v>
      </c>
    </row>
    <row r="534" spans="1:10" x14ac:dyDescent="0.25">
      <c r="A534" t="str">
        <f>[5]trip_summary_region!A534</f>
        <v>07 TARANAKI</v>
      </c>
      <c r="B534">
        <f>[5]trip_summary_region!B534</f>
        <v>10</v>
      </c>
      <c r="C534">
        <f>[5]trip_summary_region!C534</f>
        <v>2013</v>
      </c>
      <c r="D534">
        <f>[5]trip_summary_region!D534</f>
        <v>7</v>
      </c>
      <c r="E534">
        <f>[5]trip_summary_region!E534</f>
        <v>9</v>
      </c>
      <c r="F534">
        <f>[5]trip_summary_region!F534</f>
        <v>0.31946750800000001</v>
      </c>
      <c r="G534">
        <f>[5]trip_summary_region!G534</f>
        <v>11.123016451</v>
      </c>
      <c r="H534">
        <f>[5]trip_summary_region!H534</f>
        <v>0.97687121219999995</v>
      </c>
      <c r="I534" t="str">
        <f>[5]trip_summary_region!I534</f>
        <v>Air/Non-Local PT</v>
      </c>
      <c r="J534" t="str">
        <f>[5]trip_summary_region!J534</f>
        <v>2012/13</v>
      </c>
    </row>
    <row r="535" spans="1:10" x14ac:dyDescent="0.25">
      <c r="A535" t="str">
        <f>[5]trip_summary_region!A535</f>
        <v>07 TARANAKI</v>
      </c>
      <c r="B535">
        <f>[5]trip_summary_region!B535</f>
        <v>10</v>
      </c>
      <c r="C535">
        <f>[5]trip_summary_region!C535</f>
        <v>2018</v>
      </c>
      <c r="D535">
        <f>[5]trip_summary_region!D535</f>
        <v>7</v>
      </c>
      <c r="E535">
        <f>[5]trip_summary_region!E535</f>
        <v>9</v>
      </c>
      <c r="F535">
        <f>[5]trip_summary_region!F535</f>
        <v>0.27794156050000002</v>
      </c>
      <c r="G535">
        <f>[5]trip_summary_region!G535</f>
        <v>12.142658781</v>
      </c>
      <c r="H535">
        <f>[5]trip_summary_region!H535</f>
        <v>0.85199087060000001</v>
      </c>
      <c r="I535" t="str">
        <f>[5]trip_summary_region!I535</f>
        <v>Air/Non-Local PT</v>
      </c>
      <c r="J535" t="str">
        <f>[5]trip_summary_region!J535</f>
        <v>2017/18</v>
      </c>
    </row>
    <row r="536" spans="1:10" x14ac:dyDescent="0.25">
      <c r="A536" t="str">
        <f>[5]trip_summary_region!A536</f>
        <v>07 TARANAKI</v>
      </c>
      <c r="B536">
        <f>[5]trip_summary_region!B536</f>
        <v>10</v>
      </c>
      <c r="C536">
        <f>[5]trip_summary_region!C536</f>
        <v>2023</v>
      </c>
      <c r="D536">
        <f>[5]trip_summary_region!D536</f>
        <v>7</v>
      </c>
      <c r="E536">
        <f>[5]trip_summary_region!E536</f>
        <v>9</v>
      </c>
      <c r="F536">
        <f>[5]trip_summary_region!F536</f>
        <v>0.2508483299</v>
      </c>
      <c r="G536">
        <f>[5]trip_summary_region!G536</f>
        <v>14.212996303000001</v>
      </c>
      <c r="H536">
        <f>[5]trip_summary_region!H536</f>
        <v>0.77473971419999998</v>
      </c>
      <c r="I536" t="str">
        <f>[5]trip_summary_region!I536</f>
        <v>Air/Non-Local PT</v>
      </c>
      <c r="J536" t="str">
        <f>[5]trip_summary_region!J536</f>
        <v>2022/23</v>
      </c>
    </row>
    <row r="537" spans="1:10" x14ac:dyDescent="0.25">
      <c r="A537" t="str">
        <f>[5]trip_summary_region!A537</f>
        <v>07 TARANAKI</v>
      </c>
      <c r="B537">
        <f>[5]trip_summary_region!B537</f>
        <v>10</v>
      </c>
      <c r="C537">
        <f>[5]trip_summary_region!C537</f>
        <v>2028</v>
      </c>
      <c r="D537">
        <f>[5]trip_summary_region!D537</f>
        <v>7</v>
      </c>
      <c r="E537">
        <f>[5]trip_summary_region!E537</f>
        <v>9</v>
      </c>
      <c r="F537">
        <f>[5]trip_summary_region!F537</f>
        <v>0.24534464410000001</v>
      </c>
      <c r="G537">
        <f>[5]trip_summary_region!G537</f>
        <v>17.157485032</v>
      </c>
      <c r="H537">
        <f>[5]trip_summary_region!H537</f>
        <v>0.76463990530000003</v>
      </c>
      <c r="I537" t="str">
        <f>[5]trip_summary_region!I537</f>
        <v>Air/Non-Local PT</v>
      </c>
      <c r="J537" t="str">
        <f>[5]trip_summary_region!J537</f>
        <v>2027/28</v>
      </c>
    </row>
    <row r="538" spans="1:10" x14ac:dyDescent="0.25">
      <c r="A538" t="str">
        <f>[5]trip_summary_region!A538</f>
        <v>07 TARANAKI</v>
      </c>
      <c r="B538">
        <f>[5]trip_summary_region!B538</f>
        <v>10</v>
      </c>
      <c r="C538">
        <f>[5]trip_summary_region!C538</f>
        <v>2033</v>
      </c>
      <c r="D538">
        <f>[5]trip_summary_region!D538</f>
        <v>7</v>
      </c>
      <c r="E538">
        <f>[5]trip_summary_region!E538</f>
        <v>9</v>
      </c>
      <c r="F538">
        <f>[5]trip_summary_region!F538</f>
        <v>0.24396277969999999</v>
      </c>
      <c r="G538">
        <f>[5]trip_summary_region!G538</f>
        <v>19.466513424999999</v>
      </c>
      <c r="H538">
        <f>[5]trip_summary_region!H538</f>
        <v>0.75794253659999999</v>
      </c>
      <c r="I538" t="str">
        <f>[5]trip_summary_region!I538</f>
        <v>Air/Non-Local PT</v>
      </c>
      <c r="J538" t="str">
        <f>[5]trip_summary_region!J538</f>
        <v>2032/33</v>
      </c>
    </row>
    <row r="539" spans="1:10" x14ac:dyDescent="0.25">
      <c r="A539" t="str">
        <f>[5]trip_summary_region!A539</f>
        <v>07 TARANAKI</v>
      </c>
      <c r="B539">
        <f>[5]trip_summary_region!B539</f>
        <v>10</v>
      </c>
      <c r="C539">
        <f>[5]trip_summary_region!C539</f>
        <v>2038</v>
      </c>
      <c r="D539">
        <f>[5]trip_summary_region!D539</f>
        <v>7</v>
      </c>
      <c r="E539">
        <f>[5]trip_summary_region!E539</f>
        <v>9</v>
      </c>
      <c r="F539">
        <f>[5]trip_summary_region!F539</f>
        <v>0.24470186860000001</v>
      </c>
      <c r="G539">
        <f>[5]trip_summary_region!G539</f>
        <v>22.086109086</v>
      </c>
      <c r="H539">
        <f>[5]trip_summary_region!H539</f>
        <v>0.75256131920000002</v>
      </c>
      <c r="I539" t="str">
        <f>[5]trip_summary_region!I539</f>
        <v>Air/Non-Local PT</v>
      </c>
      <c r="J539" t="str">
        <f>[5]trip_summary_region!J539</f>
        <v>2037/38</v>
      </c>
    </row>
    <row r="540" spans="1:10" x14ac:dyDescent="0.25">
      <c r="A540" t="str">
        <f>[5]trip_summary_region!A540</f>
        <v>07 TARANAKI</v>
      </c>
      <c r="B540">
        <f>[5]trip_summary_region!B540</f>
        <v>10</v>
      </c>
      <c r="C540">
        <f>[5]trip_summary_region!C540</f>
        <v>2043</v>
      </c>
      <c r="D540">
        <f>[5]trip_summary_region!D540</f>
        <v>7</v>
      </c>
      <c r="E540">
        <f>[5]trip_summary_region!E540</f>
        <v>9</v>
      </c>
      <c r="F540">
        <f>[5]trip_summary_region!F540</f>
        <v>0.24366113880000001</v>
      </c>
      <c r="G540">
        <f>[5]trip_summary_region!G540</f>
        <v>24.614412418000001</v>
      </c>
      <c r="H540">
        <f>[5]trip_summary_region!H540</f>
        <v>0.74342978630000001</v>
      </c>
      <c r="I540" t="str">
        <f>[5]trip_summary_region!I540</f>
        <v>Air/Non-Local PT</v>
      </c>
      <c r="J540" t="str">
        <f>[5]trip_summary_region!J540</f>
        <v>2042/43</v>
      </c>
    </row>
    <row r="541" spans="1:10" x14ac:dyDescent="0.25">
      <c r="A541" t="str">
        <f>[5]trip_summary_region!A541</f>
        <v>07 TARANAKI</v>
      </c>
      <c r="B541">
        <f>[5]trip_summary_region!B541</f>
        <v>11</v>
      </c>
      <c r="C541">
        <f>[5]trip_summary_region!C541</f>
        <v>2013</v>
      </c>
      <c r="D541">
        <f>[5]trip_summary_region!D541</f>
        <v>28</v>
      </c>
      <c r="E541">
        <f>[5]trip_summary_region!E541</f>
        <v>118</v>
      </c>
      <c r="F541">
        <f>[5]trip_summary_region!F541</f>
        <v>3.0516698092999999</v>
      </c>
      <c r="G541">
        <f>[5]trip_summary_region!G541</f>
        <v>51.301529111999997</v>
      </c>
      <c r="H541">
        <f>[5]trip_summary_region!H541</f>
        <v>1.1153896443</v>
      </c>
      <c r="I541" t="str">
        <f>[5]trip_summary_region!I541</f>
        <v>Non-Household Travel</v>
      </c>
      <c r="J541" t="str">
        <f>[5]trip_summary_region!J541</f>
        <v>2012/13</v>
      </c>
    </row>
    <row r="542" spans="1:10" x14ac:dyDescent="0.25">
      <c r="A542" t="str">
        <f>[5]trip_summary_region!A542</f>
        <v>07 TARANAKI</v>
      </c>
      <c r="B542">
        <f>[5]trip_summary_region!B542</f>
        <v>11</v>
      </c>
      <c r="C542">
        <f>[5]trip_summary_region!C542</f>
        <v>2018</v>
      </c>
      <c r="D542">
        <f>[5]trip_summary_region!D542</f>
        <v>28</v>
      </c>
      <c r="E542">
        <f>[5]trip_summary_region!E542</f>
        <v>118</v>
      </c>
      <c r="F542">
        <f>[5]trip_summary_region!F542</f>
        <v>3.3802598205000001</v>
      </c>
      <c r="G542">
        <f>[5]trip_summary_region!G542</f>
        <v>56.394094404000001</v>
      </c>
      <c r="H542">
        <f>[5]trip_summary_region!H542</f>
        <v>1.2484914064999999</v>
      </c>
      <c r="I542" t="str">
        <f>[5]trip_summary_region!I542</f>
        <v>Non-Household Travel</v>
      </c>
      <c r="J542" t="str">
        <f>[5]trip_summary_region!J542</f>
        <v>2017/18</v>
      </c>
    </row>
    <row r="543" spans="1:10" x14ac:dyDescent="0.25">
      <c r="A543" t="str">
        <f>[5]trip_summary_region!A543</f>
        <v>07 TARANAKI</v>
      </c>
      <c r="B543">
        <f>[5]trip_summary_region!B543</f>
        <v>11</v>
      </c>
      <c r="C543">
        <f>[5]trip_summary_region!C543</f>
        <v>2023</v>
      </c>
      <c r="D543">
        <f>[5]trip_summary_region!D543</f>
        <v>28</v>
      </c>
      <c r="E543">
        <f>[5]trip_summary_region!E543</f>
        <v>118</v>
      </c>
      <c r="F543">
        <f>[5]trip_summary_region!F543</f>
        <v>3.6530115433999999</v>
      </c>
      <c r="G543">
        <f>[5]trip_summary_region!G543</f>
        <v>60.343290213000003</v>
      </c>
      <c r="H543">
        <f>[5]trip_summary_region!H543</f>
        <v>1.3570601631999999</v>
      </c>
      <c r="I543" t="str">
        <f>[5]trip_summary_region!I543</f>
        <v>Non-Household Travel</v>
      </c>
      <c r="J543" t="str">
        <f>[5]trip_summary_region!J543</f>
        <v>2022/23</v>
      </c>
    </row>
    <row r="544" spans="1:10" x14ac:dyDescent="0.25">
      <c r="A544" t="str">
        <f>[5]trip_summary_region!A544</f>
        <v>07 TARANAKI</v>
      </c>
      <c r="B544">
        <f>[5]trip_summary_region!B544</f>
        <v>11</v>
      </c>
      <c r="C544">
        <f>[5]trip_summary_region!C544</f>
        <v>2028</v>
      </c>
      <c r="D544">
        <f>[5]trip_summary_region!D544</f>
        <v>28</v>
      </c>
      <c r="E544">
        <f>[5]trip_summary_region!E544</f>
        <v>118</v>
      </c>
      <c r="F544">
        <f>[5]trip_summary_region!F544</f>
        <v>3.8101327957</v>
      </c>
      <c r="G544">
        <f>[5]trip_summary_region!G544</f>
        <v>61.296292610999998</v>
      </c>
      <c r="H544">
        <f>[5]trip_summary_region!H544</f>
        <v>1.4049857916999999</v>
      </c>
      <c r="I544" t="str">
        <f>[5]trip_summary_region!I544</f>
        <v>Non-Household Travel</v>
      </c>
      <c r="J544" t="str">
        <f>[5]trip_summary_region!J544</f>
        <v>2027/28</v>
      </c>
    </row>
    <row r="545" spans="1:10" x14ac:dyDescent="0.25">
      <c r="A545" t="str">
        <f>[5]trip_summary_region!A545</f>
        <v>07 TARANAKI</v>
      </c>
      <c r="B545">
        <f>[5]trip_summary_region!B545</f>
        <v>11</v>
      </c>
      <c r="C545">
        <f>[5]trip_summary_region!C545</f>
        <v>2033</v>
      </c>
      <c r="D545">
        <f>[5]trip_summary_region!D545</f>
        <v>28</v>
      </c>
      <c r="E545">
        <f>[5]trip_summary_region!E545</f>
        <v>118</v>
      </c>
      <c r="F545">
        <f>[5]trip_summary_region!F545</f>
        <v>3.9040428885999998</v>
      </c>
      <c r="G545">
        <f>[5]trip_summary_region!G545</f>
        <v>61.609474550999998</v>
      </c>
      <c r="H545">
        <f>[5]trip_summary_region!H545</f>
        <v>1.4236484731000001</v>
      </c>
      <c r="I545" t="str">
        <f>[5]trip_summary_region!I545</f>
        <v>Non-Household Travel</v>
      </c>
      <c r="J545" t="str">
        <f>[5]trip_summary_region!J545</f>
        <v>2032/33</v>
      </c>
    </row>
    <row r="546" spans="1:10" x14ac:dyDescent="0.25">
      <c r="A546" t="str">
        <f>[5]trip_summary_region!A546</f>
        <v>07 TARANAKI</v>
      </c>
      <c r="B546">
        <f>[5]trip_summary_region!B546</f>
        <v>11</v>
      </c>
      <c r="C546">
        <f>[5]trip_summary_region!C546</f>
        <v>2038</v>
      </c>
      <c r="D546">
        <f>[5]trip_summary_region!D546</f>
        <v>28</v>
      </c>
      <c r="E546">
        <f>[5]trip_summary_region!E546</f>
        <v>118</v>
      </c>
      <c r="F546">
        <f>[5]trip_summary_region!F546</f>
        <v>3.9689608139999999</v>
      </c>
      <c r="G546">
        <f>[5]trip_summary_region!G546</f>
        <v>61.530870606999997</v>
      </c>
      <c r="H546">
        <f>[5]trip_summary_region!H546</f>
        <v>1.4217737726999999</v>
      </c>
      <c r="I546" t="str">
        <f>[5]trip_summary_region!I546</f>
        <v>Non-Household Travel</v>
      </c>
      <c r="J546" t="str">
        <f>[5]trip_summary_region!J546</f>
        <v>2037/38</v>
      </c>
    </row>
    <row r="547" spans="1:10" x14ac:dyDescent="0.25">
      <c r="A547" t="str">
        <f>[5]trip_summary_region!A547</f>
        <v>07 TARANAKI</v>
      </c>
      <c r="B547">
        <f>[5]trip_summary_region!B547</f>
        <v>11</v>
      </c>
      <c r="C547">
        <f>[5]trip_summary_region!C547</f>
        <v>2043</v>
      </c>
      <c r="D547">
        <f>[5]trip_summary_region!D547</f>
        <v>28</v>
      </c>
      <c r="E547">
        <f>[5]trip_summary_region!E547</f>
        <v>118</v>
      </c>
      <c r="F547">
        <f>[5]trip_summary_region!F547</f>
        <v>4.0243925613</v>
      </c>
      <c r="G547">
        <f>[5]trip_summary_region!G547</f>
        <v>61.239368857999999</v>
      </c>
      <c r="H547">
        <f>[5]trip_summary_region!H547</f>
        <v>1.4145260581000001</v>
      </c>
      <c r="I547" t="str">
        <f>[5]trip_summary_region!I547</f>
        <v>Non-Household Travel</v>
      </c>
      <c r="J547" t="str">
        <f>[5]trip_summary_region!J547</f>
        <v>2042/43</v>
      </c>
    </row>
    <row r="548" spans="1:10" x14ac:dyDescent="0.25">
      <c r="A548" t="str">
        <f>[5]trip_summary_region!A548</f>
        <v>08 MANAWATU-WANGANUI</v>
      </c>
      <c r="B548">
        <f>[5]trip_summary_region!B548</f>
        <v>0</v>
      </c>
      <c r="C548">
        <f>[5]trip_summary_region!C548</f>
        <v>2013</v>
      </c>
      <c r="D548">
        <f>[5]trip_summary_region!D548</f>
        <v>214</v>
      </c>
      <c r="E548">
        <f>[5]trip_summary_region!E548</f>
        <v>797</v>
      </c>
      <c r="F548">
        <f>[5]trip_summary_region!F548</f>
        <v>39.544031846000003</v>
      </c>
      <c r="G548">
        <f>[5]trip_summary_region!G548</f>
        <v>32.265609755</v>
      </c>
      <c r="H548">
        <f>[5]trip_summary_region!H548</f>
        <v>8.3408449691000008</v>
      </c>
      <c r="I548" t="str">
        <f>[5]trip_summary_region!I548</f>
        <v>Pedestrian</v>
      </c>
      <c r="J548" t="str">
        <f>[5]trip_summary_region!J548</f>
        <v>2012/13</v>
      </c>
    </row>
    <row r="549" spans="1:10" x14ac:dyDescent="0.25">
      <c r="A549" t="str">
        <f>[5]trip_summary_region!A549</f>
        <v>08 MANAWATU-WANGANUI</v>
      </c>
      <c r="B549">
        <f>[5]trip_summary_region!B549</f>
        <v>0</v>
      </c>
      <c r="C549">
        <f>[5]trip_summary_region!C549</f>
        <v>2018</v>
      </c>
      <c r="D549">
        <f>[5]trip_summary_region!D549</f>
        <v>214</v>
      </c>
      <c r="E549">
        <f>[5]trip_summary_region!E549</f>
        <v>797</v>
      </c>
      <c r="F549">
        <f>[5]trip_summary_region!F549</f>
        <v>38.372721085000002</v>
      </c>
      <c r="G549">
        <f>[5]trip_summary_region!G549</f>
        <v>31.961970773000001</v>
      </c>
      <c r="H549">
        <f>[5]trip_summary_region!H549</f>
        <v>8.1247810713999993</v>
      </c>
      <c r="I549" t="str">
        <f>[5]trip_summary_region!I549</f>
        <v>Pedestrian</v>
      </c>
      <c r="J549" t="str">
        <f>[5]trip_summary_region!J549</f>
        <v>2017/18</v>
      </c>
    </row>
    <row r="550" spans="1:10" x14ac:dyDescent="0.25">
      <c r="A550" t="str">
        <f>[5]trip_summary_region!A550</f>
        <v>08 MANAWATU-WANGANUI</v>
      </c>
      <c r="B550">
        <f>[5]trip_summary_region!B550</f>
        <v>0</v>
      </c>
      <c r="C550">
        <f>[5]trip_summary_region!C550</f>
        <v>2023</v>
      </c>
      <c r="D550">
        <f>[5]trip_summary_region!D550</f>
        <v>214</v>
      </c>
      <c r="E550">
        <f>[5]trip_summary_region!E550</f>
        <v>797</v>
      </c>
      <c r="F550">
        <f>[5]trip_summary_region!F550</f>
        <v>36.858242103999999</v>
      </c>
      <c r="G550">
        <f>[5]trip_summary_region!G550</f>
        <v>31.111035954999998</v>
      </c>
      <c r="H550">
        <f>[5]trip_summary_region!H550</f>
        <v>7.8011748351000003</v>
      </c>
      <c r="I550" t="str">
        <f>[5]trip_summary_region!I550</f>
        <v>Pedestrian</v>
      </c>
      <c r="J550" t="str">
        <f>[5]trip_summary_region!J550</f>
        <v>2022/23</v>
      </c>
    </row>
    <row r="551" spans="1:10" x14ac:dyDescent="0.25">
      <c r="A551" t="str">
        <f>[5]trip_summary_region!A551</f>
        <v>08 MANAWATU-WANGANUI</v>
      </c>
      <c r="B551">
        <f>[5]trip_summary_region!B551</f>
        <v>0</v>
      </c>
      <c r="C551">
        <f>[5]trip_summary_region!C551</f>
        <v>2028</v>
      </c>
      <c r="D551">
        <f>[5]trip_summary_region!D551</f>
        <v>214</v>
      </c>
      <c r="E551">
        <f>[5]trip_summary_region!E551</f>
        <v>797</v>
      </c>
      <c r="F551">
        <f>[5]trip_summary_region!F551</f>
        <v>34.365186735999998</v>
      </c>
      <c r="G551">
        <f>[5]trip_summary_region!G551</f>
        <v>29.291542627999998</v>
      </c>
      <c r="H551">
        <f>[5]trip_summary_region!H551</f>
        <v>7.2675200347000004</v>
      </c>
      <c r="I551" t="str">
        <f>[5]trip_summary_region!I551</f>
        <v>Pedestrian</v>
      </c>
      <c r="J551" t="str">
        <f>[5]trip_summary_region!J551</f>
        <v>2027/28</v>
      </c>
    </row>
    <row r="552" spans="1:10" x14ac:dyDescent="0.25">
      <c r="A552" t="str">
        <f>[5]trip_summary_region!A552</f>
        <v>08 MANAWATU-WANGANUI</v>
      </c>
      <c r="B552">
        <f>[5]trip_summary_region!B552</f>
        <v>0</v>
      </c>
      <c r="C552">
        <f>[5]trip_summary_region!C552</f>
        <v>2033</v>
      </c>
      <c r="D552">
        <f>[5]trip_summary_region!D552</f>
        <v>214</v>
      </c>
      <c r="E552">
        <f>[5]trip_summary_region!E552</f>
        <v>797</v>
      </c>
      <c r="F552">
        <f>[5]trip_summary_region!F552</f>
        <v>32.261632708</v>
      </c>
      <c r="G552">
        <f>[5]trip_summary_region!G552</f>
        <v>27.515261346999999</v>
      </c>
      <c r="H552">
        <f>[5]trip_summary_region!H552</f>
        <v>6.7515508337999997</v>
      </c>
      <c r="I552" t="str">
        <f>[5]trip_summary_region!I552</f>
        <v>Pedestrian</v>
      </c>
      <c r="J552" t="str">
        <f>[5]trip_summary_region!J552</f>
        <v>2032/33</v>
      </c>
    </row>
    <row r="553" spans="1:10" x14ac:dyDescent="0.25">
      <c r="A553" t="str">
        <f>[5]trip_summary_region!A553</f>
        <v>08 MANAWATU-WANGANUI</v>
      </c>
      <c r="B553">
        <f>[5]trip_summary_region!B553</f>
        <v>0</v>
      </c>
      <c r="C553">
        <f>[5]trip_summary_region!C553</f>
        <v>2038</v>
      </c>
      <c r="D553">
        <f>[5]trip_summary_region!D553</f>
        <v>214</v>
      </c>
      <c r="E553">
        <f>[5]trip_summary_region!E553</f>
        <v>797</v>
      </c>
      <c r="F553">
        <f>[5]trip_summary_region!F553</f>
        <v>30.500973905999999</v>
      </c>
      <c r="G553">
        <f>[5]trip_summary_region!G553</f>
        <v>25.940383285999999</v>
      </c>
      <c r="H553">
        <f>[5]trip_summary_region!H553</f>
        <v>6.2596861104999997</v>
      </c>
      <c r="I553" t="str">
        <f>[5]trip_summary_region!I553</f>
        <v>Pedestrian</v>
      </c>
      <c r="J553" t="str">
        <f>[5]trip_summary_region!J553</f>
        <v>2037/38</v>
      </c>
    </row>
    <row r="554" spans="1:10" x14ac:dyDescent="0.25">
      <c r="A554" t="str">
        <f>[5]trip_summary_region!A554</f>
        <v>08 MANAWATU-WANGANUI</v>
      </c>
      <c r="B554">
        <f>[5]trip_summary_region!B554</f>
        <v>0</v>
      </c>
      <c r="C554">
        <f>[5]trip_summary_region!C554</f>
        <v>2043</v>
      </c>
      <c r="D554">
        <f>[5]trip_summary_region!D554</f>
        <v>214</v>
      </c>
      <c r="E554">
        <f>[5]trip_summary_region!E554</f>
        <v>797</v>
      </c>
      <c r="F554">
        <f>[5]trip_summary_region!F554</f>
        <v>28.890289515999999</v>
      </c>
      <c r="G554">
        <f>[5]trip_summary_region!G554</f>
        <v>24.518547519999998</v>
      </c>
      <c r="H554">
        <f>[5]trip_summary_region!H554</f>
        <v>5.8106014674999997</v>
      </c>
      <c r="I554" t="str">
        <f>[5]trip_summary_region!I554</f>
        <v>Pedestrian</v>
      </c>
      <c r="J554" t="str">
        <f>[5]trip_summary_region!J554</f>
        <v>2042/43</v>
      </c>
    </row>
    <row r="555" spans="1:10" x14ac:dyDescent="0.25">
      <c r="A555" t="str">
        <f>[5]trip_summary_region!A555</f>
        <v>08 MANAWATU-WANGANUI</v>
      </c>
      <c r="B555">
        <f>[5]trip_summary_region!B555</f>
        <v>1</v>
      </c>
      <c r="C555">
        <f>[5]trip_summary_region!C555</f>
        <v>2013</v>
      </c>
      <c r="D555">
        <f>[5]trip_summary_region!D555</f>
        <v>33</v>
      </c>
      <c r="E555">
        <f>[5]trip_summary_region!E555</f>
        <v>96</v>
      </c>
      <c r="F555">
        <f>[5]trip_summary_region!F555</f>
        <v>4.6745036201000003</v>
      </c>
      <c r="G555">
        <f>[5]trip_summary_region!G555</f>
        <v>20.722330986999999</v>
      </c>
      <c r="H555">
        <f>[5]trip_summary_region!H555</f>
        <v>1.7566260256999999</v>
      </c>
      <c r="I555" t="str">
        <f>[5]trip_summary_region!I555</f>
        <v>Cyclist</v>
      </c>
      <c r="J555" t="str">
        <f>[5]trip_summary_region!J555</f>
        <v>2012/13</v>
      </c>
    </row>
    <row r="556" spans="1:10" x14ac:dyDescent="0.25">
      <c r="A556" t="str">
        <f>[5]trip_summary_region!A556</f>
        <v>08 MANAWATU-WANGANUI</v>
      </c>
      <c r="B556">
        <f>[5]trip_summary_region!B556</f>
        <v>1</v>
      </c>
      <c r="C556">
        <f>[5]trip_summary_region!C556</f>
        <v>2018</v>
      </c>
      <c r="D556">
        <f>[5]trip_summary_region!D556</f>
        <v>33</v>
      </c>
      <c r="E556">
        <f>[5]trip_summary_region!E556</f>
        <v>96</v>
      </c>
      <c r="F556">
        <f>[5]trip_summary_region!F556</f>
        <v>4.8377012942000004</v>
      </c>
      <c r="G556">
        <f>[5]trip_summary_region!G556</f>
        <v>22.873044531000001</v>
      </c>
      <c r="H556">
        <f>[5]trip_summary_region!H556</f>
        <v>1.8991032335</v>
      </c>
      <c r="I556" t="str">
        <f>[5]trip_summary_region!I556</f>
        <v>Cyclist</v>
      </c>
      <c r="J556" t="str">
        <f>[5]trip_summary_region!J556</f>
        <v>2017/18</v>
      </c>
    </row>
    <row r="557" spans="1:10" x14ac:dyDescent="0.25">
      <c r="A557" t="str">
        <f>[5]trip_summary_region!A557</f>
        <v>08 MANAWATU-WANGANUI</v>
      </c>
      <c r="B557">
        <f>[5]trip_summary_region!B557</f>
        <v>1</v>
      </c>
      <c r="C557">
        <f>[5]trip_summary_region!C557</f>
        <v>2023</v>
      </c>
      <c r="D557">
        <f>[5]trip_summary_region!D557</f>
        <v>33</v>
      </c>
      <c r="E557">
        <f>[5]trip_summary_region!E557</f>
        <v>96</v>
      </c>
      <c r="F557">
        <f>[5]trip_summary_region!F557</f>
        <v>4.9633109367000001</v>
      </c>
      <c r="G557">
        <f>[5]trip_summary_region!G557</f>
        <v>24.182825050999998</v>
      </c>
      <c r="H557">
        <f>[5]trip_summary_region!H557</f>
        <v>1.9954511542</v>
      </c>
      <c r="I557" t="str">
        <f>[5]trip_summary_region!I557</f>
        <v>Cyclist</v>
      </c>
      <c r="J557" t="str">
        <f>[5]trip_summary_region!J557</f>
        <v>2022/23</v>
      </c>
    </row>
    <row r="558" spans="1:10" x14ac:dyDescent="0.25">
      <c r="A558" t="str">
        <f>[5]trip_summary_region!A558</f>
        <v>08 MANAWATU-WANGANUI</v>
      </c>
      <c r="B558">
        <f>[5]trip_summary_region!B558</f>
        <v>1</v>
      </c>
      <c r="C558">
        <f>[5]trip_summary_region!C558</f>
        <v>2028</v>
      </c>
      <c r="D558">
        <f>[5]trip_summary_region!D558</f>
        <v>33</v>
      </c>
      <c r="E558">
        <f>[5]trip_summary_region!E558</f>
        <v>96</v>
      </c>
      <c r="F558">
        <f>[5]trip_summary_region!F558</f>
        <v>5.0788523552999996</v>
      </c>
      <c r="G558">
        <f>[5]trip_summary_region!G558</f>
        <v>24.438713443000001</v>
      </c>
      <c r="H558">
        <f>[5]trip_summary_region!H558</f>
        <v>2.0410659093999999</v>
      </c>
      <c r="I558" t="str">
        <f>[5]trip_summary_region!I558</f>
        <v>Cyclist</v>
      </c>
      <c r="J558" t="str">
        <f>[5]trip_summary_region!J558</f>
        <v>2027/28</v>
      </c>
    </row>
    <row r="559" spans="1:10" x14ac:dyDescent="0.25">
      <c r="A559" t="str">
        <f>[5]trip_summary_region!A559</f>
        <v>08 MANAWATU-WANGANUI</v>
      </c>
      <c r="B559">
        <f>[5]trip_summary_region!B559</f>
        <v>1</v>
      </c>
      <c r="C559">
        <f>[5]trip_summary_region!C559</f>
        <v>2033</v>
      </c>
      <c r="D559">
        <f>[5]trip_summary_region!D559</f>
        <v>33</v>
      </c>
      <c r="E559">
        <f>[5]trip_summary_region!E559</f>
        <v>96</v>
      </c>
      <c r="F559">
        <f>[5]trip_summary_region!F559</f>
        <v>5.2175805204000003</v>
      </c>
      <c r="G559">
        <f>[5]trip_summary_region!G559</f>
        <v>24.545137880999999</v>
      </c>
      <c r="H559">
        <f>[5]trip_summary_region!H559</f>
        <v>2.0715566698000001</v>
      </c>
      <c r="I559" t="str">
        <f>[5]trip_summary_region!I559</f>
        <v>Cyclist</v>
      </c>
      <c r="J559" t="str">
        <f>[5]trip_summary_region!J559</f>
        <v>2032/33</v>
      </c>
    </row>
    <row r="560" spans="1:10" x14ac:dyDescent="0.25">
      <c r="A560" t="str">
        <f>[5]trip_summary_region!A560</f>
        <v>08 MANAWATU-WANGANUI</v>
      </c>
      <c r="B560">
        <f>[5]trip_summary_region!B560</f>
        <v>1</v>
      </c>
      <c r="C560">
        <f>[5]trip_summary_region!C560</f>
        <v>2038</v>
      </c>
      <c r="D560">
        <f>[5]trip_summary_region!D560</f>
        <v>33</v>
      </c>
      <c r="E560">
        <f>[5]trip_summary_region!E560</f>
        <v>96</v>
      </c>
      <c r="F560">
        <f>[5]trip_summary_region!F560</f>
        <v>5.1587638374999996</v>
      </c>
      <c r="G560">
        <f>[5]trip_summary_region!G560</f>
        <v>24.635376608000001</v>
      </c>
      <c r="H560">
        <f>[5]trip_summary_region!H560</f>
        <v>2.0586256419</v>
      </c>
      <c r="I560" t="str">
        <f>[5]trip_summary_region!I560</f>
        <v>Cyclist</v>
      </c>
      <c r="J560" t="str">
        <f>[5]trip_summary_region!J560</f>
        <v>2037/38</v>
      </c>
    </row>
    <row r="561" spans="1:10" x14ac:dyDescent="0.25">
      <c r="A561" t="str">
        <f>[5]trip_summary_region!A561</f>
        <v>08 MANAWATU-WANGANUI</v>
      </c>
      <c r="B561">
        <f>[5]trip_summary_region!B561</f>
        <v>1</v>
      </c>
      <c r="C561">
        <f>[5]trip_summary_region!C561</f>
        <v>2043</v>
      </c>
      <c r="D561">
        <f>[5]trip_summary_region!D561</f>
        <v>33</v>
      </c>
      <c r="E561">
        <f>[5]trip_summary_region!E561</f>
        <v>96</v>
      </c>
      <c r="F561">
        <f>[5]trip_summary_region!F561</f>
        <v>5.0671308495999998</v>
      </c>
      <c r="G561">
        <f>[5]trip_summary_region!G561</f>
        <v>24.644989714000001</v>
      </c>
      <c r="H561">
        <f>[5]trip_summary_region!H561</f>
        <v>2.0326408398</v>
      </c>
      <c r="I561" t="str">
        <f>[5]trip_summary_region!I561</f>
        <v>Cyclist</v>
      </c>
      <c r="J561" t="str">
        <f>[5]trip_summary_region!J561</f>
        <v>2042/43</v>
      </c>
    </row>
    <row r="562" spans="1:10" x14ac:dyDescent="0.25">
      <c r="A562" t="str">
        <f>[5]trip_summary_region!A562</f>
        <v>08 MANAWATU-WANGANUI</v>
      </c>
      <c r="B562">
        <f>[5]trip_summary_region!B562</f>
        <v>2</v>
      </c>
      <c r="C562">
        <f>[5]trip_summary_region!C562</f>
        <v>2013</v>
      </c>
      <c r="D562">
        <f>[5]trip_summary_region!D562</f>
        <v>588</v>
      </c>
      <c r="E562">
        <f>[5]trip_summary_region!E562</f>
        <v>4259</v>
      </c>
      <c r="F562">
        <f>[5]trip_summary_region!F562</f>
        <v>178.69640117</v>
      </c>
      <c r="G562">
        <f>[5]trip_summary_region!G562</f>
        <v>1782.4745101999999</v>
      </c>
      <c r="H562">
        <f>[5]trip_summary_region!H562</f>
        <v>42.09204356</v>
      </c>
      <c r="I562" t="str">
        <f>[5]trip_summary_region!I562</f>
        <v>Light Vehicle Driver</v>
      </c>
      <c r="J562" t="str">
        <f>[5]trip_summary_region!J562</f>
        <v>2012/13</v>
      </c>
    </row>
    <row r="563" spans="1:10" x14ac:dyDescent="0.25">
      <c r="A563" t="str">
        <f>[5]trip_summary_region!A563</f>
        <v>08 MANAWATU-WANGANUI</v>
      </c>
      <c r="B563">
        <f>[5]trip_summary_region!B563</f>
        <v>2</v>
      </c>
      <c r="C563">
        <f>[5]trip_summary_region!C563</f>
        <v>2018</v>
      </c>
      <c r="D563">
        <f>[5]trip_summary_region!D563</f>
        <v>588</v>
      </c>
      <c r="E563">
        <f>[5]trip_summary_region!E563</f>
        <v>4259</v>
      </c>
      <c r="F563">
        <f>[5]trip_summary_region!F563</f>
        <v>188.49827327</v>
      </c>
      <c r="G563">
        <f>[5]trip_summary_region!G563</f>
        <v>1900.1945091</v>
      </c>
      <c r="H563">
        <f>[5]trip_summary_region!H563</f>
        <v>44.807852394999998</v>
      </c>
      <c r="I563" t="str">
        <f>[5]trip_summary_region!I563</f>
        <v>Light Vehicle Driver</v>
      </c>
      <c r="J563" t="str">
        <f>[5]trip_summary_region!J563</f>
        <v>2017/18</v>
      </c>
    </row>
    <row r="564" spans="1:10" x14ac:dyDescent="0.25">
      <c r="A564" t="str">
        <f>[5]trip_summary_region!A564</f>
        <v>08 MANAWATU-WANGANUI</v>
      </c>
      <c r="B564">
        <f>[5]trip_summary_region!B564</f>
        <v>2</v>
      </c>
      <c r="C564">
        <f>[5]trip_summary_region!C564</f>
        <v>2023</v>
      </c>
      <c r="D564">
        <f>[5]trip_summary_region!D564</f>
        <v>588</v>
      </c>
      <c r="E564">
        <f>[5]trip_summary_region!E564</f>
        <v>4259</v>
      </c>
      <c r="F564">
        <f>[5]trip_summary_region!F564</f>
        <v>192.31292214999999</v>
      </c>
      <c r="G564">
        <f>[5]trip_summary_region!G564</f>
        <v>1963.2222936000001</v>
      </c>
      <c r="H564">
        <f>[5]trip_summary_region!H564</f>
        <v>46.076519619000003</v>
      </c>
      <c r="I564" t="str">
        <f>[5]trip_summary_region!I564</f>
        <v>Light Vehicle Driver</v>
      </c>
      <c r="J564" t="str">
        <f>[5]trip_summary_region!J564</f>
        <v>2022/23</v>
      </c>
    </row>
    <row r="565" spans="1:10" x14ac:dyDescent="0.25">
      <c r="A565" t="str">
        <f>[5]trip_summary_region!A565</f>
        <v>08 MANAWATU-WANGANUI</v>
      </c>
      <c r="B565">
        <f>[5]trip_summary_region!B565</f>
        <v>2</v>
      </c>
      <c r="C565">
        <f>[5]trip_summary_region!C565</f>
        <v>2028</v>
      </c>
      <c r="D565">
        <f>[5]trip_summary_region!D565</f>
        <v>588</v>
      </c>
      <c r="E565">
        <f>[5]trip_summary_region!E565</f>
        <v>4259</v>
      </c>
      <c r="F565">
        <f>[5]trip_summary_region!F565</f>
        <v>193.65255372999999</v>
      </c>
      <c r="G565">
        <f>[5]trip_summary_region!G565</f>
        <v>2009.5241550999999</v>
      </c>
      <c r="H565">
        <f>[5]trip_summary_region!H565</f>
        <v>46.767616027999999</v>
      </c>
      <c r="I565" t="str">
        <f>[5]trip_summary_region!I565</f>
        <v>Light Vehicle Driver</v>
      </c>
      <c r="J565" t="str">
        <f>[5]trip_summary_region!J565</f>
        <v>2027/28</v>
      </c>
    </row>
    <row r="566" spans="1:10" x14ac:dyDescent="0.25">
      <c r="A566" t="str">
        <f>[5]trip_summary_region!A566</f>
        <v>08 MANAWATU-WANGANUI</v>
      </c>
      <c r="B566">
        <f>[5]trip_summary_region!B566</f>
        <v>2</v>
      </c>
      <c r="C566">
        <f>[5]trip_summary_region!C566</f>
        <v>2033</v>
      </c>
      <c r="D566">
        <f>[5]trip_summary_region!D566</f>
        <v>588</v>
      </c>
      <c r="E566">
        <f>[5]trip_summary_region!E566</f>
        <v>4259</v>
      </c>
      <c r="F566">
        <f>[5]trip_summary_region!F566</f>
        <v>195.01712502999999</v>
      </c>
      <c r="G566">
        <f>[5]trip_summary_region!G566</f>
        <v>2039.3011776999999</v>
      </c>
      <c r="H566">
        <f>[5]trip_summary_region!H566</f>
        <v>47.250167257999998</v>
      </c>
      <c r="I566" t="str">
        <f>[5]trip_summary_region!I566</f>
        <v>Light Vehicle Driver</v>
      </c>
      <c r="J566" t="str">
        <f>[5]trip_summary_region!J566</f>
        <v>2032/33</v>
      </c>
    </row>
    <row r="567" spans="1:10" x14ac:dyDescent="0.25">
      <c r="A567" t="str">
        <f>[5]trip_summary_region!A567</f>
        <v>08 MANAWATU-WANGANUI</v>
      </c>
      <c r="B567">
        <f>[5]trip_summary_region!B567</f>
        <v>2</v>
      </c>
      <c r="C567">
        <f>[5]trip_summary_region!C567</f>
        <v>2038</v>
      </c>
      <c r="D567">
        <f>[5]trip_summary_region!D567</f>
        <v>588</v>
      </c>
      <c r="E567">
        <f>[5]trip_summary_region!E567</f>
        <v>4259</v>
      </c>
      <c r="F567">
        <f>[5]trip_summary_region!F567</f>
        <v>193.78539778000001</v>
      </c>
      <c r="G567">
        <f>[5]trip_summary_region!G567</f>
        <v>2041.7717204999999</v>
      </c>
      <c r="H567">
        <f>[5]trip_summary_region!H567</f>
        <v>47.081388214</v>
      </c>
      <c r="I567" t="str">
        <f>[5]trip_summary_region!I567</f>
        <v>Light Vehicle Driver</v>
      </c>
      <c r="J567" t="str">
        <f>[5]trip_summary_region!J567</f>
        <v>2037/38</v>
      </c>
    </row>
    <row r="568" spans="1:10" x14ac:dyDescent="0.25">
      <c r="A568" t="str">
        <f>[5]trip_summary_region!A568</f>
        <v>08 MANAWATU-WANGANUI</v>
      </c>
      <c r="B568">
        <f>[5]trip_summary_region!B568</f>
        <v>2</v>
      </c>
      <c r="C568">
        <f>[5]trip_summary_region!C568</f>
        <v>2043</v>
      </c>
      <c r="D568">
        <f>[5]trip_summary_region!D568</f>
        <v>588</v>
      </c>
      <c r="E568">
        <f>[5]trip_summary_region!E568</f>
        <v>4259</v>
      </c>
      <c r="F568">
        <f>[5]trip_summary_region!F568</f>
        <v>191.41939693</v>
      </c>
      <c r="G568">
        <f>[5]trip_summary_region!G568</f>
        <v>2032.5572597</v>
      </c>
      <c r="H568">
        <f>[5]trip_summary_region!H568</f>
        <v>46.625082728000002</v>
      </c>
      <c r="I568" t="str">
        <f>[5]trip_summary_region!I568</f>
        <v>Light Vehicle Driver</v>
      </c>
      <c r="J568" t="str">
        <f>[5]trip_summary_region!J568</f>
        <v>2042/43</v>
      </c>
    </row>
    <row r="569" spans="1:10" x14ac:dyDescent="0.25">
      <c r="A569" t="str">
        <f>[5]trip_summary_region!A569</f>
        <v>08 MANAWATU-WANGANUI</v>
      </c>
      <c r="B569">
        <f>[5]trip_summary_region!B569</f>
        <v>3</v>
      </c>
      <c r="C569">
        <f>[5]trip_summary_region!C569</f>
        <v>2013</v>
      </c>
      <c r="D569">
        <f>[5]trip_summary_region!D569</f>
        <v>425</v>
      </c>
      <c r="E569">
        <f>[5]trip_summary_region!E569</f>
        <v>2071</v>
      </c>
      <c r="F569">
        <f>[5]trip_summary_region!F569</f>
        <v>84.046137802999993</v>
      </c>
      <c r="G569">
        <f>[5]trip_summary_region!G569</f>
        <v>885.65568203999999</v>
      </c>
      <c r="H569">
        <f>[5]trip_summary_region!H569</f>
        <v>20.286542670999999</v>
      </c>
      <c r="I569" t="str">
        <f>[5]trip_summary_region!I569</f>
        <v>Light Vehicle Passenger</v>
      </c>
      <c r="J569" t="str">
        <f>[5]trip_summary_region!J569</f>
        <v>2012/13</v>
      </c>
    </row>
    <row r="570" spans="1:10" x14ac:dyDescent="0.25">
      <c r="A570" t="str">
        <f>[5]trip_summary_region!A570</f>
        <v>08 MANAWATU-WANGANUI</v>
      </c>
      <c r="B570">
        <f>[5]trip_summary_region!B570</f>
        <v>3</v>
      </c>
      <c r="C570">
        <f>[5]trip_summary_region!C570</f>
        <v>2018</v>
      </c>
      <c r="D570">
        <f>[5]trip_summary_region!D570</f>
        <v>425</v>
      </c>
      <c r="E570">
        <f>[5]trip_summary_region!E570</f>
        <v>2071</v>
      </c>
      <c r="F570">
        <f>[5]trip_summary_region!F570</f>
        <v>82.778767528000003</v>
      </c>
      <c r="G570">
        <f>[5]trip_summary_region!G570</f>
        <v>897.08027162999997</v>
      </c>
      <c r="H570">
        <f>[5]trip_summary_region!H570</f>
        <v>20.338517210999999</v>
      </c>
      <c r="I570" t="str">
        <f>[5]trip_summary_region!I570</f>
        <v>Light Vehicle Passenger</v>
      </c>
      <c r="J570" t="str">
        <f>[5]trip_summary_region!J570</f>
        <v>2017/18</v>
      </c>
    </row>
    <row r="571" spans="1:10" x14ac:dyDescent="0.25">
      <c r="A571" t="str">
        <f>[5]trip_summary_region!A571</f>
        <v>08 MANAWATU-WANGANUI</v>
      </c>
      <c r="B571">
        <f>[5]trip_summary_region!B571</f>
        <v>3</v>
      </c>
      <c r="C571">
        <f>[5]trip_summary_region!C571</f>
        <v>2023</v>
      </c>
      <c r="D571">
        <f>[5]trip_summary_region!D571</f>
        <v>425</v>
      </c>
      <c r="E571">
        <f>[5]trip_summary_region!E571</f>
        <v>2071</v>
      </c>
      <c r="F571">
        <f>[5]trip_summary_region!F571</f>
        <v>81.014987134999998</v>
      </c>
      <c r="G571">
        <f>[5]trip_summary_region!G571</f>
        <v>894.07598287999997</v>
      </c>
      <c r="H571">
        <f>[5]trip_summary_region!H571</f>
        <v>20.141180162000001</v>
      </c>
      <c r="I571" t="str">
        <f>[5]trip_summary_region!I571</f>
        <v>Light Vehicle Passenger</v>
      </c>
      <c r="J571" t="str">
        <f>[5]trip_summary_region!J571</f>
        <v>2022/23</v>
      </c>
    </row>
    <row r="572" spans="1:10" x14ac:dyDescent="0.25">
      <c r="A572" t="str">
        <f>[5]trip_summary_region!A572</f>
        <v>08 MANAWATU-WANGANUI</v>
      </c>
      <c r="B572">
        <f>[5]trip_summary_region!B572</f>
        <v>3</v>
      </c>
      <c r="C572">
        <f>[5]trip_summary_region!C572</f>
        <v>2028</v>
      </c>
      <c r="D572">
        <f>[5]trip_summary_region!D572</f>
        <v>425</v>
      </c>
      <c r="E572">
        <f>[5]trip_summary_region!E572</f>
        <v>2071</v>
      </c>
      <c r="F572">
        <f>[5]trip_summary_region!F572</f>
        <v>78.713376206999996</v>
      </c>
      <c r="G572">
        <f>[5]trip_summary_region!G572</f>
        <v>889.38199902999997</v>
      </c>
      <c r="H572">
        <f>[5]trip_summary_region!H572</f>
        <v>19.836699343999999</v>
      </c>
      <c r="I572" t="str">
        <f>[5]trip_summary_region!I572</f>
        <v>Light Vehicle Passenger</v>
      </c>
      <c r="J572" t="str">
        <f>[5]trip_summary_region!J572</f>
        <v>2027/28</v>
      </c>
    </row>
    <row r="573" spans="1:10" x14ac:dyDescent="0.25">
      <c r="A573" t="str">
        <f>[5]trip_summary_region!A573</f>
        <v>08 MANAWATU-WANGANUI</v>
      </c>
      <c r="B573">
        <f>[5]trip_summary_region!B573</f>
        <v>3</v>
      </c>
      <c r="C573">
        <f>[5]trip_summary_region!C573</f>
        <v>2033</v>
      </c>
      <c r="D573">
        <f>[5]trip_summary_region!D573</f>
        <v>425</v>
      </c>
      <c r="E573">
        <f>[5]trip_summary_region!E573</f>
        <v>2071</v>
      </c>
      <c r="F573">
        <f>[5]trip_summary_region!F573</f>
        <v>77.007120647999997</v>
      </c>
      <c r="G573">
        <f>[5]trip_summary_region!G573</f>
        <v>892.43011753999997</v>
      </c>
      <c r="H573">
        <f>[5]trip_summary_region!H573</f>
        <v>19.719286969999999</v>
      </c>
      <c r="I573" t="str">
        <f>[5]trip_summary_region!I573</f>
        <v>Light Vehicle Passenger</v>
      </c>
      <c r="J573" t="str">
        <f>[5]trip_summary_region!J573</f>
        <v>2032/33</v>
      </c>
    </row>
    <row r="574" spans="1:10" x14ac:dyDescent="0.25">
      <c r="A574" t="str">
        <f>[5]trip_summary_region!A574</f>
        <v>08 MANAWATU-WANGANUI</v>
      </c>
      <c r="B574">
        <f>[5]trip_summary_region!B574</f>
        <v>3</v>
      </c>
      <c r="C574">
        <f>[5]trip_summary_region!C574</f>
        <v>2038</v>
      </c>
      <c r="D574">
        <f>[5]trip_summary_region!D574</f>
        <v>425</v>
      </c>
      <c r="E574">
        <f>[5]trip_summary_region!E574</f>
        <v>2071</v>
      </c>
      <c r="F574">
        <f>[5]trip_summary_region!F574</f>
        <v>74.564229058999999</v>
      </c>
      <c r="G574">
        <f>[5]trip_summary_region!G574</f>
        <v>889.73545634000004</v>
      </c>
      <c r="H574">
        <f>[5]trip_summary_region!H574</f>
        <v>19.491724972</v>
      </c>
      <c r="I574" t="str">
        <f>[5]trip_summary_region!I574</f>
        <v>Light Vehicle Passenger</v>
      </c>
      <c r="J574" t="str">
        <f>[5]trip_summary_region!J574</f>
        <v>2037/38</v>
      </c>
    </row>
    <row r="575" spans="1:10" x14ac:dyDescent="0.25">
      <c r="A575" t="str">
        <f>[5]trip_summary_region!A575</f>
        <v>08 MANAWATU-WANGANUI</v>
      </c>
      <c r="B575">
        <f>[5]trip_summary_region!B575</f>
        <v>3</v>
      </c>
      <c r="C575">
        <f>[5]trip_summary_region!C575</f>
        <v>2043</v>
      </c>
      <c r="D575">
        <f>[5]trip_summary_region!D575</f>
        <v>425</v>
      </c>
      <c r="E575">
        <f>[5]trip_summary_region!E575</f>
        <v>2071</v>
      </c>
      <c r="F575">
        <f>[5]trip_summary_region!F575</f>
        <v>71.857825821000006</v>
      </c>
      <c r="G575">
        <f>[5]trip_summary_region!G575</f>
        <v>884.17732663000004</v>
      </c>
      <c r="H575">
        <f>[5]trip_summary_region!H575</f>
        <v>19.192984224</v>
      </c>
      <c r="I575" t="str">
        <f>[5]trip_summary_region!I575</f>
        <v>Light Vehicle Passenger</v>
      </c>
      <c r="J575" t="str">
        <f>[5]trip_summary_region!J575</f>
        <v>2042/43</v>
      </c>
    </row>
    <row r="576" spans="1:10" x14ac:dyDescent="0.25">
      <c r="A576" t="str">
        <f>[5]trip_summary_region!A576</f>
        <v>08 MANAWATU-WANGANUI</v>
      </c>
      <c r="B576">
        <f>[5]trip_summary_region!B576</f>
        <v>4</v>
      </c>
      <c r="C576">
        <f>[5]trip_summary_region!C576</f>
        <v>2013</v>
      </c>
      <c r="D576">
        <f>[5]trip_summary_region!D576</f>
        <v>16</v>
      </c>
      <c r="E576">
        <f>[5]trip_summary_region!E576</f>
        <v>32</v>
      </c>
      <c r="F576">
        <f>[5]trip_summary_region!F576</f>
        <v>0.99874441920000001</v>
      </c>
      <c r="G576">
        <f>[5]trip_summary_region!G576</f>
        <v>5.6344181790999999</v>
      </c>
      <c r="H576">
        <f>[5]trip_summary_region!H576</f>
        <v>0.26821620219999998</v>
      </c>
      <c r="I576" t="s">
        <v>116</v>
      </c>
      <c r="J576" t="str">
        <f>[5]trip_summary_region!J576</f>
        <v>2012/13</v>
      </c>
    </row>
    <row r="577" spans="1:10" x14ac:dyDescent="0.25">
      <c r="A577" t="str">
        <f>[5]trip_summary_region!A577</f>
        <v>08 MANAWATU-WANGANUI</v>
      </c>
      <c r="B577">
        <f>[5]trip_summary_region!B577</f>
        <v>4</v>
      </c>
      <c r="C577">
        <f>[5]trip_summary_region!C577</f>
        <v>2018</v>
      </c>
      <c r="D577">
        <f>[5]trip_summary_region!D577</f>
        <v>16</v>
      </c>
      <c r="E577">
        <f>[5]trip_summary_region!E577</f>
        <v>32</v>
      </c>
      <c r="F577">
        <f>[5]trip_summary_region!F577</f>
        <v>1.0883912469000001</v>
      </c>
      <c r="G577">
        <f>[5]trip_summary_region!G577</f>
        <v>6.7048361874999998</v>
      </c>
      <c r="H577">
        <f>[5]trip_summary_region!H577</f>
        <v>0.3145015203</v>
      </c>
      <c r="I577" t="s">
        <v>116</v>
      </c>
      <c r="J577" t="str">
        <f>[5]trip_summary_region!J577</f>
        <v>2017/18</v>
      </c>
    </row>
    <row r="578" spans="1:10" x14ac:dyDescent="0.25">
      <c r="A578" t="str">
        <f>[5]trip_summary_region!A578</f>
        <v>08 MANAWATU-WANGANUI</v>
      </c>
      <c r="B578">
        <f>[5]trip_summary_region!B578</f>
        <v>4</v>
      </c>
      <c r="C578">
        <f>[5]trip_summary_region!C578</f>
        <v>2023</v>
      </c>
      <c r="D578">
        <f>[5]trip_summary_region!D578</f>
        <v>16</v>
      </c>
      <c r="E578">
        <f>[5]trip_summary_region!E578</f>
        <v>32</v>
      </c>
      <c r="F578">
        <f>[5]trip_summary_region!F578</f>
        <v>1.1161906679</v>
      </c>
      <c r="G578">
        <f>[5]trip_summary_region!G578</f>
        <v>7.3398777645999997</v>
      </c>
      <c r="H578">
        <f>[5]trip_summary_region!H578</f>
        <v>0.33970839009999998</v>
      </c>
      <c r="I578" t="s">
        <v>116</v>
      </c>
      <c r="J578" t="str">
        <f>[5]trip_summary_region!J578</f>
        <v>2022/23</v>
      </c>
    </row>
    <row r="579" spans="1:10" x14ac:dyDescent="0.25">
      <c r="A579" t="str">
        <f>[5]trip_summary_region!A579</f>
        <v>08 MANAWATU-WANGANUI</v>
      </c>
      <c r="B579">
        <f>[5]trip_summary_region!B579</f>
        <v>4</v>
      </c>
      <c r="C579">
        <f>[5]trip_summary_region!C579</f>
        <v>2028</v>
      </c>
      <c r="D579">
        <f>[5]trip_summary_region!D579</f>
        <v>16</v>
      </c>
      <c r="E579">
        <f>[5]trip_summary_region!E579</f>
        <v>32</v>
      </c>
      <c r="F579">
        <f>[5]trip_summary_region!F579</f>
        <v>1.0774708216</v>
      </c>
      <c r="G579">
        <f>[5]trip_summary_region!G579</f>
        <v>7.4580330158999999</v>
      </c>
      <c r="H579">
        <f>[5]trip_summary_region!H579</f>
        <v>0.34063163829999998</v>
      </c>
      <c r="I579" t="s">
        <v>116</v>
      </c>
      <c r="J579" t="str">
        <f>[5]trip_summary_region!J579</f>
        <v>2027/28</v>
      </c>
    </row>
    <row r="580" spans="1:10" x14ac:dyDescent="0.25">
      <c r="A580" t="str">
        <f>[5]trip_summary_region!A580</f>
        <v>08 MANAWATU-WANGANUI</v>
      </c>
      <c r="B580">
        <f>[5]trip_summary_region!B580</f>
        <v>4</v>
      </c>
      <c r="C580">
        <f>[5]trip_summary_region!C580</f>
        <v>2033</v>
      </c>
      <c r="D580">
        <f>[5]trip_summary_region!D580</f>
        <v>16</v>
      </c>
      <c r="E580">
        <f>[5]trip_summary_region!E580</f>
        <v>32</v>
      </c>
      <c r="F580">
        <f>[5]trip_summary_region!F580</f>
        <v>1.0329405705000001</v>
      </c>
      <c r="G580">
        <f>[5]trip_summary_region!G580</f>
        <v>7.5199853953</v>
      </c>
      <c r="H580">
        <f>[5]trip_summary_region!H580</f>
        <v>0.34002711569999999</v>
      </c>
      <c r="I580" t="s">
        <v>116</v>
      </c>
      <c r="J580" t="str">
        <f>[5]trip_summary_region!J580</f>
        <v>2032/33</v>
      </c>
    </row>
    <row r="581" spans="1:10" x14ac:dyDescent="0.25">
      <c r="A581" t="str">
        <f>[5]trip_summary_region!A581</f>
        <v>08 MANAWATU-WANGANUI</v>
      </c>
      <c r="B581">
        <f>[5]trip_summary_region!B581</f>
        <v>4</v>
      </c>
      <c r="C581">
        <f>[5]trip_summary_region!C581</f>
        <v>2038</v>
      </c>
      <c r="D581">
        <f>[5]trip_summary_region!D581</f>
        <v>16</v>
      </c>
      <c r="E581">
        <f>[5]trip_summary_region!E581</f>
        <v>32</v>
      </c>
      <c r="F581">
        <f>[5]trip_summary_region!F581</f>
        <v>1.0419050788999999</v>
      </c>
      <c r="G581">
        <f>[5]trip_summary_region!G581</f>
        <v>8.0369111137000004</v>
      </c>
      <c r="H581">
        <f>[5]trip_summary_region!H581</f>
        <v>0.35993467200000001</v>
      </c>
      <c r="I581" t="s">
        <v>116</v>
      </c>
      <c r="J581" t="str">
        <f>[5]trip_summary_region!J581</f>
        <v>2037/38</v>
      </c>
    </row>
    <row r="582" spans="1:10" x14ac:dyDescent="0.25">
      <c r="A582" t="str">
        <f>[5]trip_summary_region!A582</f>
        <v>08 MANAWATU-WANGANUI</v>
      </c>
      <c r="B582">
        <f>[5]trip_summary_region!B582</f>
        <v>4</v>
      </c>
      <c r="C582">
        <f>[5]trip_summary_region!C582</f>
        <v>2043</v>
      </c>
      <c r="D582">
        <f>[5]trip_summary_region!D582</f>
        <v>16</v>
      </c>
      <c r="E582">
        <f>[5]trip_summary_region!E582</f>
        <v>32</v>
      </c>
      <c r="F582">
        <f>[5]trip_summary_region!F582</f>
        <v>1.0537864063</v>
      </c>
      <c r="G582">
        <f>[5]trip_summary_region!G582</f>
        <v>8.5859613434999993</v>
      </c>
      <c r="H582">
        <f>[5]trip_summary_region!H582</f>
        <v>0.3812399702</v>
      </c>
      <c r="I582" t="s">
        <v>116</v>
      </c>
      <c r="J582" t="str">
        <f>[5]trip_summary_region!J582</f>
        <v>2042/43</v>
      </c>
    </row>
    <row r="583" spans="1:10" x14ac:dyDescent="0.25">
      <c r="A583" t="str">
        <f>[5]trip_summary_region!A583</f>
        <v>08 MANAWATU-WANGANUI</v>
      </c>
      <c r="B583">
        <f>[5]trip_summary_region!B583</f>
        <v>5</v>
      </c>
      <c r="C583">
        <f>[5]trip_summary_region!C583</f>
        <v>2013</v>
      </c>
      <c r="D583">
        <f>[5]trip_summary_region!D583</f>
        <v>5</v>
      </c>
      <c r="E583">
        <f>[5]trip_summary_region!E583</f>
        <v>19</v>
      </c>
      <c r="F583">
        <f>[5]trip_summary_region!F583</f>
        <v>0.79000583589999995</v>
      </c>
      <c r="G583">
        <f>[5]trip_summary_region!G583</f>
        <v>3.8744282972000001</v>
      </c>
      <c r="H583">
        <f>[5]trip_summary_region!H583</f>
        <v>0.1643149203</v>
      </c>
      <c r="I583" t="str">
        <f>[5]trip_summary_region!I583</f>
        <v>Motorcyclist</v>
      </c>
      <c r="J583" t="str">
        <f>[5]trip_summary_region!J583</f>
        <v>2012/13</v>
      </c>
    </row>
    <row r="584" spans="1:10" x14ac:dyDescent="0.25">
      <c r="A584" t="str">
        <f>[5]trip_summary_region!A584</f>
        <v>08 MANAWATU-WANGANUI</v>
      </c>
      <c r="B584">
        <f>[5]trip_summary_region!B584</f>
        <v>5</v>
      </c>
      <c r="C584">
        <f>[5]trip_summary_region!C584</f>
        <v>2018</v>
      </c>
      <c r="D584">
        <f>[5]trip_summary_region!D584</f>
        <v>5</v>
      </c>
      <c r="E584">
        <f>[5]trip_summary_region!E584</f>
        <v>19</v>
      </c>
      <c r="F584">
        <f>[5]trip_summary_region!F584</f>
        <v>0.72279976000000001</v>
      </c>
      <c r="G584">
        <f>[5]trip_summary_region!G584</f>
        <v>4.1839188643999998</v>
      </c>
      <c r="H584">
        <f>[5]trip_summary_region!H584</f>
        <v>0.15677724530000001</v>
      </c>
      <c r="I584" t="str">
        <f>[5]trip_summary_region!I584</f>
        <v>Motorcyclist</v>
      </c>
      <c r="J584" t="str">
        <f>[5]trip_summary_region!J584</f>
        <v>2017/18</v>
      </c>
    </row>
    <row r="585" spans="1:10" x14ac:dyDescent="0.25">
      <c r="A585" t="str">
        <f>[5]trip_summary_region!A585</f>
        <v>08 MANAWATU-WANGANUI</v>
      </c>
      <c r="B585">
        <f>[5]trip_summary_region!B585</f>
        <v>5</v>
      </c>
      <c r="C585">
        <f>[5]trip_summary_region!C585</f>
        <v>2023</v>
      </c>
      <c r="D585">
        <f>[5]trip_summary_region!D585</f>
        <v>5</v>
      </c>
      <c r="E585">
        <f>[5]trip_summary_region!E585</f>
        <v>19</v>
      </c>
      <c r="F585">
        <f>[5]trip_summary_region!F585</f>
        <v>0.64634379259999997</v>
      </c>
      <c r="G585">
        <f>[5]trip_summary_region!G585</f>
        <v>4.2864243523000001</v>
      </c>
      <c r="H585">
        <f>[5]trip_summary_region!H585</f>
        <v>0.1456914866</v>
      </c>
      <c r="I585" t="str">
        <f>[5]trip_summary_region!I585</f>
        <v>Motorcyclist</v>
      </c>
      <c r="J585" t="str">
        <f>[5]trip_summary_region!J585</f>
        <v>2022/23</v>
      </c>
    </row>
    <row r="586" spans="1:10" x14ac:dyDescent="0.25">
      <c r="A586" t="str">
        <f>[5]trip_summary_region!A586</f>
        <v>08 MANAWATU-WANGANUI</v>
      </c>
      <c r="B586">
        <f>[5]trip_summary_region!B586</f>
        <v>5</v>
      </c>
      <c r="C586">
        <f>[5]trip_summary_region!C586</f>
        <v>2028</v>
      </c>
      <c r="D586">
        <f>[5]trip_summary_region!D586</f>
        <v>5</v>
      </c>
      <c r="E586">
        <f>[5]trip_summary_region!E586</f>
        <v>19</v>
      </c>
      <c r="F586">
        <f>[5]trip_summary_region!F586</f>
        <v>0.55375817729999999</v>
      </c>
      <c r="G586">
        <f>[5]trip_summary_region!G586</f>
        <v>4.1033343316000002</v>
      </c>
      <c r="H586">
        <f>[5]trip_summary_region!H586</f>
        <v>0.12919011559999999</v>
      </c>
      <c r="I586" t="str">
        <f>[5]trip_summary_region!I586</f>
        <v>Motorcyclist</v>
      </c>
      <c r="J586" t="str">
        <f>[5]trip_summary_region!J586</f>
        <v>2027/28</v>
      </c>
    </row>
    <row r="587" spans="1:10" x14ac:dyDescent="0.25">
      <c r="A587" t="str">
        <f>[5]trip_summary_region!A587</f>
        <v>08 MANAWATU-WANGANUI</v>
      </c>
      <c r="B587">
        <f>[5]trip_summary_region!B587</f>
        <v>5</v>
      </c>
      <c r="C587">
        <f>[5]trip_summary_region!C587</f>
        <v>2033</v>
      </c>
      <c r="D587">
        <f>[5]trip_summary_region!D587</f>
        <v>5</v>
      </c>
      <c r="E587">
        <f>[5]trip_summary_region!E587</f>
        <v>19</v>
      </c>
      <c r="F587">
        <f>[5]trip_summary_region!F587</f>
        <v>0.50120643490000005</v>
      </c>
      <c r="G587">
        <f>[5]trip_summary_region!G587</f>
        <v>3.9086050006000002</v>
      </c>
      <c r="H587">
        <f>[5]trip_summary_region!H587</f>
        <v>0.11908908109999999</v>
      </c>
      <c r="I587" t="str">
        <f>[5]trip_summary_region!I587</f>
        <v>Motorcyclist</v>
      </c>
      <c r="J587" t="str">
        <f>[5]trip_summary_region!J587</f>
        <v>2032/33</v>
      </c>
    </row>
    <row r="588" spans="1:10" x14ac:dyDescent="0.25">
      <c r="A588" t="str">
        <f>[5]trip_summary_region!A588</f>
        <v>08 MANAWATU-WANGANUI</v>
      </c>
      <c r="B588">
        <f>[5]trip_summary_region!B588</f>
        <v>5</v>
      </c>
      <c r="C588">
        <f>[5]trip_summary_region!C588</f>
        <v>2038</v>
      </c>
      <c r="D588">
        <f>[5]trip_summary_region!D588</f>
        <v>5</v>
      </c>
      <c r="E588">
        <f>[5]trip_summary_region!E588</f>
        <v>19</v>
      </c>
      <c r="F588">
        <f>[5]trip_summary_region!F588</f>
        <v>0.47929156140000001</v>
      </c>
      <c r="G588">
        <f>[5]trip_summary_region!G588</f>
        <v>3.8145017852000001</v>
      </c>
      <c r="H588">
        <f>[5]trip_summary_region!H588</f>
        <v>0.1149457868</v>
      </c>
      <c r="I588" t="str">
        <f>[5]trip_summary_region!I588</f>
        <v>Motorcyclist</v>
      </c>
      <c r="J588" t="str">
        <f>[5]trip_summary_region!J588</f>
        <v>2037/38</v>
      </c>
    </row>
    <row r="589" spans="1:10" x14ac:dyDescent="0.25">
      <c r="A589" t="str">
        <f>[5]trip_summary_region!A589</f>
        <v>08 MANAWATU-WANGANUI</v>
      </c>
      <c r="B589">
        <f>[5]trip_summary_region!B589</f>
        <v>5</v>
      </c>
      <c r="C589">
        <f>[5]trip_summary_region!C589</f>
        <v>2043</v>
      </c>
      <c r="D589">
        <f>[5]trip_summary_region!D589</f>
        <v>5</v>
      </c>
      <c r="E589">
        <f>[5]trip_summary_region!E589</f>
        <v>19</v>
      </c>
      <c r="F589">
        <f>[5]trip_summary_region!F589</f>
        <v>0.45089824550000002</v>
      </c>
      <c r="G589">
        <f>[5]trip_summary_region!G589</f>
        <v>3.6962655669000002</v>
      </c>
      <c r="H589">
        <f>[5]trip_summary_region!H589</f>
        <v>0.1094982769</v>
      </c>
      <c r="I589" t="str">
        <f>[5]trip_summary_region!I589</f>
        <v>Motorcyclist</v>
      </c>
      <c r="J589" t="str">
        <f>[5]trip_summary_region!J589</f>
        <v>2042/43</v>
      </c>
    </row>
    <row r="590" spans="1:10" x14ac:dyDescent="0.25">
      <c r="A590" t="str">
        <f>[5]trip_summary_region!A590</f>
        <v>08 MANAWATU-WANGANUI</v>
      </c>
      <c r="B590">
        <f>[5]trip_summary_region!B590</f>
        <v>7</v>
      </c>
      <c r="C590">
        <f>[5]trip_summary_region!C590</f>
        <v>2013</v>
      </c>
      <c r="D590">
        <f>[5]trip_summary_region!D590</f>
        <v>41</v>
      </c>
      <c r="E590">
        <f>[5]trip_summary_region!E590</f>
        <v>90</v>
      </c>
      <c r="F590">
        <f>[5]trip_summary_region!F590</f>
        <v>5.2110099151</v>
      </c>
      <c r="G590">
        <f>[5]trip_summary_region!G590</f>
        <v>39.768452936000003</v>
      </c>
      <c r="H590">
        <f>[5]trip_summary_region!H590</f>
        <v>1.7349616699999999</v>
      </c>
      <c r="I590" t="str">
        <f>[5]trip_summary_region!I590</f>
        <v>Local Bus</v>
      </c>
      <c r="J590" t="str">
        <f>[5]trip_summary_region!J590</f>
        <v>2012/13</v>
      </c>
    </row>
    <row r="591" spans="1:10" x14ac:dyDescent="0.25">
      <c r="A591" t="str">
        <f>[5]trip_summary_region!A591</f>
        <v>08 MANAWATU-WANGANUI</v>
      </c>
      <c r="B591">
        <f>[5]trip_summary_region!B591</f>
        <v>7</v>
      </c>
      <c r="C591">
        <f>[5]trip_summary_region!C591</f>
        <v>2018</v>
      </c>
      <c r="D591">
        <f>[5]trip_summary_region!D591</f>
        <v>41</v>
      </c>
      <c r="E591">
        <f>[5]trip_summary_region!E591</f>
        <v>90</v>
      </c>
      <c r="F591">
        <f>[5]trip_summary_region!F591</f>
        <v>4.7340379806000001</v>
      </c>
      <c r="G591">
        <f>[5]trip_summary_region!G591</f>
        <v>34.946754415000001</v>
      </c>
      <c r="H591">
        <f>[5]trip_summary_region!H591</f>
        <v>1.5706345661000001</v>
      </c>
      <c r="I591" t="str">
        <f>[5]trip_summary_region!I591</f>
        <v>Local Bus</v>
      </c>
      <c r="J591" t="str">
        <f>[5]trip_summary_region!J591</f>
        <v>2017/18</v>
      </c>
    </row>
    <row r="592" spans="1:10" x14ac:dyDescent="0.25">
      <c r="A592" t="str">
        <f>[5]trip_summary_region!A592</f>
        <v>08 MANAWATU-WANGANUI</v>
      </c>
      <c r="B592">
        <f>[5]trip_summary_region!B592</f>
        <v>7</v>
      </c>
      <c r="C592">
        <f>[5]trip_summary_region!C592</f>
        <v>2023</v>
      </c>
      <c r="D592">
        <f>[5]trip_summary_region!D592</f>
        <v>41</v>
      </c>
      <c r="E592">
        <f>[5]trip_summary_region!E592</f>
        <v>90</v>
      </c>
      <c r="F592">
        <f>[5]trip_summary_region!F592</f>
        <v>4.3505879350000001</v>
      </c>
      <c r="G592">
        <f>[5]trip_summary_region!G592</f>
        <v>31.346787525</v>
      </c>
      <c r="H592">
        <f>[5]trip_summary_region!H592</f>
        <v>1.4308727184000001</v>
      </c>
      <c r="I592" t="str">
        <f>[5]trip_summary_region!I592</f>
        <v>Local Bus</v>
      </c>
      <c r="J592" t="str">
        <f>[5]trip_summary_region!J592</f>
        <v>2022/23</v>
      </c>
    </row>
    <row r="593" spans="1:10" x14ac:dyDescent="0.25">
      <c r="A593" t="str">
        <f>[5]trip_summary_region!A593</f>
        <v>08 MANAWATU-WANGANUI</v>
      </c>
      <c r="B593">
        <f>[5]trip_summary_region!B593</f>
        <v>7</v>
      </c>
      <c r="C593">
        <f>[5]trip_summary_region!C593</f>
        <v>2028</v>
      </c>
      <c r="D593">
        <f>[5]trip_summary_region!D593</f>
        <v>41</v>
      </c>
      <c r="E593">
        <f>[5]trip_summary_region!E593</f>
        <v>90</v>
      </c>
      <c r="F593">
        <f>[5]trip_summary_region!F593</f>
        <v>4.0837814391</v>
      </c>
      <c r="G593">
        <f>[5]trip_summary_region!G593</f>
        <v>28.828755388000001</v>
      </c>
      <c r="H593">
        <f>[5]trip_summary_region!H593</f>
        <v>1.3233301480999999</v>
      </c>
      <c r="I593" t="str">
        <f>[5]trip_summary_region!I593</f>
        <v>Local Bus</v>
      </c>
      <c r="J593" t="str">
        <f>[5]trip_summary_region!J593</f>
        <v>2027/28</v>
      </c>
    </row>
    <row r="594" spans="1:10" x14ac:dyDescent="0.25">
      <c r="A594" t="str">
        <f>[5]trip_summary_region!A594</f>
        <v>08 MANAWATU-WANGANUI</v>
      </c>
      <c r="B594">
        <f>[5]trip_summary_region!B594</f>
        <v>7</v>
      </c>
      <c r="C594">
        <f>[5]trip_summary_region!C594</f>
        <v>2033</v>
      </c>
      <c r="D594">
        <f>[5]trip_summary_region!D594</f>
        <v>41</v>
      </c>
      <c r="E594">
        <f>[5]trip_summary_region!E594</f>
        <v>90</v>
      </c>
      <c r="F594">
        <f>[5]trip_summary_region!F594</f>
        <v>3.8155339067999998</v>
      </c>
      <c r="G594">
        <f>[5]trip_summary_region!G594</f>
        <v>26.365692819</v>
      </c>
      <c r="H594">
        <f>[5]trip_summary_region!H594</f>
        <v>1.2273890479</v>
      </c>
      <c r="I594" t="str">
        <f>[5]trip_summary_region!I594</f>
        <v>Local Bus</v>
      </c>
      <c r="J594" t="str">
        <f>[5]trip_summary_region!J594</f>
        <v>2032/33</v>
      </c>
    </row>
    <row r="595" spans="1:10" x14ac:dyDescent="0.25">
      <c r="A595" t="str">
        <f>[5]trip_summary_region!A595</f>
        <v>08 MANAWATU-WANGANUI</v>
      </c>
      <c r="B595">
        <f>[5]trip_summary_region!B595</f>
        <v>7</v>
      </c>
      <c r="C595">
        <f>[5]trip_summary_region!C595</f>
        <v>2038</v>
      </c>
      <c r="D595">
        <f>[5]trip_summary_region!D595</f>
        <v>41</v>
      </c>
      <c r="E595">
        <f>[5]trip_summary_region!E595</f>
        <v>90</v>
      </c>
      <c r="F595">
        <f>[5]trip_summary_region!F595</f>
        <v>3.5688865813000001</v>
      </c>
      <c r="G595">
        <f>[5]trip_summary_region!G595</f>
        <v>24.214203065</v>
      </c>
      <c r="H595">
        <f>[5]trip_summary_region!H595</f>
        <v>1.1292344717</v>
      </c>
      <c r="I595" t="str">
        <f>[5]trip_summary_region!I595</f>
        <v>Local Bus</v>
      </c>
      <c r="J595" t="str">
        <f>[5]trip_summary_region!J595</f>
        <v>2037/38</v>
      </c>
    </row>
    <row r="596" spans="1:10" x14ac:dyDescent="0.25">
      <c r="A596" t="str">
        <f>[5]trip_summary_region!A596</f>
        <v>08 MANAWATU-WANGANUI</v>
      </c>
      <c r="B596">
        <f>[5]trip_summary_region!B596</f>
        <v>7</v>
      </c>
      <c r="C596">
        <f>[5]trip_summary_region!C596</f>
        <v>2043</v>
      </c>
      <c r="D596">
        <f>[5]trip_summary_region!D596</f>
        <v>41</v>
      </c>
      <c r="E596">
        <f>[5]trip_summary_region!E596</f>
        <v>90</v>
      </c>
      <c r="F596">
        <f>[5]trip_summary_region!F596</f>
        <v>3.2899886270000001</v>
      </c>
      <c r="G596">
        <f>[5]trip_summary_region!G596</f>
        <v>22.020428528</v>
      </c>
      <c r="H596">
        <f>[5]trip_summary_region!H596</f>
        <v>1.0251418752999999</v>
      </c>
      <c r="I596" t="str">
        <f>[5]trip_summary_region!I596</f>
        <v>Local Bus</v>
      </c>
      <c r="J596" t="str">
        <f>[5]trip_summary_region!J596</f>
        <v>2042/43</v>
      </c>
    </row>
    <row r="597" spans="1:10" x14ac:dyDescent="0.25">
      <c r="A597" t="str">
        <f>[5]trip_summary_region!A597</f>
        <v>08 MANAWATU-WANGANUI</v>
      </c>
      <c r="B597">
        <f>[5]trip_summary_region!B597</f>
        <v>8</v>
      </c>
      <c r="C597">
        <f>[5]trip_summary_region!C597</f>
        <v>2013</v>
      </c>
      <c r="D597">
        <f>[5]trip_summary_region!D597</f>
        <v>2</v>
      </c>
      <c r="E597">
        <f>[5]trip_summary_region!E597</f>
        <v>4</v>
      </c>
      <c r="F597">
        <f>[5]trip_summary_region!F597</f>
        <v>0.1068619116</v>
      </c>
      <c r="G597">
        <f>[5]trip_summary_region!G597</f>
        <v>0</v>
      </c>
      <c r="H597">
        <f>[5]trip_summary_region!H597</f>
        <v>1.3357739E-2</v>
      </c>
      <c r="I597" t="str">
        <f>[5]trip_summary_region!I597</f>
        <v>Local Ferry</v>
      </c>
      <c r="J597" t="str">
        <f>[5]trip_summary_region!J597</f>
        <v>2012/13</v>
      </c>
    </row>
    <row r="598" spans="1:10" x14ac:dyDescent="0.25">
      <c r="A598" t="str">
        <f>[5]trip_summary_region!A598</f>
        <v>08 MANAWATU-WANGANUI</v>
      </c>
      <c r="B598">
        <f>[5]trip_summary_region!B598</f>
        <v>8</v>
      </c>
      <c r="C598">
        <f>[5]trip_summary_region!C598</f>
        <v>2018</v>
      </c>
      <c r="D598">
        <f>[5]trip_summary_region!D598</f>
        <v>2</v>
      </c>
      <c r="E598">
        <f>[5]trip_summary_region!E598</f>
        <v>4</v>
      </c>
      <c r="F598">
        <f>[5]trip_summary_region!F598</f>
        <v>0.1180056875</v>
      </c>
      <c r="G598">
        <f>[5]trip_summary_region!G598</f>
        <v>0</v>
      </c>
      <c r="H598">
        <f>[5]trip_summary_region!H598</f>
        <v>1.47507109E-2</v>
      </c>
      <c r="I598" t="str">
        <f>[5]trip_summary_region!I598</f>
        <v>Local Ferry</v>
      </c>
      <c r="J598" t="str">
        <f>[5]trip_summary_region!J598</f>
        <v>2017/18</v>
      </c>
    </row>
    <row r="599" spans="1:10" x14ac:dyDescent="0.25">
      <c r="A599" t="str">
        <f>[5]trip_summary_region!A599</f>
        <v>08 MANAWATU-WANGANUI</v>
      </c>
      <c r="B599">
        <f>[5]trip_summary_region!B599</f>
        <v>8</v>
      </c>
      <c r="C599">
        <f>[5]trip_summary_region!C599</f>
        <v>2023</v>
      </c>
      <c r="D599">
        <f>[5]trip_summary_region!D599</f>
        <v>2</v>
      </c>
      <c r="E599">
        <f>[5]trip_summary_region!E599</f>
        <v>4</v>
      </c>
      <c r="F599">
        <f>[5]trip_summary_region!F599</f>
        <v>0.12521198380000001</v>
      </c>
      <c r="G599">
        <f>[5]trip_summary_region!G599</f>
        <v>0</v>
      </c>
      <c r="H599">
        <f>[5]trip_summary_region!H599</f>
        <v>1.5651498E-2</v>
      </c>
      <c r="I599" t="str">
        <f>[5]trip_summary_region!I599</f>
        <v>Local Ferry</v>
      </c>
      <c r="J599" t="str">
        <f>[5]trip_summary_region!J599</f>
        <v>2022/23</v>
      </c>
    </row>
    <row r="600" spans="1:10" x14ac:dyDescent="0.25">
      <c r="A600" t="str">
        <f>[5]trip_summary_region!A600</f>
        <v>08 MANAWATU-WANGANUI</v>
      </c>
      <c r="B600">
        <f>[5]trip_summary_region!B600</f>
        <v>8</v>
      </c>
      <c r="C600">
        <f>[5]trip_summary_region!C600</f>
        <v>2028</v>
      </c>
      <c r="D600">
        <f>[5]trip_summary_region!D600</f>
        <v>2</v>
      </c>
      <c r="E600">
        <f>[5]trip_summary_region!E600</f>
        <v>4</v>
      </c>
      <c r="F600">
        <f>[5]trip_summary_region!F600</f>
        <v>0.13711941659999999</v>
      </c>
      <c r="G600">
        <f>[5]trip_summary_region!G600</f>
        <v>0</v>
      </c>
      <c r="H600">
        <f>[5]trip_summary_region!H600</f>
        <v>1.7139927100000001E-2</v>
      </c>
      <c r="I600" t="str">
        <f>[5]trip_summary_region!I600</f>
        <v>Local Ferry</v>
      </c>
      <c r="J600" t="str">
        <f>[5]trip_summary_region!J600</f>
        <v>2027/28</v>
      </c>
    </row>
    <row r="601" spans="1:10" x14ac:dyDescent="0.25">
      <c r="A601" t="str">
        <f>[5]trip_summary_region!A601</f>
        <v>08 MANAWATU-WANGANUI</v>
      </c>
      <c r="B601">
        <f>[5]trip_summary_region!B601</f>
        <v>8</v>
      </c>
      <c r="C601">
        <f>[5]trip_summary_region!C601</f>
        <v>2033</v>
      </c>
      <c r="D601">
        <f>[5]trip_summary_region!D601</f>
        <v>2</v>
      </c>
      <c r="E601">
        <f>[5]trip_summary_region!E601</f>
        <v>4</v>
      </c>
      <c r="F601">
        <f>[5]trip_summary_region!F601</f>
        <v>0.1391529994</v>
      </c>
      <c r="G601">
        <f>[5]trip_summary_region!G601</f>
        <v>0</v>
      </c>
      <c r="H601">
        <f>[5]trip_summary_region!H601</f>
        <v>1.7394124899999999E-2</v>
      </c>
      <c r="I601" t="str">
        <f>[5]trip_summary_region!I601</f>
        <v>Local Ferry</v>
      </c>
      <c r="J601" t="str">
        <f>[5]trip_summary_region!J601</f>
        <v>2032/33</v>
      </c>
    </row>
    <row r="602" spans="1:10" x14ac:dyDescent="0.25">
      <c r="A602" t="str">
        <f>[5]trip_summary_region!A602</f>
        <v>08 MANAWATU-WANGANUI</v>
      </c>
      <c r="B602">
        <f>[5]trip_summary_region!B602</f>
        <v>8</v>
      </c>
      <c r="C602">
        <f>[5]trip_summary_region!C602</f>
        <v>2038</v>
      </c>
      <c r="D602">
        <f>[5]trip_summary_region!D602</f>
        <v>2</v>
      </c>
      <c r="E602">
        <f>[5]trip_summary_region!E602</f>
        <v>4</v>
      </c>
      <c r="F602">
        <f>[5]trip_summary_region!F602</f>
        <v>0.13472141269999999</v>
      </c>
      <c r="G602">
        <f>[5]trip_summary_region!G602</f>
        <v>0</v>
      </c>
      <c r="H602">
        <f>[5]trip_summary_region!H602</f>
        <v>1.6840176599999999E-2</v>
      </c>
      <c r="I602" t="str">
        <f>[5]trip_summary_region!I602</f>
        <v>Local Ferry</v>
      </c>
      <c r="J602" t="str">
        <f>[5]trip_summary_region!J602</f>
        <v>2037/38</v>
      </c>
    </row>
    <row r="603" spans="1:10" x14ac:dyDescent="0.25">
      <c r="A603" t="str">
        <f>[5]trip_summary_region!A603</f>
        <v>08 MANAWATU-WANGANUI</v>
      </c>
      <c r="B603">
        <f>[5]trip_summary_region!B603</f>
        <v>8</v>
      </c>
      <c r="C603">
        <f>[5]trip_summary_region!C603</f>
        <v>2043</v>
      </c>
      <c r="D603">
        <f>[5]trip_summary_region!D603</f>
        <v>2</v>
      </c>
      <c r="E603">
        <f>[5]trip_summary_region!E603</f>
        <v>4</v>
      </c>
      <c r="F603">
        <f>[5]trip_summary_region!F603</f>
        <v>0.1293568397</v>
      </c>
      <c r="G603">
        <f>[5]trip_summary_region!G603</f>
        <v>0</v>
      </c>
      <c r="H603">
        <f>[5]trip_summary_region!H603</f>
        <v>1.6169605E-2</v>
      </c>
      <c r="I603" t="str">
        <f>[5]trip_summary_region!I603</f>
        <v>Local Ferry</v>
      </c>
      <c r="J603" t="str">
        <f>[5]trip_summary_region!J603</f>
        <v>2042/43</v>
      </c>
    </row>
    <row r="604" spans="1:10" x14ac:dyDescent="0.25">
      <c r="A604" t="str">
        <f>[5]trip_summary_region!A604</f>
        <v>08 MANAWATU-WANGANUI</v>
      </c>
      <c r="B604">
        <f>[5]trip_summary_region!B604</f>
        <v>9</v>
      </c>
      <c r="C604">
        <f>[5]trip_summary_region!C604</f>
        <v>2013</v>
      </c>
      <c r="D604">
        <f>[5]trip_summary_region!D604</f>
        <v>2</v>
      </c>
      <c r="E604">
        <f>[5]trip_summary_region!E604</f>
        <v>5</v>
      </c>
      <c r="F604">
        <f>[5]trip_summary_region!F604</f>
        <v>0.24513607779999999</v>
      </c>
      <c r="G604">
        <f>[5]trip_summary_region!G604</f>
        <v>0</v>
      </c>
      <c r="H604">
        <f>[5]trip_summary_region!H604</f>
        <v>3.9735238899999997E-2</v>
      </c>
      <c r="I604" t="str">
        <f>[5]trip_summary_region!I604</f>
        <v>Other Household Travel</v>
      </c>
      <c r="J604" t="str">
        <f>[5]trip_summary_region!J604</f>
        <v>2012/13</v>
      </c>
    </row>
    <row r="605" spans="1:10" x14ac:dyDescent="0.25">
      <c r="A605" t="str">
        <f>[5]trip_summary_region!A605</f>
        <v>08 MANAWATU-WANGANUI</v>
      </c>
      <c r="B605">
        <f>[5]trip_summary_region!B605</f>
        <v>9</v>
      </c>
      <c r="C605">
        <f>[5]trip_summary_region!C605</f>
        <v>2018</v>
      </c>
      <c r="D605">
        <f>[5]trip_summary_region!D605</f>
        <v>2</v>
      </c>
      <c r="E605">
        <f>[5]trip_summary_region!E605</f>
        <v>5</v>
      </c>
      <c r="F605">
        <f>[5]trip_summary_region!F605</f>
        <v>0.2289719882</v>
      </c>
      <c r="G605">
        <f>[5]trip_summary_region!G605</f>
        <v>0</v>
      </c>
      <c r="H605">
        <f>[5]trip_summary_region!H605</f>
        <v>3.7408448300000001E-2</v>
      </c>
      <c r="I605" t="str">
        <f>[5]trip_summary_region!I605</f>
        <v>Other Household Travel</v>
      </c>
      <c r="J605" t="str">
        <f>[5]trip_summary_region!J605</f>
        <v>2017/18</v>
      </c>
    </row>
    <row r="606" spans="1:10" x14ac:dyDescent="0.25">
      <c r="A606" t="str">
        <f>[5]trip_summary_region!A606</f>
        <v>08 MANAWATU-WANGANUI</v>
      </c>
      <c r="B606">
        <f>[5]trip_summary_region!B606</f>
        <v>9</v>
      </c>
      <c r="C606">
        <f>[5]trip_summary_region!C606</f>
        <v>2023</v>
      </c>
      <c r="D606">
        <f>[5]trip_summary_region!D606</f>
        <v>2</v>
      </c>
      <c r="E606">
        <f>[5]trip_summary_region!E606</f>
        <v>5</v>
      </c>
      <c r="F606">
        <f>[5]trip_summary_region!F606</f>
        <v>0.2055630759</v>
      </c>
      <c r="G606">
        <f>[5]trip_summary_region!G606</f>
        <v>0</v>
      </c>
      <c r="H606">
        <f>[5]trip_summary_region!H606</f>
        <v>3.3477788600000002E-2</v>
      </c>
      <c r="I606" t="str">
        <f>[5]trip_summary_region!I606</f>
        <v>Other Household Travel</v>
      </c>
      <c r="J606" t="str">
        <f>[5]trip_summary_region!J606</f>
        <v>2022/23</v>
      </c>
    </row>
    <row r="607" spans="1:10" x14ac:dyDescent="0.25">
      <c r="A607" t="str">
        <f>[5]trip_summary_region!A607</f>
        <v>08 MANAWATU-WANGANUI</v>
      </c>
      <c r="B607">
        <f>[5]trip_summary_region!B607</f>
        <v>9</v>
      </c>
      <c r="C607">
        <f>[5]trip_summary_region!C607</f>
        <v>2028</v>
      </c>
      <c r="D607">
        <f>[5]trip_summary_region!D607</f>
        <v>2</v>
      </c>
      <c r="E607">
        <f>[5]trip_summary_region!E607</f>
        <v>5</v>
      </c>
      <c r="F607">
        <f>[5]trip_summary_region!F607</f>
        <v>0.17642258120000001</v>
      </c>
      <c r="G607">
        <f>[5]trip_summary_region!G607</f>
        <v>0</v>
      </c>
      <c r="H607">
        <f>[5]trip_summary_region!H607</f>
        <v>2.9040679999999999E-2</v>
      </c>
      <c r="I607" t="str">
        <f>[5]trip_summary_region!I607</f>
        <v>Other Household Travel</v>
      </c>
      <c r="J607" t="str">
        <f>[5]trip_summary_region!J607</f>
        <v>2027/28</v>
      </c>
    </row>
    <row r="608" spans="1:10" x14ac:dyDescent="0.25">
      <c r="A608" t="str">
        <f>[5]trip_summary_region!A608</f>
        <v>08 MANAWATU-WANGANUI</v>
      </c>
      <c r="B608">
        <f>[5]trip_summary_region!B608</f>
        <v>9</v>
      </c>
      <c r="C608">
        <f>[5]trip_summary_region!C608</f>
        <v>2033</v>
      </c>
      <c r="D608">
        <f>[5]trip_summary_region!D608</f>
        <v>2</v>
      </c>
      <c r="E608">
        <f>[5]trip_summary_region!E608</f>
        <v>5</v>
      </c>
      <c r="F608">
        <f>[5]trip_summary_region!F608</f>
        <v>0.15691635900000001</v>
      </c>
      <c r="G608">
        <f>[5]trip_summary_region!G608</f>
        <v>0</v>
      </c>
      <c r="H608">
        <f>[5]trip_summary_region!H608</f>
        <v>2.6102468E-2</v>
      </c>
      <c r="I608" t="str">
        <f>[5]trip_summary_region!I608</f>
        <v>Other Household Travel</v>
      </c>
      <c r="J608" t="str">
        <f>[5]trip_summary_region!J608</f>
        <v>2032/33</v>
      </c>
    </row>
    <row r="609" spans="1:10" x14ac:dyDescent="0.25">
      <c r="A609" t="str">
        <f>[5]trip_summary_region!A609</f>
        <v>08 MANAWATU-WANGANUI</v>
      </c>
      <c r="B609">
        <f>[5]trip_summary_region!B609</f>
        <v>9</v>
      </c>
      <c r="C609">
        <f>[5]trip_summary_region!C609</f>
        <v>2038</v>
      </c>
      <c r="D609">
        <f>[5]trip_summary_region!D609</f>
        <v>2</v>
      </c>
      <c r="E609">
        <f>[5]trip_summary_region!E609</f>
        <v>5</v>
      </c>
      <c r="F609">
        <f>[5]trip_summary_region!F609</f>
        <v>0.13818034009999999</v>
      </c>
      <c r="G609">
        <f>[5]trip_summary_region!G609</f>
        <v>0</v>
      </c>
      <c r="H609">
        <f>[5]trip_summary_region!H609</f>
        <v>2.3498210700000001E-2</v>
      </c>
      <c r="I609" t="str">
        <f>[5]trip_summary_region!I609</f>
        <v>Other Household Travel</v>
      </c>
      <c r="J609" t="str">
        <f>[5]trip_summary_region!J609</f>
        <v>2037/38</v>
      </c>
    </row>
    <row r="610" spans="1:10" x14ac:dyDescent="0.25">
      <c r="A610" t="str">
        <f>[5]trip_summary_region!A610</f>
        <v>08 MANAWATU-WANGANUI</v>
      </c>
      <c r="B610">
        <f>[5]trip_summary_region!B610</f>
        <v>9</v>
      </c>
      <c r="C610">
        <f>[5]trip_summary_region!C610</f>
        <v>2043</v>
      </c>
      <c r="D610">
        <f>[5]trip_summary_region!D610</f>
        <v>2</v>
      </c>
      <c r="E610">
        <f>[5]trip_summary_region!E610</f>
        <v>5</v>
      </c>
      <c r="F610">
        <f>[5]trip_summary_region!F610</f>
        <v>0.1189788562</v>
      </c>
      <c r="G610">
        <f>[5]trip_summary_region!G610</f>
        <v>0</v>
      </c>
      <c r="H610">
        <f>[5]trip_summary_region!H610</f>
        <v>2.0664275100000001E-2</v>
      </c>
      <c r="I610" t="str">
        <f>[5]trip_summary_region!I610</f>
        <v>Other Household Travel</v>
      </c>
      <c r="J610" t="str">
        <f>[5]trip_summary_region!J610</f>
        <v>2042/43</v>
      </c>
    </row>
    <row r="611" spans="1:10" x14ac:dyDescent="0.25">
      <c r="A611" t="str">
        <f>[5]trip_summary_region!A611</f>
        <v>08 MANAWATU-WANGANUI</v>
      </c>
      <c r="B611">
        <f>[5]trip_summary_region!B611</f>
        <v>10</v>
      </c>
      <c r="C611">
        <f>[5]trip_summary_region!C611</f>
        <v>2013</v>
      </c>
      <c r="D611">
        <f>[5]trip_summary_region!D611</f>
        <v>7</v>
      </c>
      <c r="E611">
        <f>[5]trip_summary_region!E611</f>
        <v>9</v>
      </c>
      <c r="F611">
        <f>[5]trip_summary_region!F611</f>
        <v>0.39226351739999998</v>
      </c>
      <c r="G611">
        <f>[5]trip_summary_region!G611</f>
        <v>21.972430028000002</v>
      </c>
      <c r="H611">
        <f>[5]trip_summary_region!H611</f>
        <v>0.73590853769999998</v>
      </c>
      <c r="I611" t="str">
        <f>[5]trip_summary_region!I611</f>
        <v>Air/Non-Local PT</v>
      </c>
      <c r="J611" t="str">
        <f>[5]trip_summary_region!J611</f>
        <v>2012/13</v>
      </c>
    </row>
    <row r="612" spans="1:10" x14ac:dyDescent="0.25">
      <c r="A612" t="str">
        <f>[5]trip_summary_region!A612</f>
        <v>08 MANAWATU-WANGANUI</v>
      </c>
      <c r="B612">
        <f>[5]trip_summary_region!B612</f>
        <v>10</v>
      </c>
      <c r="C612">
        <f>[5]trip_summary_region!C612</f>
        <v>2018</v>
      </c>
      <c r="D612">
        <f>[5]trip_summary_region!D612</f>
        <v>7</v>
      </c>
      <c r="E612">
        <f>[5]trip_summary_region!E612</f>
        <v>9</v>
      </c>
      <c r="F612">
        <f>[5]trip_summary_region!F612</f>
        <v>0.46737332279999999</v>
      </c>
      <c r="G612">
        <f>[5]trip_summary_region!G612</f>
        <v>23.895876309999998</v>
      </c>
      <c r="H612">
        <f>[5]trip_summary_region!H612</f>
        <v>0.84055858319999999</v>
      </c>
      <c r="I612" t="str">
        <f>[5]trip_summary_region!I612</f>
        <v>Air/Non-Local PT</v>
      </c>
      <c r="J612" t="str">
        <f>[5]trip_summary_region!J612</f>
        <v>2017/18</v>
      </c>
    </row>
    <row r="613" spans="1:10" x14ac:dyDescent="0.25">
      <c r="A613" t="str">
        <f>[5]trip_summary_region!A613</f>
        <v>08 MANAWATU-WANGANUI</v>
      </c>
      <c r="B613">
        <f>[5]trip_summary_region!B613</f>
        <v>10</v>
      </c>
      <c r="C613">
        <f>[5]trip_summary_region!C613</f>
        <v>2023</v>
      </c>
      <c r="D613">
        <f>[5]trip_summary_region!D613</f>
        <v>7</v>
      </c>
      <c r="E613">
        <f>[5]trip_summary_region!E613</f>
        <v>9</v>
      </c>
      <c r="F613">
        <f>[5]trip_summary_region!F613</f>
        <v>0.53458344199999996</v>
      </c>
      <c r="G613">
        <f>[5]trip_summary_region!G613</f>
        <v>26.120301912999999</v>
      </c>
      <c r="H613">
        <f>[5]trip_summary_region!H613</f>
        <v>0.94907879989999999</v>
      </c>
      <c r="I613" t="str">
        <f>[5]trip_summary_region!I613</f>
        <v>Air/Non-Local PT</v>
      </c>
      <c r="J613" t="str">
        <f>[5]trip_summary_region!J613</f>
        <v>2022/23</v>
      </c>
    </row>
    <row r="614" spans="1:10" x14ac:dyDescent="0.25">
      <c r="A614" t="str">
        <f>[5]trip_summary_region!A614</f>
        <v>08 MANAWATU-WANGANUI</v>
      </c>
      <c r="B614">
        <f>[5]trip_summary_region!B614</f>
        <v>10</v>
      </c>
      <c r="C614">
        <f>[5]trip_summary_region!C614</f>
        <v>2028</v>
      </c>
      <c r="D614">
        <f>[5]trip_summary_region!D614</f>
        <v>7</v>
      </c>
      <c r="E614">
        <f>[5]trip_summary_region!E614</f>
        <v>9</v>
      </c>
      <c r="F614">
        <f>[5]trip_summary_region!F614</f>
        <v>0.5982101085</v>
      </c>
      <c r="G614">
        <f>[5]trip_summary_region!G614</f>
        <v>29.413123732999999</v>
      </c>
      <c r="H614">
        <f>[5]trip_summary_region!H614</f>
        <v>1.0802977197000001</v>
      </c>
      <c r="I614" t="str">
        <f>[5]trip_summary_region!I614</f>
        <v>Air/Non-Local PT</v>
      </c>
      <c r="J614" t="str">
        <f>[5]trip_summary_region!J614</f>
        <v>2027/28</v>
      </c>
    </row>
    <row r="615" spans="1:10" x14ac:dyDescent="0.25">
      <c r="A615" t="str">
        <f>[5]trip_summary_region!A615</f>
        <v>08 MANAWATU-WANGANUI</v>
      </c>
      <c r="B615">
        <f>[5]trip_summary_region!B615</f>
        <v>10</v>
      </c>
      <c r="C615">
        <f>[5]trip_summary_region!C615</f>
        <v>2033</v>
      </c>
      <c r="D615">
        <f>[5]trip_summary_region!D615</f>
        <v>7</v>
      </c>
      <c r="E615">
        <f>[5]trip_summary_region!E615</f>
        <v>9</v>
      </c>
      <c r="F615">
        <f>[5]trip_summary_region!F615</f>
        <v>0.64959445540000005</v>
      </c>
      <c r="G615">
        <f>[5]trip_summary_region!G615</f>
        <v>30.948567548</v>
      </c>
      <c r="H615">
        <f>[5]trip_summary_region!H615</f>
        <v>1.1773210071</v>
      </c>
      <c r="I615" t="str">
        <f>[5]trip_summary_region!I615</f>
        <v>Air/Non-Local PT</v>
      </c>
      <c r="J615" t="str">
        <f>[5]trip_summary_region!J615</f>
        <v>2032/33</v>
      </c>
    </row>
    <row r="616" spans="1:10" x14ac:dyDescent="0.25">
      <c r="A616" t="str">
        <f>[5]trip_summary_region!A616</f>
        <v>08 MANAWATU-WANGANUI</v>
      </c>
      <c r="B616">
        <f>[5]trip_summary_region!B616</f>
        <v>10</v>
      </c>
      <c r="C616">
        <f>[5]trip_summary_region!C616</f>
        <v>2038</v>
      </c>
      <c r="D616">
        <f>[5]trip_summary_region!D616</f>
        <v>7</v>
      </c>
      <c r="E616">
        <f>[5]trip_summary_region!E616</f>
        <v>9</v>
      </c>
      <c r="F616">
        <f>[5]trip_summary_region!F616</f>
        <v>0.68468387600000002</v>
      </c>
      <c r="G616">
        <f>[5]trip_summary_region!G616</f>
        <v>29.810989309</v>
      </c>
      <c r="H616">
        <f>[5]trip_summary_region!H616</f>
        <v>1.2070923914</v>
      </c>
      <c r="I616" t="str">
        <f>[5]trip_summary_region!I616</f>
        <v>Air/Non-Local PT</v>
      </c>
      <c r="J616" t="str">
        <f>[5]trip_summary_region!J616</f>
        <v>2037/38</v>
      </c>
    </row>
    <row r="617" spans="1:10" x14ac:dyDescent="0.25">
      <c r="A617" t="str">
        <f>[5]trip_summary_region!A617</f>
        <v>08 MANAWATU-WANGANUI</v>
      </c>
      <c r="B617">
        <f>[5]trip_summary_region!B617</f>
        <v>10</v>
      </c>
      <c r="C617">
        <f>[5]trip_summary_region!C617</f>
        <v>2043</v>
      </c>
      <c r="D617">
        <f>[5]trip_summary_region!D617</f>
        <v>7</v>
      </c>
      <c r="E617">
        <f>[5]trip_summary_region!E617</f>
        <v>9</v>
      </c>
      <c r="F617">
        <f>[5]trip_summary_region!F617</f>
        <v>0.71940849250000005</v>
      </c>
      <c r="G617">
        <f>[5]trip_summary_region!G617</f>
        <v>28.426336656</v>
      </c>
      <c r="H617">
        <f>[5]trip_summary_region!H617</f>
        <v>1.2313933608000001</v>
      </c>
      <c r="I617" t="str">
        <f>[5]trip_summary_region!I617</f>
        <v>Air/Non-Local PT</v>
      </c>
      <c r="J617" t="str">
        <f>[5]trip_summary_region!J617</f>
        <v>2042/43</v>
      </c>
    </row>
    <row r="618" spans="1:10" x14ac:dyDescent="0.25">
      <c r="A618" t="str">
        <f>[5]trip_summary_region!A618</f>
        <v>08 MANAWATU-WANGANUI</v>
      </c>
      <c r="B618">
        <f>[5]trip_summary_region!B618</f>
        <v>11</v>
      </c>
      <c r="C618">
        <f>[5]trip_summary_region!C618</f>
        <v>2013</v>
      </c>
      <c r="D618">
        <f>[5]trip_summary_region!D618</f>
        <v>12</v>
      </c>
      <c r="E618">
        <f>[5]trip_summary_region!E618</f>
        <v>37</v>
      </c>
      <c r="F618">
        <f>[5]trip_summary_region!F618</f>
        <v>1.6982787315000001</v>
      </c>
      <c r="G618">
        <f>[5]trip_summary_region!G618</f>
        <v>38.826541556000002</v>
      </c>
      <c r="H618">
        <f>[5]trip_summary_region!H618</f>
        <v>0.76899050189999996</v>
      </c>
      <c r="I618" t="str">
        <f>[5]trip_summary_region!I618</f>
        <v>Non-Household Travel</v>
      </c>
      <c r="J618" t="str">
        <f>[5]trip_summary_region!J618</f>
        <v>2012/13</v>
      </c>
    </row>
    <row r="619" spans="1:10" x14ac:dyDescent="0.25">
      <c r="A619" t="str">
        <f>[5]trip_summary_region!A619</f>
        <v>08 MANAWATU-WANGANUI</v>
      </c>
      <c r="B619">
        <f>[5]trip_summary_region!B619</f>
        <v>11</v>
      </c>
      <c r="C619">
        <f>[5]trip_summary_region!C619</f>
        <v>2018</v>
      </c>
      <c r="D619">
        <f>[5]trip_summary_region!D619</f>
        <v>12</v>
      </c>
      <c r="E619">
        <f>[5]trip_summary_region!E619</f>
        <v>37</v>
      </c>
      <c r="F619">
        <f>[5]trip_summary_region!F619</f>
        <v>1.7100380187999999</v>
      </c>
      <c r="G619">
        <f>[5]trip_summary_region!G619</f>
        <v>38.317939297000002</v>
      </c>
      <c r="H619">
        <f>[5]trip_summary_region!H619</f>
        <v>0.77409499520000002</v>
      </c>
      <c r="I619" t="str">
        <f>[5]trip_summary_region!I619</f>
        <v>Non-Household Travel</v>
      </c>
      <c r="J619" t="str">
        <f>[5]trip_summary_region!J619</f>
        <v>2017/18</v>
      </c>
    </row>
    <row r="620" spans="1:10" x14ac:dyDescent="0.25">
      <c r="A620" t="str">
        <f>[5]trip_summary_region!A620</f>
        <v>08 MANAWATU-WANGANUI</v>
      </c>
      <c r="B620">
        <f>[5]trip_summary_region!B620</f>
        <v>11</v>
      </c>
      <c r="C620">
        <f>[5]trip_summary_region!C620</f>
        <v>2023</v>
      </c>
      <c r="D620">
        <f>[5]trip_summary_region!D620</f>
        <v>12</v>
      </c>
      <c r="E620">
        <f>[5]trip_summary_region!E620</f>
        <v>37</v>
      </c>
      <c r="F620">
        <f>[5]trip_summary_region!F620</f>
        <v>1.7410704418</v>
      </c>
      <c r="G620">
        <f>[5]trip_summary_region!G620</f>
        <v>38.847172538999999</v>
      </c>
      <c r="H620">
        <f>[5]trip_summary_region!H620</f>
        <v>0.79229801030000002</v>
      </c>
      <c r="I620" t="str">
        <f>[5]trip_summary_region!I620</f>
        <v>Non-Household Travel</v>
      </c>
      <c r="J620" t="str">
        <f>[5]trip_summary_region!J620</f>
        <v>2022/23</v>
      </c>
    </row>
    <row r="621" spans="1:10" x14ac:dyDescent="0.25">
      <c r="A621" t="str">
        <f>[5]trip_summary_region!A621</f>
        <v>08 MANAWATU-WANGANUI</v>
      </c>
      <c r="B621">
        <f>[5]trip_summary_region!B621</f>
        <v>11</v>
      </c>
      <c r="C621">
        <f>[5]trip_summary_region!C621</f>
        <v>2028</v>
      </c>
      <c r="D621">
        <f>[5]trip_summary_region!D621</f>
        <v>12</v>
      </c>
      <c r="E621">
        <f>[5]trip_summary_region!E621</f>
        <v>37</v>
      </c>
      <c r="F621">
        <f>[5]trip_summary_region!F621</f>
        <v>1.7989480758</v>
      </c>
      <c r="G621">
        <f>[5]trip_summary_region!G621</f>
        <v>40.593532592999999</v>
      </c>
      <c r="H621">
        <f>[5]trip_summary_region!H621</f>
        <v>0.8253393752</v>
      </c>
      <c r="I621" t="str">
        <f>[5]trip_summary_region!I621</f>
        <v>Non-Household Travel</v>
      </c>
      <c r="J621" t="str">
        <f>[5]trip_summary_region!J621</f>
        <v>2027/28</v>
      </c>
    </row>
    <row r="622" spans="1:10" x14ac:dyDescent="0.25">
      <c r="A622" t="str">
        <f>[5]trip_summary_region!A622</f>
        <v>08 MANAWATU-WANGANUI</v>
      </c>
      <c r="B622">
        <f>[5]trip_summary_region!B622</f>
        <v>11</v>
      </c>
      <c r="C622">
        <f>[5]trip_summary_region!C622</f>
        <v>2033</v>
      </c>
      <c r="D622">
        <f>[5]trip_summary_region!D622</f>
        <v>12</v>
      </c>
      <c r="E622">
        <f>[5]trip_summary_region!E622</f>
        <v>37</v>
      </c>
      <c r="F622">
        <f>[5]trip_summary_region!F622</f>
        <v>1.8064593504999999</v>
      </c>
      <c r="G622">
        <f>[5]trip_summary_region!G622</f>
        <v>42.213387245</v>
      </c>
      <c r="H622">
        <f>[5]trip_summary_region!H622</f>
        <v>0.84730179350000001</v>
      </c>
      <c r="I622" t="str">
        <f>[5]trip_summary_region!I622</f>
        <v>Non-Household Travel</v>
      </c>
      <c r="J622" t="str">
        <f>[5]trip_summary_region!J622</f>
        <v>2032/33</v>
      </c>
    </row>
    <row r="623" spans="1:10" x14ac:dyDescent="0.25">
      <c r="A623" t="str">
        <f>[5]trip_summary_region!A623</f>
        <v>08 MANAWATU-WANGANUI</v>
      </c>
      <c r="B623">
        <f>[5]trip_summary_region!B623</f>
        <v>11</v>
      </c>
      <c r="C623">
        <f>[5]trip_summary_region!C623</f>
        <v>2038</v>
      </c>
      <c r="D623">
        <f>[5]trip_summary_region!D623</f>
        <v>12</v>
      </c>
      <c r="E623">
        <f>[5]trip_summary_region!E623</f>
        <v>37</v>
      </c>
      <c r="F623">
        <f>[5]trip_summary_region!F623</f>
        <v>1.7704480139000001</v>
      </c>
      <c r="G623">
        <f>[5]trip_summary_region!G623</f>
        <v>42.196501388999998</v>
      </c>
      <c r="H623">
        <f>[5]trip_summary_region!H623</f>
        <v>0.8407667244</v>
      </c>
      <c r="I623" t="str">
        <f>[5]trip_summary_region!I623</f>
        <v>Non-Household Travel</v>
      </c>
      <c r="J623" t="str">
        <f>[5]trip_summary_region!J623</f>
        <v>2037/38</v>
      </c>
    </row>
    <row r="624" spans="1:10" x14ac:dyDescent="0.25">
      <c r="A624" t="str">
        <f>[5]trip_summary_region!A624</f>
        <v>08 MANAWATU-WANGANUI</v>
      </c>
      <c r="B624">
        <f>[5]trip_summary_region!B624</f>
        <v>11</v>
      </c>
      <c r="C624">
        <f>[5]trip_summary_region!C624</f>
        <v>2043</v>
      </c>
      <c r="D624">
        <f>[5]trip_summary_region!D624</f>
        <v>12</v>
      </c>
      <c r="E624">
        <f>[5]trip_summary_region!E624</f>
        <v>37</v>
      </c>
      <c r="F624">
        <f>[5]trip_summary_region!F624</f>
        <v>1.7172798415999999</v>
      </c>
      <c r="G624">
        <f>[5]trip_summary_region!G624</f>
        <v>41.848900186000002</v>
      </c>
      <c r="H624">
        <f>[5]trip_summary_region!H624</f>
        <v>0.82754669759999999</v>
      </c>
      <c r="I624" t="str">
        <f>[5]trip_summary_region!I624</f>
        <v>Non-Household Travel</v>
      </c>
      <c r="J624" t="str">
        <f>[5]trip_summary_region!J624</f>
        <v>2042/43</v>
      </c>
    </row>
    <row r="625" spans="1:10" x14ac:dyDescent="0.25">
      <c r="A625" t="str">
        <f>[5]trip_summary_region!A625</f>
        <v>09 WELLINGTON</v>
      </c>
      <c r="B625">
        <f>[5]trip_summary_region!B625</f>
        <v>0</v>
      </c>
      <c r="C625">
        <f>[5]trip_summary_region!C625</f>
        <v>2013</v>
      </c>
      <c r="D625">
        <f>[5]trip_summary_region!D625</f>
        <v>941</v>
      </c>
      <c r="E625">
        <f>[5]trip_summary_region!E625</f>
        <v>4221</v>
      </c>
      <c r="F625">
        <f>[5]trip_summary_region!F625</f>
        <v>182.29561206</v>
      </c>
      <c r="G625">
        <f>[5]trip_summary_region!G625</f>
        <v>126.13499251</v>
      </c>
      <c r="H625">
        <f>[5]trip_summary_region!H625</f>
        <v>32.985647405999998</v>
      </c>
      <c r="I625" t="str">
        <f>[5]trip_summary_region!I625</f>
        <v>Pedestrian</v>
      </c>
      <c r="J625" t="str">
        <f>[5]trip_summary_region!J625</f>
        <v>2012/13</v>
      </c>
    </row>
    <row r="626" spans="1:10" x14ac:dyDescent="0.25">
      <c r="A626" t="str">
        <f>[5]trip_summary_region!A626</f>
        <v>09 WELLINGTON</v>
      </c>
      <c r="B626">
        <f>[5]trip_summary_region!B626</f>
        <v>0</v>
      </c>
      <c r="C626">
        <f>[5]trip_summary_region!C626</f>
        <v>2018</v>
      </c>
      <c r="D626">
        <f>[5]trip_summary_region!D626</f>
        <v>941</v>
      </c>
      <c r="E626">
        <f>[5]trip_summary_region!E626</f>
        <v>4221</v>
      </c>
      <c r="F626">
        <f>[5]trip_summary_region!F626</f>
        <v>190.40872615999999</v>
      </c>
      <c r="G626">
        <f>[5]trip_summary_region!G626</f>
        <v>132.45113541000001</v>
      </c>
      <c r="H626">
        <f>[5]trip_summary_region!H626</f>
        <v>34.628282974999998</v>
      </c>
      <c r="I626" t="str">
        <f>[5]trip_summary_region!I626</f>
        <v>Pedestrian</v>
      </c>
      <c r="J626" t="str">
        <f>[5]trip_summary_region!J626</f>
        <v>2017/18</v>
      </c>
    </row>
    <row r="627" spans="1:10" x14ac:dyDescent="0.25">
      <c r="A627" t="str">
        <f>[5]trip_summary_region!A627</f>
        <v>09 WELLINGTON</v>
      </c>
      <c r="B627">
        <f>[5]trip_summary_region!B627</f>
        <v>0</v>
      </c>
      <c r="C627">
        <f>[5]trip_summary_region!C627</f>
        <v>2023</v>
      </c>
      <c r="D627">
        <f>[5]trip_summary_region!D627</f>
        <v>941</v>
      </c>
      <c r="E627">
        <f>[5]trip_summary_region!E627</f>
        <v>4221</v>
      </c>
      <c r="F627">
        <f>[5]trip_summary_region!F627</f>
        <v>193.73310755</v>
      </c>
      <c r="G627">
        <f>[5]trip_summary_region!G627</f>
        <v>135.06483802</v>
      </c>
      <c r="H627">
        <f>[5]trip_summary_region!H627</f>
        <v>35.277926403000002</v>
      </c>
      <c r="I627" t="str">
        <f>[5]trip_summary_region!I627</f>
        <v>Pedestrian</v>
      </c>
      <c r="J627" t="str">
        <f>[5]trip_summary_region!J627</f>
        <v>2022/23</v>
      </c>
    </row>
    <row r="628" spans="1:10" x14ac:dyDescent="0.25">
      <c r="A628" t="str">
        <f>[5]trip_summary_region!A628</f>
        <v>09 WELLINGTON</v>
      </c>
      <c r="B628">
        <f>[5]trip_summary_region!B628</f>
        <v>0</v>
      </c>
      <c r="C628">
        <f>[5]trip_summary_region!C628</f>
        <v>2028</v>
      </c>
      <c r="D628">
        <f>[5]trip_summary_region!D628</f>
        <v>941</v>
      </c>
      <c r="E628">
        <f>[5]trip_summary_region!E628</f>
        <v>4221</v>
      </c>
      <c r="F628">
        <f>[5]trip_summary_region!F628</f>
        <v>196.80875022000001</v>
      </c>
      <c r="G628">
        <f>[5]trip_summary_region!G628</f>
        <v>137.71668699</v>
      </c>
      <c r="H628">
        <f>[5]trip_summary_region!H628</f>
        <v>36.091399938000002</v>
      </c>
      <c r="I628" t="str">
        <f>[5]trip_summary_region!I628</f>
        <v>Pedestrian</v>
      </c>
      <c r="J628" t="str">
        <f>[5]trip_summary_region!J628</f>
        <v>2027/28</v>
      </c>
    </row>
    <row r="629" spans="1:10" x14ac:dyDescent="0.25">
      <c r="A629" t="str">
        <f>[5]trip_summary_region!A629</f>
        <v>09 WELLINGTON</v>
      </c>
      <c r="B629">
        <f>[5]trip_summary_region!B629</f>
        <v>0</v>
      </c>
      <c r="C629">
        <f>[5]trip_summary_region!C629</f>
        <v>2033</v>
      </c>
      <c r="D629">
        <f>[5]trip_summary_region!D629</f>
        <v>941</v>
      </c>
      <c r="E629">
        <f>[5]trip_summary_region!E629</f>
        <v>4221</v>
      </c>
      <c r="F629">
        <f>[5]trip_summary_region!F629</f>
        <v>198.85145539999999</v>
      </c>
      <c r="G629">
        <f>[5]trip_summary_region!G629</f>
        <v>139.79366095</v>
      </c>
      <c r="H629">
        <f>[5]trip_summary_region!H629</f>
        <v>36.692474709000003</v>
      </c>
      <c r="I629" t="str">
        <f>[5]trip_summary_region!I629</f>
        <v>Pedestrian</v>
      </c>
      <c r="J629" t="str">
        <f>[5]trip_summary_region!J629</f>
        <v>2032/33</v>
      </c>
    </row>
    <row r="630" spans="1:10" x14ac:dyDescent="0.25">
      <c r="A630" t="str">
        <f>[5]trip_summary_region!A630</f>
        <v>09 WELLINGTON</v>
      </c>
      <c r="B630">
        <f>[5]trip_summary_region!B630</f>
        <v>0</v>
      </c>
      <c r="C630">
        <f>[5]trip_summary_region!C630</f>
        <v>2038</v>
      </c>
      <c r="D630">
        <f>[5]trip_summary_region!D630</f>
        <v>941</v>
      </c>
      <c r="E630">
        <f>[5]trip_summary_region!E630</f>
        <v>4221</v>
      </c>
      <c r="F630">
        <f>[5]trip_summary_region!F630</f>
        <v>200.68600108000001</v>
      </c>
      <c r="G630">
        <f>[5]trip_summary_region!G630</f>
        <v>142.10474904</v>
      </c>
      <c r="H630">
        <f>[5]trip_summary_region!H630</f>
        <v>37.223403345000001</v>
      </c>
      <c r="I630" t="str">
        <f>[5]trip_summary_region!I630</f>
        <v>Pedestrian</v>
      </c>
      <c r="J630" t="str">
        <f>[5]trip_summary_region!J630</f>
        <v>2037/38</v>
      </c>
    </row>
    <row r="631" spans="1:10" x14ac:dyDescent="0.25">
      <c r="A631" t="str">
        <f>[5]trip_summary_region!A631</f>
        <v>09 WELLINGTON</v>
      </c>
      <c r="B631">
        <f>[5]trip_summary_region!B631</f>
        <v>0</v>
      </c>
      <c r="C631">
        <f>[5]trip_summary_region!C631</f>
        <v>2043</v>
      </c>
      <c r="D631">
        <f>[5]trip_summary_region!D631</f>
        <v>941</v>
      </c>
      <c r="E631">
        <f>[5]trip_summary_region!E631</f>
        <v>4221</v>
      </c>
      <c r="F631">
        <f>[5]trip_summary_region!F631</f>
        <v>201.86804825999999</v>
      </c>
      <c r="G631">
        <f>[5]trip_summary_region!G631</f>
        <v>144.08450284</v>
      </c>
      <c r="H631">
        <f>[5]trip_summary_region!H631</f>
        <v>37.663206666000001</v>
      </c>
      <c r="I631" t="str">
        <f>[5]trip_summary_region!I631</f>
        <v>Pedestrian</v>
      </c>
      <c r="J631" t="str">
        <f>[5]trip_summary_region!J631</f>
        <v>2042/43</v>
      </c>
    </row>
    <row r="632" spans="1:10" x14ac:dyDescent="0.25">
      <c r="A632" t="str">
        <f>[5]trip_summary_region!A632</f>
        <v>09 WELLINGTON</v>
      </c>
      <c r="B632">
        <f>[5]trip_summary_region!B632</f>
        <v>1</v>
      </c>
      <c r="C632">
        <f>[5]trip_summary_region!C632</f>
        <v>2013</v>
      </c>
      <c r="D632">
        <f>[5]trip_summary_region!D632</f>
        <v>54</v>
      </c>
      <c r="E632">
        <f>[5]trip_summary_region!E632</f>
        <v>164</v>
      </c>
      <c r="F632">
        <f>[5]trip_summary_region!F632</f>
        <v>8.1327913301999999</v>
      </c>
      <c r="G632">
        <f>[5]trip_summary_region!G632</f>
        <v>52.092312808000003</v>
      </c>
      <c r="H632">
        <f>[5]trip_summary_region!H632</f>
        <v>3.6978261002999999</v>
      </c>
      <c r="I632" t="str">
        <f>[5]trip_summary_region!I632</f>
        <v>Cyclist</v>
      </c>
      <c r="J632" t="str">
        <f>[5]trip_summary_region!J632</f>
        <v>2012/13</v>
      </c>
    </row>
    <row r="633" spans="1:10" x14ac:dyDescent="0.25">
      <c r="A633" t="str">
        <f>[5]trip_summary_region!A633</f>
        <v>09 WELLINGTON</v>
      </c>
      <c r="B633">
        <f>[5]trip_summary_region!B633</f>
        <v>1</v>
      </c>
      <c r="C633">
        <f>[5]trip_summary_region!C633</f>
        <v>2018</v>
      </c>
      <c r="D633">
        <f>[5]trip_summary_region!D633</f>
        <v>54</v>
      </c>
      <c r="E633">
        <f>[5]trip_summary_region!E633</f>
        <v>164</v>
      </c>
      <c r="F633">
        <f>[5]trip_summary_region!F633</f>
        <v>8.2039512521999995</v>
      </c>
      <c r="G633">
        <f>[5]trip_summary_region!G633</f>
        <v>54.619825529000003</v>
      </c>
      <c r="H633">
        <f>[5]trip_summary_region!H633</f>
        <v>3.8706390237999999</v>
      </c>
      <c r="I633" t="str">
        <f>[5]trip_summary_region!I633</f>
        <v>Cyclist</v>
      </c>
      <c r="J633" t="str">
        <f>[5]trip_summary_region!J633</f>
        <v>2017/18</v>
      </c>
    </row>
    <row r="634" spans="1:10" x14ac:dyDescent="0.25">
      <c r="A634" t="str">
        <f>[5]trip_summary_region!A634</f>
        <v>09 WELLINGTON</v>
      </c>
      <c r="B634">
        <f>[5]trip_summary_region!B634</f>
        <v>1</v>
      </c>
      <c r="C634">
        <f>[5]trip_summary_region!C634</f>
        <v>2023</v>
      </c>
      <c r="D634">
        <f>[5]trip_summary_region!D634</f>
        <v>54</v>
      </c>
      <c r="E634">
        <f>[5]trip_summary_region!E634</f>
        <v>164</v>
      </c>
      <c r="F634">
        <f>[5]trip_summary_region!F634</f>
        <v>8.1176767918999992</v>
      </c>
      <c r="G634">
        <f>[5]trip_summary_region!G634</f>
        <v>55.456239609999997</v>
      </c>
      <c r="H634">
        <f>[5]trip_summary_region!H634</f>
        <v>3.9188412526</v>
      </c>
      <c r="I634" t="str">
        <f>[5]trip_summary_region!I634</f>
        <v>Cyclist</v>
      </c>
      <c r="J634" t="str">
        <f>[5]trip_summary_region!J634</f>
        <v>2022/23</v>
      </c>
    </row>
    <row r="635" spans="1:10" x14ac:dyDescent="0.25">
      <c r="A635" t="str">
        <f>[5]trip_summary_region!A635</f>
        <v>09 WELLINGTON</v>
      </c>
      <c r="B635">
        <f>[5]trip_summary_region!B635</f>
        <v>1</v>
      </c>
      <c r="C635">
        <f>[5]trip_summary_region!C635</f>
        <v>2028</v>
      </c>
      <c r="D635">
        <f>[5]trip_summary_region!D635</f>
        <v>54</v>
      </c>
      <c r="E635">
        <f>[5]trip_summary_region!E635</f>
        <v>164</v>
      </c>
      <c r="F635">
        <f>[5]trip_summary_region!F635</f>
        <v>7.8079709510999997</v>
      </c>
      <c r="G635">
        <f>[5]trip_summary_region!G635</f>
        <v>56.716453205999997</v>
      </c>
      <c r="H635">
        <f>[5]trip_summary_region!H635</f>
        <v>3.9715236813999999</v>
      </c>
      <c r="I635" t="str">
        <f>[5]trip_summary_region!I635</f>
        <v>Cyclist</v>
      </c>
      <c r="J635" t="str">
        <f>[5]trip_summary_region!J635</f>
        <v>2027/28</v>
      </c>
    </row>
    <row r="636" spans="1:10" x14ac:dyDescent="0.25">
      <c r="A636" t="str">
        <f>[5]trip_summary_region!A636</f>
        <v>09 WELLINGTON</v>
      </c>
      <c r="B636">
        <f>[5]trip_summary_region!B636</f>
        <v>1</v>
      </c>
      <c r="C636">
        <f>[5]trip_summary_region!C636</f>
        <v>2033</v>
      </c>
      <c r="D636">
        <f>[5]trip_summary_region!D636</f>
        <v>54</v>
      </c>
      <c r="E636">
        <f>[5]trip_summary_region!E636</f>
        <v>164</v>
      </c>
      <c r="F636">
        <f>[5]trip_summary_region!F636</f>
        <v>7.6109124194</v>
      </c>
      <c r="G636">
        <f>[5]trip_summary_region!G636</f>
        <v>60.390584517000001</v>
      </c>
      <c r="H636">
        <f>[5]trip_summary_region!H636</f>
        <v>4.1712015988999998</v>
      </c>
      <c r="I636" t="str">
        <f>[5]trip_summary_region!I636</f>
        <v>Cyclist</v>
      </c>
      <c r="J636" t="str">
        <f>[5]trip_summary_region!J636</f>
        <v>2032/33</v>
      </c>
    </row>
    <row r="637" spans="1:10" x14ac:dyDescent="0.25">
      <c r="A637" t="str">
        <f>[5]trip_summary_region!A637</f>
        <v>09 WELLINGTON</v>
      </c>
      <c r="B637">
        <f>[5]trip_summary_region!B637</f>
        <v>1</v>
      </c>
      <c r="C637">
        <f>[5]trip_summary_region!C637</f>
        <v>2038</v>
      </c>
      <c r="D637">
        <f>[5]trip_summary_region!D637</f>
        <v>54</v>
      </c>
      <c r="E637">
        <f>[5]trip_summary_region!E637</f>
        <v>164</v>
      </c>
      <c r="F637">
        <f>[5]trip_summary_region!F637</f>
        <v>7.5600450404000004</v>
      </c>
      <c r="G637">
        <f>[5]trip_summary_region!G637</f>
        <v>65.895244525999999</v>
      </c>
      <c r="H637">
        <f>[5]trip_summary_region!H637</f>
        <v>4.4943216531000001</v>
      </c>
      <c r="I637" t="str">
        <f>[5]trip_summary_region!I637</f>
        <v>Cyclist</v>
      </c>
      <c r="J637" t="str">
        <f>[5]trip_summary_region!J637</f>
        <v>2037/38</v>
      </c>
    </row>
    <row r="638" spans="1:10" x14ac:dyDescent="0.25">
      <c r="A638" t="str">
        <f>[5]trip_summary_region!A638</f>
        <v>09 WELLINGTON</v>
      </c>
      <c r="B638">
        <f>[5]trip_summary_region!B638</f>
        <v>1</v>
      </c>
      <c r="C638">
        <f>[5]trip_summary_region!C638</f>
        <v>2043</v>
      </c>
      <c r="D638">
        <f>[5]trip_summary_region!D638</f>
        <v>54</v>
      </c>
      <c r="E638">
        <f>[5]trip_summary_region!E638</f>
        <v>164</v>
      </c>
      <c r="F638">
        <f>[5]trip_summary_region!F638</f>
        <v>7.5180838595999999</v>
      </c>
      <c r="G638">
        <f>[5]trip_summary_region!G638</f>
        <v>71.642121337000006</v>
      </c>
      <c r="H638">
        <f>[5]trip_summary_region!H638</f>
        <v>4.8322216795999999</v>
      </c>
      <c r="I638" t="str">
        <f>[5]trip_summary_region!I638</f>
        <v>Cyclist</v>
      </c>
      <c r="J638" t="str">
        <f>[5]trip_summary_region!J638</f>
        <v>2042/43</v>
      </c>
    </row>
    <row r="639" spans="1:10" x14ac:dyDescent="0.25">
      <c r="A639" t="str">
        <f>[5]trip_summary_region!A639</f>
        <v>09 WELLINGTON</v>
      </c>
      <c r="B639">
        <f>[5]trip_summary_region!B639</f>
        <v>2</v>
      </c>
      <c r="C639">
        <f>[5]trip_summary_region!C639</f>
        <v>2013</v>
      </c>
      <c r="D639">
        <f>[5]trip_summary_region!D639</f>
        <v>1130</v>
      </c>
      <c r="E639">
        <f>[5]trip_summary_region!E639</f>
        <v>8488</v>
      </c>
      <c r="F639">
        <f>[5]trip_summary_region!F639</f>
        <v>377.93589692</v>
      </c>
      <c r="G639">
        <f>[5]trip_summary_region!G639</f>
        <v>3481.4296611999998</v>
      </c>
      <c r="H639">
        <f>[5]trip_summary_region!H639</f>
        <v>92.129697210000003</v>
      </c>
      <c r="I639" t="str">
        <f>[5]trip_summary_region!I639</f>
        <v>Light Vehicle Driver</v>
      </c>
      <c r="J639" t="str">
        <f>[5]trip_summary_region!J639</f>
        <v>2012/13</v>
      </c>
    </row>
    <row r="640" spans="1:10" x14ac:dyDescent="0.25">
      <c r="A640" t="str">
        <f>[5]trip_summary_region!A640</f>
        <v>09 WELLINGTON</v>
      </c>
      <c r="B640">
        <f>[5]trip_summary_region!B640</f>
        <v>2</v>
      </c>
      <c r="C640">
        <f>[5]trip_summary_region!C640</f>
        <v>2018</v>
      </c>
      <c r="D640">
        <f>[5]trip_summary_region!D640</f>
        <v>1130</v>
      </c>
      <c r="E640">
        <f>[5]trip_summary_region!E640</f>
        <v>8488</v>
      </c>
      <c r="F640">
        <f>[5]trip_summary_region!F640</f>
        <v>393.65461706000002</v>
      </c>
      <c r="G640">
        <f>[5]trip_summary_region!G640</f>
        <v>3641.9345367999999</v>
      </c>
      <c r="H640">
        <f>[5]trip_summary_region!H640</f>
        <v>96.431207155999999</v>
      </c>
      <c r="I640" t="str">
        <f>[5]trip_summary_region!I640</f>
        <v>Light Vehicle Driver</v>
      </c>
      <c r="J640" t="str">
        <f>[5]trip_summary_region!J640</f>
        <v>2017/18</v>
      </c>
    </row>
    <row r="641" spans="1:10" x14ac:dyDescent="0.25">
      <c r="A641" t="str">
        <f>[5]trip_summary_region!A641</f>
        <v>09 WELLINGTON</v>
      </c>
      <c r="B641">
        <f>[5]trip_summary_region!B641</f>
        <v>2</v>
      </c>
      <c r="C641">
        <f>[5]trip_summary_region!C641</f>
        <v>2023</v>
      </c>
      <c r="D641">
        <f>[5]trip_summary_region!D641</f>
        <v>1130</v>
      </c>
      <c r="E641">
        <f>[5]trip_summary_region!E641</f>
        <v>8488</v>
      </c>
      <c r="F641">
        <f>[5]trip_summary_region!F641</f>
        <v>402.66991358000001</v>
      </c>
      <c r="G641">
        <f>[5]trip_summary_region!G641</f>
        <v>3731.1882663000001</v>
      </c>
      <c r="H641">
        <f>[5]trip_summary_region!H641</f>
        <v>98.909793128000004</v>
      </c>
      <c r="I641" t="str">
        <f>[5]trip_summary_region!I641</f>
        <v>Light Vehicle Driver</v>
      </c>
      <c r="J641" t="str">
        <f>[5]trip_summary_region!J641</f>
        <v>2022/23</v>
      </c>
    </row>
    <row r="642" spans="1:10" x14ac:dyDescent="0.25">
      <c r="A642" t="str">
        <f>[5]trip_summary_region!A642</f>
        <v>09 WELLINGTON</v>
      </c>
      <c r="B642">
        <f>[5]trip_summary_region!B642</f>
        <v>2</v>
      </c>
      <c r="C642">
        <f>[5]trip_summary_region!C642</f>
        <v>2028</v>
      </c>
      <c r="D642">
        <f>[5]trip_summary_region!D642</f>
        <v>1130</v>
      </c>
      <c r="E642">
        <f>[5]trip_summary_region!E642</f>
        <v>8488</v>
      </c>
      <c r="F642">
        <f>[5]trip_summary_region!F642</f>
        <v>417.77474382999998</v>
      </c>
      <c r="G642">
        <f>[5]trip_summary_region!G642</f>
        <v>3886.7419365000001</v>
      </c>
      <c r="H642">
        <f>[5]trip_summary_region!H642</f>
        <v>102.84637115</v>
      </c>
      <c r="I642" t="str">
        <f>[5]trip_summary_region!I642</f>
        <v>Light Vehicle Driver</v>
      </c>
      <c r="J642" t="str">
        <f>[5]trip_summary_region!J642</f>
        <v>2027/28</v>
      </c>
    </row>
    <row r="643" spans="1:10" x14ac:dyDescent="0.25">
      <c r="A643" t="str">
        <f>[5]trip_summary_region!A643</f>
        <v>09 WELLINGTON</v>
      </c>
      <c r="B643">
        <f>[5]trip_summary_region!B643</f>
        <v>2</v>
      </c>
      <c r="C643">
        <f>[5]trip_summary_region!C643</f>
        <v>2033</v>
      </c>
      <c r="D643">
        <f>[5]trip_summary_region!D643</f>
        <v>1130</v>
      </c>
      <c r="E643">
        <f>[5]trip_summary_region!E643</f>
        <v>8488</v>
      </c>
      <c r="F643">
        <f>[5]trip_summary_region!F643</f>
        <v>430.57936690999998</v>
      </c>
      <c r="G643">
        <f>[5]trip_summary_region!G643</f>
        <v>4036.5519002999999</v>
      </c>
      <c r="H643">
        <f>[5]trip_summary_region!H643</f>
        <v>106.37558653000001</v>
      </c>
      <c r="I643" t="str">
        <f>[5]trip_summary_region!I643</f>
        <v>Light Vehicle Driver</v>
      </c>
      <c r="J643" t="str">
        <f>[5]trip_summary_region!J643</f>
        <v>2032/33</v>
      </c>
    </row>
    <row r="644" spans="1:10" x14ac:dyDescent="0.25">
      <c r="A644" t="str">
        <f>[5]trip_summary_region!A644</f>
        <v>09 WELLINGTON</v>
      </c>
      <c r="B644">
        <f>[5]trip_summary_region!B644</f>
        <v>2</v>
      </c>
      <c r="C644">
        <f>[5]trip_summary_region!C644</f>
        <v>2038</v>
      </c>
      <c r="D644">
        <f>[5]trip_summary_region!D644</f>
        <v>1130</v>
      </c>
      <c r="E644">
        <f>[5]trip_summary_region!E644</f>
        <v>8488</v>
      </c>
      <c r="F644">
        <f>[5]trip_summary_region!F644</f>
        <v>439.30549060999999</v>
      </c>
      <c r="G644">
        <f>[5]trip_summary_region!G644</f>
        <v>4147.7905872000001</v>
      </c>
      <c r="H644">
        <f>[5]trip_summary_region!H644</f>
        <v>108.99849632999999</v>
      </c>
      <c r="I644" t="str">
        <f>[5]trip_summary_region!I644</f>
        <v>Light Vehicle Driver</v>
      </c>
      <c r="J644" t="str">
        <f>[5]trip_summary_region!J644</f>
        <v>2037/38</v>
      </c>
    </row>
    <row r="645" spans="1:10" x14ac:dyDescent="0.25">
      <c r="A645" t="str">
        <f>[5]trip_summary_region!A645</f>
        <v>09 WELLINGTON</v>
      </c>
      <c r="B645">
        <f>[5]trip_summary_region!B645</f>
        <v>2</v>
      </c>
      <c r="C645">
        <f>[5]trip_summary_region!C645</f>
        <v>2043</v>
      </c>
      <c r="D645">
        <f>[5]trip_summary_region!D645</f>
        <v>1130</v>
      </c>
      <c r="E645">
        <f>[5]trip_summary_region!E645</f>
        <v>8488</v>
      </c>
      <c r="F645">
        <f>[5]trip_summary_region!F645</f>
        <v>446.15541109999998</v>
      </c>
      <c r="G645">
        <f>[5]trip_summary_region!G645</f>
        <v>4240.9874411000001</v>
      </c>
      <c r="H645">
        <f>[5]trip_summary_region!H645</f>
        <v>111.17557921</v>
      </c>
      <c r="I645" t="str">
        <f>[5]trip_summary_region!I645</f>
        <v>Light Vehicle Driver</v>
      </c>
      <c r="J645" t="str">
        <f>[5]trip_summary_region!J645</f>
        <v>2042/43</v>
      </c>
    </row>
    <row r="646" spans="1:10" x14ac:dyDescent="0.25">
      <c r="A646" t="str">
        <f>[5]trip_summary_region!A646</f>
        <v>09 WELLINGTON</v>
      </c>
      <c r="B646">
        <f>[5]trip_summary_region!B646</f>
        <v>3</v>
      </c>
      <c r="C646">
        <f>[5]trip_summary_region!C646</f>
        <v>2013</v>
      </c>
      <c r="D646">
        <f>[5]trip_summary_region!D646</f>
        <v>936</v>
      </c>
      <c r="E646">
        <f>[5]trip_summary_region!E646</f>
        <v>4461</v>
      </c>
      <c r="F646">
        <f>[5]trip_summary_region!F646</f>
        <v>183.55442563</v>
      </c>
      <c r="G646">
        <f>[5]trip_summary_region!G646</f>
        <v>2005.8850408000001</v>
      </c>
      <c r="H646">
        <f>[5]trip_summary_region!H646</f>
        <v>48.966354531</v>
      </c>
      <c r="I646" t="str">
        <f>[5]trip_summary_region!I646</f>
        <v>Light Vehicle Passenger</v>
      </c>
      <c r="J646" t="str">
        <f>[5]trip_summary_region!J646</f>
        <v>2012/13</v>
      </c>
    </row>
    <row r="647" spans="1:10" x14ac:dyDescent="0.25">
      <c r="A647" t="str">
        <f>[5]trip_summary_region!A647</f>
        <v>09 WELLINGTON</v>
      </c>
      <c r="B647">
        <f>[5]trip_summary_region!B647</f>
        <v>3</v>
      </c>
      <c r="C647">
        <f>[5]trip_summary_region!C647</f>
        <v>2018</v>
      </c>
      <c r="D647">
        <f>[5]trip_summary_region!D647</f>
        <v>936</v>
      </c>
      <c r="E647">
        <f>[5]trip_summary_region!E647</f>
        <v>4461</v>
      </c>
      <c r="F647">
        <f>[5]trip_summary_region!F647</f>
        <v>185.19623999999999</v>
      </c>
      <c r="G647">
        <f>[5]trip_summary_region!G647</f>
        <v>1999.5831888</v>
      </c>
      <c r="H647">
        <f>[5]trip_summary_region!H647</f>
        <v>49.178630364999997</v>
      </c>
      <c r="I647" t="str">
        <f>[5]trip_summary_region!I647</f>
        <v>Light Vehicle Passenger</v>
      </c>
      <c r="J647" t="str">
        <f>[5]trip_summary_region!J647</f>
        <v>2017/18</v>
      </c>
    </row>
    <row r="648" spans="1:10" x14ac:dyDescent="0.25">
      <c r="A648" t="str">
        <f>[5]trip_summary_region!A648</f>
        <v>09 WELLINGTON</v>
      </c>
      <c r="B648">
        <f>[5]trip_summary_region!B648</f>
        <v>3</v>
      </c>
      <c r="C648">
        <f>[5]trip_summary_region!C648</f>
        <v>2023</v>
      </c>
      <c r="D648">
        <f>[5]trip_summary_region!D648</f>
        <v>936</v>
      </c>
      <c r="E648">
        <f>[5]trip_summary_region!E648</f>
        <v>4461</v>
      </c>
      <c r="F648">
        <f>[5]trip_summary_region!F648</f>
        <v>184.76842518000001</v>
      </c>
      <c r="G648">
        <f>[5]trip_summary_region!G648</f>
        <v>1970.7731154999999</v>
      </c>
      <c r="H648">
        <f>[5]trip_summary_region!H648</f>
        <v>48.766577740000002</v>
      </c>
      <c r="I648" t="str">
        <f>[5]trip_summary_region!I648</f>
        <v>Light Vehicle Passenger</v>
      </c>
      <c r="J648" t="str">
        <f>[5]trip_summary_region!J648</f>
        <v>2022/23</v>
      </c>
    </row>
    <row r="649" spans="1:10" x14ac:dyDescent="0.25">
      <c r="A649" t="str">
        <f>[5]trip_summary_region!A649</f>
        <v>09 WELLINGTON</v>
      </c>
      <c r="B649">
        <f>[5]trip_summary_region!B649</f>
        <v>3</v>
      </c>
      <c r="C649">
        <f>[5]trip_summary_region!C649</f>
        <v>2028</v>
      </c>
      <c r="D649">
        <f>[5]trip_summary_region!D649</f>
        <v>936</v>
      </c>
      <c r="E649">
        <f>[5]trip_summary_region!E649</f>
        <v>4461</v>
      </c>
      <c r="F649">
        <f>[5]trip_summary_region!F649</f>
        <v>184.2742116</v>
      </c>
      <c r="G649">
        <f>[5]trip_summary_region!G649</f>
        <v>1965.2787202</v>
      </c>
      <c r="H649">
        <f>[5]trip_summary_region!H649</f>
        <v>48.654322915999998</v>
      </c>
      <c r="I649" t="str">
        <f>[5]trip_summary_region!I649</f>
        <v>Light Vehicle Passenger</v>
      </c>
      <c r="J649" t="str">
        <f>[5]trip_summary_region!J649</f>
        <v>2027/28</v>
      </c>
    </row>
    <row r="650" spans="1:10" x14ac:dyDescent="0.25">
      <c r="A650" t="str">
        <f>[5]trip_summary_region!A650</f>
        <v>09 WELLINGTON</v>
      </c>
      <c r="B650">
        <f>[5]trip_summary_region!B650</f>
        <v>3</v>
      </c>
      <c r="C650">
        <f>[5]trip_summary_region!C650</f>
        <v>2033</v>
      </c>
      <c r="D650">
        <f>[5]trip_summary_region!D650</f>
        <v>936</v>
      </c>
      <c r="E650">
        <f>[5]trip_summary_region!E650</f>
        <v>4461</v>
      </c>
      <c r="F650">
        <f>[5]trip_summary_region!F650</f>
        <v>184.11298127000001</v>
      </c>
      <c r="G650">
        <f>[5]trip_summary_region!G650</f>
        <v>1965.0207774999999</v>
      </c>
      <c r="H650">
        <f>[5]trip_summary_region!H650</f>
        <v>48.637526184999999</v>
      </c>
      <c r="I650" t="str">
        <f>[5]trip_summary_region!I650</f>
        <v>Light Vehicle Passenger</v>
      </c>
      <c r="J650" t="str">
        <f>[5]trip_summary_region!J650</f>
        <v>2032/33</v>
      </c>
    </row>
    <row r="651" spans="1:10" x14ac:dyDescent="0.25">
      <c r="A651" t="str">
        <f>[5]trip_summary_region!A651</f>
        <v>09 WELLINGTON</v>
      </c>
      <c r="B651">
        <f>[5]trip_summary_region!B651</f>
        <v>3</v>
      </c>
      <c r="C651">
        <f>[5]trip_summary_region!C651</f>
        <v>2038</v>
      </c>
      <c r="D651">
        <f>[5]trip_summary_region!D651</f>
        <v>936</v>
      </c>
      <c r="E651">
        <f>[5]trip_summary_region!E651</f>
        <v>4461</v>
      </c>
      <c r="F651">
        <f>[5]trip_summary_region!F651</f>
        <v>183.16953197000001</v>
      </c>
      <c r="G651">
        <f>[5]trip_summary_region!G651</f>
        <v>1950.3790839000001</v>
      </c>
      <c r="H651">
        <f>[5]trip_summary_region!H651</f>
        <v>48.282370092000001</v>
      </c>
      <c r="I651" t="str">
        <f>[5]trip_summary_region!I651</f>
        <v>Light Vehicle Passenger</v>
      </c>
      <c r="J651" t="str">
        <f>[5]trip_summary_region!J651</f>
        <v>2037/38</v>
      </c>
    </row>
    <row r="652" spans="1:10" x14ac:dyDescent="0.25">
      <c r="A652" t="str">
        <f>[5]trip_summary_region!A652</f>
        <v>09 WELLINGTON</v>
      </c>
      <c r="B652">
        <f>[5]trip_summary_region!B652</f>
        <v>3</v>
      </c>
      <c r="C652">
        <f>[5]trip_summary_region!C652</f>
        <v>2043</v>
      </c>
      <c r="D652">
        <f>[5]trip_summary_region!D652</f>
        <v>936</v>
      </c>
      <c r="E652">
        <f>[5]trip_summary_region!E652</f>
        <v>4461</v>
      </c>
      <c r="F652">
        <f>[5]trip_summary_region!F652</f>
        <v>181.24657514</v>
      </c>
      <c r="G652">
        <f>[5]trip_summary_region!G652</f>
        <v>1926.4478180999999</v>
      </c>
      <c r="H652">
        <f>[5]trip_summary_region!H652</f>
        <v>47.707554029000001</v>
      </c>
      <c r="I652" t="str">
        <f>[5]trip_summary_region!I652</f>
        <v>Light Vehicle Passenger</v>
      </c>
      <c r="J652" t="str">
        <f>[5]trip_summary_region!J652</f>
        <v>2042/43</v>
      </c>
    </row>
    <row r="653" spans="1:10" x14ac:dyDescent="0.25">
      <c r="A653" t="str">
        <f>[5]trip_summary_region!A653</f>
        <v>09 WELLINGTON</v>
      </c>
      <c r="B653">
        <f>[5]trip_summary_region!B653</f>
        <v>4</v>
      </c>
      <c r="C653">
        <f>[5]trip_summary_region!C653</f>
        <v>2013</v>
      </c>
      <c r="D653">
        <f>[5]trip_summary_region!D653</f>
        <v>31</v>
      </c>
      <c r="E653">
        <f>[5]trip_summary_region!E653</f>
        <v>51</v>
      </c>
      <c r="F653">
        <f>[5]trip_summary_region!F653</f>
        <v>2.3579512121000001</v>
      </c>
      <c r="G653">
        <f>[5]trip_summary_region!G653</f>
        <v>19.359252680000001</v>
      </c>
      <c r="H653">
        <f>[5]trip_summary_region!H653</f>
        <v>0.76229285280000003</v>
      </c>
      <c r="I653" t="s">
        <v>116</v>
      </c>
      <c r="J653" t="str">
        <f>[5]trip_summary_region!J653</f>
        <v>2012/13</v>
      </c>
    </row>
    <row r="654" spans="1:10" x14ac:dyDescent="0.25">
      <c r="A654" t="str">
        <f>[5]trip_summary_region!A654</f>
        <v>09 WELLINGTON</v>
      </c>
      <c r="B654">
        <f>[5]trip_summary_region!B654</f>
        <v>4</v>
      </c>
      <c r="C654">
        <f>[5]trip_summary_region!C654</f>
        <v>2018</v>
      </c>
      <c r="D654">
        <f>[5]trip_summary_region!D654</f>
        <v>31</v>
      </c>
      <c r="E654">
        <f>[5]trip_summary_region!E654</f>
        <v>51</v>
      </c>
      <c r="F654">
        <f>[5]trip_summary_region!F654</f>
        <v>2.5432772413000002</v>
      </c>
      <c r="G654">
        <f>[5]trip_summary_region!G654</f>
        <v>20.293499299</v>
      </c>
      <c r="H654">
        <f>[5]trip_summary_region!H654</f>
        <v>0.80752725110000001</v>
      </c>
      <c r="I654" t="s">
        <v>116</v>
      </c>
      <c r="J654" t="str">
        <f>[5]trip_summary_region!J654</f>
        <v>2017/18</v>
      </c>
    </row>
    <row r="655" spans="1:10" x14ac:dyDescent="0.25">
      <c r="A655" t="str">
        <f>[5]trip_summary_region!A655</f>
        <v>09 WELLINGTON</v>
      </c>
      <c r="B655">
        <f>[5]trip_summary_region!B655</f>
        <v>4</v>
      </c>
      <c r="C655">
        <f>[5]trip_summary_region!C655</f>
        <v>2023</v>
      </c>
      <c r="D655">
        <f>[5]trip_summary_region!D655</f>
        <v>31</v>
      </c>
      <c r="E655">
        <f>[5]trip_summary_region!E655</f>
        <v>51</v>
      </c>
      <c r="F655">
        <f>[5]trip_summary_region!F655</f>
        <v>2.6476384677000002</v>
      </c>
      <c r="G655">
        <f>[5]trip_summary_region!G655</f>
        <v>21.173082781000002</v>
      </c>
      <c r="H655">
        <f>[5]trip_summary_region!H655</f>
        <v>0.84598605199999999</v>
      </c>
      <c r="I655" t="s">
        <v>116</v>
      </c>
      <c r="J655" t="str">
        <f>[5]trip_summary_region!J655</f>
        <v>2022/23</v>
      </c>
    </row>
    <row r="656" spans="1:10" x14ac:dyDescent="0.25">
      <c r="A656" t="str">
        <f>[5]trip_summary_region!A656</f>
        <v>09 WELLINGTON</v>
      </c>
      <c r="B656">
        <f>[5]trip_summary_region!B656</f>
        <v>4</v>
      </c>
      <c r="C656">
        <f>[5]trip_summary_region!C656</f>
        <v>2028</v>
      </c>
      <c r="D656">
        <f>[5]trip_summary_region!D656</f>
        <v>31</v>
      </c>
      <c r="E656">
        <f>[5]trip_summary_region!E656</f>
        <v>51</v>
      </c>
      <c r="F656">
        <f>[5]trip_summary_region!F656</f>
        <v>2.7468313403</v>
      </c>
      <c r="G656">
        <f>[5]trip_summary_region!G656</f>
        <v>22.585173241</v>
      </c>
      <c r="H656">
        <f>[5]trip_summary_region!H656</f>
        <v>0.89929059430000002</v>
      </c>
      <c r="I656" t="s">
        <v>116</v>
      </c>
      <c r="J656" t="str">
        <f>[5]trip_summary_region!J656</f>
        <v>2027/28</v>
      </c>
    </row>
    <row r="657" spans="1:10" x14ac:dyDescent="0.25">
      <c r="A657" t="str">
        <f>[5]trip_summary_region!A657</f>
        <v>09 WELLINGTON</v>
      </c>
      <c r="B657">
        <f>[5]trip_summary_region!B657</f>
        <v>4</v>
      </c>
      <c r="C657">
        <f>[5]trip_summary_region!C657</f>
        <v>2033</v>
      </c>
      <c r="D657">
        <f>[5]trip_summary_region!D657</f>
        <v>31</v>
      </c>
      <c r="E657">
        <f>[5]trip_summary_region!E657</f>
        <v>51</v>
      </c>
      <c r="F657">
        <f>[5]trip_summary_region!F657</f>
        <v>2.8252487921</v>
      </c>
      <c r="G657">
        <f>[5]trip_summary_region!G657</f>
        <v>23.936852735999999</v>
      </c>
      <c r="H657">
        <f>[5]trip_summary_region!H657</f>
        <v>0.94109277199999997</v>
      </c>
      <c r="I657" t="s">
        <v>116</v>
      </c>
      <c r="J657" t="str">
        <f>[5]trip_summary_region!J657</f>
        <v>2032/33</v>
      </c>
    </row>
    <row r="658" spans="1:10" x14ac:dyDescent="0.25">
      <c r="A658" t="str">
        <f>[5]trip_summary_region!A658</f>
        <v>09 WELLINGTON</v>
      </c>
      <c r="B658">
        <f>[5]trip_summary_region!B658</f>
        <v>4</v>
      </c>
      <c r="C658">
        <f>[5]trip_summary_region!C658</f>
        <v>2038</v>
      </c>
      <c r="D658">
        <f>[5]trip_summary_region!D658</f>
        <v>31</v>
      </c>
      <c r="E658">
        <f>[5]trip_summary_region!E658</f>
        <v>51</v>
      </c>
      <c r="F658">
        <f>[5]trip_summary_region!F658</f>
        <v>2.8956268278000001</v>
      </c>
      <c r="G658">
        <f>[5]trip_summary_region!G658</f>
        <v>24.949145009999999</v>
      </c>
      <c r="H658">
        <f>[5]trip_summary_region!H658</f>
        <v>0.96691873650000004</v>
      </c>
      <c r="I658" t="s">
        <v>116</v>
      </c>
      <c r="J658" t="str">
        <f>[5]trip_summary_region!J658</f>
        <v>2037/38</v>
      </c>
    </row>
    <row r="659" spans="1:10" x14ac:dyDescent="0.25">
      <c r="A659" t="str">
        <f>[5]trip_summary_region!A659</f>
        <v>09 WELLINGTON</v>
      </c>
      <c r="B659">
        <f>[5]trip_summary_region!B659</f>
        <v>4</v>
      </c>
      <c r="C659">
        <f>[5]trip_summary_region!C659</f>
        <v>2043</v>
      </c>
      <c r="D659">
        <f>[5]trip_summary_region!D659</f>
        <v>31</v>
      </c>
      <c r="E659">
        <f>[5]trip_summary_region!E659</f>
        <v>51</v>
      </c>
      <c r="F659">
        <f>[5]trip_summary_region!F659</f>
        <v>2.9527106017000002</v>
      </c>
      <c r="G659">
        <f>[5]trip_summary_region!G659</f>
        <v>25.765838730999999</v>
      </c>
      <c r="H659">
        <f>[5]trip_summary_region!H659</f>
        <v>0.98696370619999996</v>
      </c>
      <c r="I659" t="s">
        <v>116</v>
      </c>
      <c r="J659" t="str">
        <f>[5]trip_summary_region!J659</f>
        <v>2042/43</v>
      </c>
    </row>
    <row r="660" spans="1:10" x14ac:dyDescent="0.25">
      <c r="A660" t="str">
        <f>[5]trip_summary_region!A660</f>
        <v>09 WELLINGTON</v>
      </c>
      <c r="B660">
        <f>[5]trip_summary_region!B660</f>
        <v>5</v>
      </c>
      <c r="C660">
        <f>[5]trip_summary_region!C660</f>
        <v>2013</v>
      </c>
      <c r="D660">
        <f>[5]trip_summary_region!D660</f>
        <v>16</v>
      </c>
      <c r="E660">
        <f>[5]trip_summary_region!E660</f>
        <v>64</v>
      </c>
      <c r="F660">
        <f>[5]trip_summary_region!F660</f>
        <v>2.4968267649999998</v>
      </c>
      <c r="G660">
        <f>[5]trip_summary_region!G660</f>
        <v>24.444631151999999</v>
      </c>
      <c r="H660">
        <f>[5]trip_summary_region!H660</f>
        <v>0.71073078609999996</v>
      </c>
      <c r="I660" t="str">
        <f>[5]trip_summary_region!I660</f>
        <v>Motorcyclist</v>
      </c>
      <c r="J660" t="str">
        <f>[5]trip_summary_region!J660</f>
        <v>2012/13</v>
      </c>
    </row>
    <row r="661" spans="1:10" x14ac:dyDescent="0.25">
      <c r="A661" t="str">
        <f>[5]trip_summary_region!A661</f>
        <v>09 WELLINGTON</v>
      </c>
      <c r="B661">
        <f>[5]trip_summary_region!B661</f>
        <v>5</v>
      </c>
      <c r="C661">
        <f>[5]trip_summary_region!C661</f>
        <v>2018</v>
      </c>
      <c r="D661">
        <f>[5]trip_summary_region!D661</f>
        <v>16</v>
      </c>
      <c r="E661">
        <f>[5]trip_summary_region!E661</f>
        <v>64</v>
      </c>
      <c r="F661">
        <f>[5]trip_summary_region!F661</f>
        <v>2.6093417345000001</v>
      </c>
      <c r="G661">
        <f>[5]trip_summary_region!G661</f>
        <v>24.296201889999999</v>
      </c>
      <c r="H661">
        <f>[5]trip_summary_region!H661</f>
        <v>0.72229804269999998</v>
      </c>
      <c r="I661" t="str">
        <f>[5]trip_summary_region!I661</f>
        <v>Motorcyclist</v>
      </c>
      <c r="J661" t="str">
        <f>[5]trip_summary_region!J661</f>
        <v>2017/18</v>
      </c>
    </row>
    <row r="662" spans="1:10" x14ac:dyDescent="0.25">
      <c r="A662" t="str">
        <f>[5]trip_summary_region!A662</f>
        <v>09 WELLINGTON</v>
      </c>
      <c r="B662">
        <f>[5]trip_summary_region!B662</f>
        <v>5</v>
      </c>
      <c r="C662">
        <f>[5]trip_summary_region!C662</f>
        <v>2023</v>
      </c>
      <c r="D662">
        <f>[5]trip_summary_region!D662</f>
        <v>16</v>
      </c>
      <c r="E662">
        <f>[5]trip_summary_region!E662</f>
        <v>64</v>
      </c>
      <c r="F662">
        <f>[5]trip_summary_region!F662</f>
        <v>2.6299500282000001</v>
      </c>
      <c r="G662">
        <f>[5]trip_summary_region!G662</f>
        <v>23.759589644999998</v>
      </c>
      <c r="H662">
        <f>[5]trip_summary_region!H662</f>
        <v>0.71145422179999995</v>
      </c>
      <c r="I662" t="str">
        <f>[5]trip_summary_region!I662</f>
        <v>Motorcyclist</v>
      </c>
      <c r="J662" t="str">
        <f>[5]trip_summary_region!J662</f>
        <v>2022/23</v>
      </c>
    </row>
    <row r="663" spans="1:10" x14ac:dyDescent="0.25">
      <c r="A663" t="str">
        <f>[5]trip_summary_region!A663</f>
        <v>09 WELLINGTON</v>
      </c>
      <c r="B663">
        <f>[5]trip_summary_region!B663</f>
        <v>5</v>
      </c>
      <c r="C663">
        <f>[5]trip_summary_region!C663</f>
        <v>2028</v>
      </c>
      <c r="D663">
        <f>[5]trip_summary_region!D663</f>
        <v>16</v>
      </c>
      <c r="E663">
        <f>[5]trip_summary_region!E663</f>
        <v>64</v>
      </c>
      <c r="F663">
        <f>[5]trip_summary_region!F663</f>
        <v>2.6708057522000002</v>
      </c>
      <c r="G663">
        <f>[5]trip_summary_region!G663</f>
        <v>24.081453671999999</v>
      </c>
      <c r="H663">
        <f>[5]trip_summary_region!H663</f>
        <v>0.7154514797</v>
      </c>
      <c r="I663" t="str">
        <f>[5]trip_summary_region!I663</f>
        <v>Motorcyclist</v>
      </c>
      <c r="J663" t="str">
        <f>[5]trip_summary_region!J663</f>
        <v>2027/28</v>
      </c>
    </row>
    <row r="664" spans="1:10" x14ac:dyDescent="0.25">
      <c r="A664" t="str">
        <f>[5]trip_summary_region!A664</f>
        <v>09 WELLINGTON</v>
      </c>
      <c r="B664">
        <f>[5]trip_summary_region!B664</f>
        <v>5</v>
      </c>
      <c r="C664">
        <f>[5]trip_summary_region!C664</f>
        <v>2033</v>
      </c>
      <c r="D664">
        <f>[5]trip_summary_region!D664</f>
        <v>16</v>
      </c>
      <c r="E664">
        <f>[5]trip_summary_region!E664</f>
        <v>64</v>
      </c>
      <c r="F664">
        <f>[5]trip_summary_region!F664</f>
        <v>2.7223856131000002</v>
      </c>
      <c r="G664">
        <f>[5]trip_summary_region!G664</f>
        <v>25.052681531000001</v>
      </c>
      <c r="H664">
        <f>[5]trip_summary_region!H664</f>
        <v>0.73612926219999997</v>
      </c>
      <c r="I664" t="str">
        <f>[5]trip_summary_region!I664</f>
        <v>Motorcyclist</v>
      </c>
      <c r="J664" t="str">
        <f>[5]trip_summary_region!J664</f>
        <v>2032/33</v>
      </c>
    </row>
    <row r="665" spans="1:10" x14ac:dyDescent="0.25">
      <c r="A665" t="str">
        <f>[5]trip_summary_region!A665</f>
        <v>09 WELLINGTON</v>
      </c>
      <c r="B665">
        <f>[5]trip_summary_region!B665</f>
        <v>5</v>
      </c>
      <c r="C665">
        <f>[5]trip_summary_region!C665</f>
        <v>2038</v>
      </c>
      <c r="D665">
        <f>[5]trip_summary_region!D665</f>
        <v>16</v>
      </c>
      <c r="E665">
        <f>[5]trip_summary_region!E665</f>
        <v>64</v>
      </c>
      <c r="F665">
        <f>[5]trip_summary_region!F665</f>
        <v>2.7492731103999999</v>
      </c>
      <c r="G665">
        <f>[5]trip_summary_region!G665</f>
        <v>25.872757813</v>
      </c>
      <c r="H665">
        <f>[5]trip_summary_region!H665</f>
        <v>0.75474360689999997</v>
      </c>
      <c r="I665" t="str">
        <f>[5]trip_summary_region!I665</f>
        <v>Motorcyclist</v>
      </c>
      <c r="J665" t="str">
        <f>[5]trip_summary_region!J665</f>
        <v>2037/38</v>
      </c>
    </row>
    <row r="666" spans="1:10" x14ac:dyDescent="0.25">
      <c r="A666" t="str">
        <f>[5]trip_summary_region!A666</f>
        <v>09 WELLINGTON</v>
      </c>
      <c r="B666">
        <f>[5]trip_summary_region!B666</f>
        <v>5</v>
      </c>
      <c r="C666">
        <f>[5]trip_summary_region!C666</f>
        <v>2043</v>
      </c>
      <c r="D666">
        <f>[5]trip_summary_region!D666</f>
        <v>16</v>
      </c>
      <c r="E666">
        <f>[5]trip_summary_region!E666</f>
        <v>64</v>
      </c>
      <c r="F666">
        <f>[5]trip_summary_region!F666</f>
        <v>2.7439070996999999</v>
      </c>
      <c r="G666">
        <f>[5]trip_summary_region!G666</f>
        <v>26.366761792999998</v>
      </c>
      <c r="H666">
        <f>[5]trip_summary_region!H666</f>
        <v>0.76316885479999996</v>
      </c>
      <c r="I666" t="str">
        <f>[5]trip_summary_region!I666</f>
        <v>Motorcyclist</v>
      </c>
      <c r="J666" t="str">
        <f>[5]trip_summary_region!J666</f>
        <v>2042/43</v>
      </c>
    </row>
    <row r="667" spans="1:10" x14ac:dyDescent="0.25">
      <c r="A667" t="str">
        <f>[5]trip_summary_region!A667</f>
        <v>09 WELLINGTON</v>
      </c>
      <c r="B667">
        <f>[5]trip_summary_region!B667</f>
        <v>6</v>
      </c>
      <c r="C667">
        <f>[5]trip_summary_region!C667</f>
        <v>2013</v>
      </c>
      <c r="D667">
        <f>[5]trip_summary_region!D667</f>
        <v>94</v>
      </c>
      <c r="E667">
        <f>[5]trip_summary_region!E667</f>
        <v>228</v>
      </c>
      <c r="F667">
        <f>[5]trip_summary_region!F667</f>
        <v>10.165258230999999</v>
      </c>
      <c r="G667">
        <f>[5]trip_summary_region!G667</f>
        <v>251.12727889999999</v>
      </c>
      <c r="H667">
        <f>[5]trip_summary_region!H667</f>
        <v>5.5268751299999996</v>
      </c>
      <c r="I667" t="str">
        <f>[5]trip_summary_region!I667</f>
        <v>Local Train</v>
      </c>
      <c r="J667" t="str">
        <f>[5]trip_summary_region!J667</f>
        <v>2012/13</v>
      </c>
    </row>
    <row r="668" spans="1:10" x14ac:dyDescent="0.25">
      <c r="A668" t="str">
        <f>[5]trip_summary_region!A668</f>
        <v>09 WELLINGTON</v>
      </c>
      <c r="B668">
        <f>[5]trip_summary_region!B668</f>
        <v>6</v>
      </c>
      <c r="C668">
        <f>[5]trip_summary_region!C668</f>
        <v>2018</v>
      </c>
      <c r="D668">
        <f>[5]trip_summary_region!D668</f>
        <v>94</v>
      </c>
      <c r="E668">
        <f>[5]trip_summary_region!E668</f>
        <v>228</v>
      </c>
      <c r="F668">
        <f>[5]trip_summary_region!F668</f>
        <v>10.797078745</v>
      </c>
      <c r="G668">
        <f>[5]trip_summary_region!G668</f>
        <v>265.00934484999999</v>
      </c>
      <c r="H668">
        <f>[5]trip_summary_region!H668</f>
        <v>5.8119776274000001</v>
      </c>
      <c r="I668" t="str">
        <f>[5]trip_summary_region!I668</f>
        <v>Local Train</v>
      </c>
      <c r="J668" t="str">
        <f>[5]trip_summary_region!J668</f>
        <v>2017/18</v>
      </c>
    </row>
    <row r="669" spans="1:10" x14ac:dyDescent="0.25">
      <c r="A669" t="str">
        <f>[5]trip_summary_region!A669</f>
        <v>09 WELLINGTON</v>
      </c>
      <c r="B669">
        <f>[5]trip_summary_region!B669</f>
        <v>6</v>
      </c>
      <c r="C669">
        <f>[5]trip_summary_region!C669</f>
        <v>2023</v>
      </c>
      <c r="D669">
        <f>[5]trip_summary_region!D669</f>
        <v>94</v>
      </c>
      <c r="E669">
        <f>[5]trip_summary_region!E669</f>
        <v>228</v>
      </c>
      <c r="F669">
        <f>[5]trip_summary_region!F669</f>
        <v>11.168125702999999</v>
      </c>
      <c r="G669">
        <f>[5]trip_summary_region!G669</f>
        <v>274.59087191999998</v>
      </c>
      <c r="H669">
        <f>[5]trip_summary_region!H669</f>
        <v>6.0056745876999997</v>
      </c>
      <c r="I669" t="str">
        <f>[5]trip_summary_region!I669</f>
        <v>Local Train</v>
      </c>
      <c r="J669" t="str">
        <f>[5]trip_summary_region!J669</f>
        <v>2022/23</v>
      </c>
    </row>
    <row r="670" spans="1:10" x14ac:dyDescent="0.25">
      <c r="A670" t="str">
        <f>[5]trip_summary_region!A670</f>
        <v>09 WELLINGTON</v>
      </c>
      <c r="B670">
        <f>[5]trip_summary_region!B670</f>
        <v>6</v>
      </c>
      <c r="C670">
        <f>[5]trip_summary_region!C670</f>
        <v>2028</v>
      </c>
      <c r="D670">
        <f>[5]trip_summary_region!D670</f>
        <v>94</v>
      </c>
      <c r="E670">
        <f>[5]trip_summary_region!E670</f>
        <v>228</v>
      </c>
      <c r="F670">
        <f>[5]trip_summary_region!F670</f>
        <v>11.279089557000001</v>
      </c>
      <c r="G670">
        <f>[5]trip_summary_region!G670</f>
        <v>280.53891522999999</v>
      </c>
      <c r="H670">
        <f>[5]trip_summary_region!H670</f>
        <v>6.1237727758</v>
      </c>
      <c r="I670" t="str">
        <f>[5]trip_summary_region!I670</f>
        <v>Local Train</v>
      </c>
      <c r="J670" t="str">
        <f>[5]trip_summary_region!J670</f>
        <v>2027/28</v>
      </c>
    </row>
    <row r="671" spans="1:10" x14ac:dyDescent="0.25">
      <c r="A671" t="str">
        <f>[5]trip_summary_region!A671</f>
        <v>09 WELLINGTON</v>
      </c>
      <c r="B671">
        <f>[5]trip_summary_region!B671</f>
        <v>6</v>
      </c>
      <c r="C671">
        <f>[5]trip_summary_region!C671</f>
        <v>2033</v>
      </c>
      <c r="D671">
        <f>[5]trip_summary_region!D671</f>
        <v>94</v>
      </c>
      <c r="E671">
        <f>[5]trip_summary_region!E671</f>
        <v>228</v>
      </c>
      <c r="F671">
        <f>[5]trip_summary_region!F671</f>
        <v>11.274533194</v>
      </c>
      <c r="G671">
        <f>[5]trip_summary_region!G671</f>
        <v>280.46661624000001</v>
      </c>
      <c r="H671">
        <f>[5]trip_summary_region!H671</f>
        <v>6.1345499878999998</v>
      </c>
      <c r="I671" t="str">
        <f>[5]trip_summary_region!I671</f>
        <v>Local Train</v>
      </c>
      <c r="J671" t="str">
        <f>[5]trip_summary_region!J671</f>
        <v>2032/33</v>
      </c>
    </row>
    <row r="672" spans="1:10" x14ac:dyDescent="0.25">
      <c r="A672" t="str">
        <f>[5]trip_summary_region!A672</f>
        <v>09 WELLINGTON</v>
      </c>
      <c r="B672">
        <f>[5]trip_summary_region!B672</f>
        <v>6</v>
      </c>
      <c r="C672">
        <f>[5]trip_summary_region!C672</f>
        <v>2038</v>
      </c>
      <c r="D672">
        <f>[5]trip_summary_region!D672</f>
        <v>94</v>
      </c>
      <c r="E672">
        <f>[5]trip_summary_region!E672</f>
        <v>228</v>
      </c>
      <c r="F672">
        <f>[5]trip_summary_region!F672</f>
        <v>11.332285597</v>
      </c>
      <c r="G672">
        <f>[5]trip_summary_region!G672</f>
        <v>281.29711746999999</v>
      </c>
      <c r="H672">
        <f>[5]trip_summary_region!H672</f>
        <v>6.1617167924</v>
      </c>
      <c r="I672" t="str">
        <f>[5]trip_summary_region!I672</f>
        <v>Local Train</v>
      </c>
      <c r="J672" t="str">
        <f>[5]trip_summary_region!J672</f>
        <v>2037/38</v>
      </c>
    </row>
    <row r="673" spans="1:10" x14ac:dyDescent="0.25">
      <c r="A673" t="str">
        <f>[5]trip_summary_region!A673</f>
        <v>09 WELLINGTON</v>
      </c>
      <c r="B673">
        <f>[5]trip_summary_region!B673</f>
        <v>6</v>
      </c>
      <c r="C673">
        <f>[5]trip_summary_region!C673</f>
        <v>2043</v>
      </c>
      <c r="D673">
        <f>[5]trip_summary_region!D673</f>
        <v>94</v>
      </c>
      <c r="E673">
        <f>[5]trip_summary_region!E673</f>
        <v>228</v>
      </c>
      <c r="F673">
        <f>[5]trip_summary_region!F673</f>
        <v>11.340319081000001</v>
      </c>
      <c r="G673">
        <f>[5]trip_summary_region!G673</f>
        <v>280.54519583000001</v>
      </c>
      <c r="H673">
        <f>[5]trip_summary_region!H673</f>
        <v>6.1591517609000004</v>
      </c>
      <c r="I673" t="str">
        <f>[5]trip_summary_region!I673</f>
        <v>Local Train</v>
      </c>
      <c r="J673" t="str">
        <f>[5]trip_summary_region!J673</f>
        <v>2042/43</v>
      </c>
    </row>
    <row r="674" spans="1:10" x14ac:dyDescent="0.25">
      <c r="A674" t="str">
        <f>[5]trip_summary_region!A674</f>
        <v>09 WELLINGTON</v>
      </c>
      <c r="B674">
        <f>[5]trip_summary_region!B674</f>
        <v>7</v>
      </c>
      <c r="C674">
        <f>[5]trip_summary_region!C674</f>
        <v>2013</v>
      </c>
      <c r="D674">
        <f>[5]trip_summary_region!D674</f>
        <v>211</v>
      </c>
      <c r="E674">
        <f>[5]trip_summary_region!E674</f>
        <v>552</v>
      </c>
      <c r="F674">
        <f>[5]trip_summary_region!F674</f>
        <v>24.821335829999999</v>
      </c>
      <c r="G674">
        <f>[5]trip_summary_region!G674</f>
        <v>187.412398</v>
      </c>
      <c r="H674">
        <f>[5]trip_summary_region!H674</f>
        <v>9.3956469076999998</v>
      </c>
      <c r="I674" t="str">
        <f>[5]trip_summary_region!I674</f>
        <v>Local Bus</v>
      </c>
      <c r="J674" t="str">
        <f>[5]trip_summary_region!J674</f>
        <v>2012/13</v>
      </c>
    </row>
    <row r="675" spans="1:10" x14ac:dyDescent="0.25">
      <c r="A675" t="str">
        <f>[5]trip_summary_region!A675</f>
        <v>09 WELLINGTON</v>
      </c>
      <c r="B675">
        <f>[5]trip_summary_region!B675</f>
        <v>7</v>
      </c>
      <c r="C675">
        <f>[5]trip_summary_region!C675</f>
        <v>2018</v>
      </c>
      <c r="D675">
        <f>[5]trip_summary_region!D675</f>
        <v>211</v>
      </c>
      <c r="E675">
        <f>[5]trip_summary_region!E675</f>
        <v>552</v>
      </c>
      <c r="F675">
        <f>[5]trip_summary_region!F675</f>
        <v>25.478594138999998</v>
      </c>
      <c r="G675">
        <f>[5]trip_summary_region!G675</f>
        <v>194.02219538</v>
      </c>
      <c r="H675">
        <f>[5]trip_summary_region!H675</f>
        <v>9.6849274415999993</v>
      </c>
      <c r="I675" t="str">
        <f>[5]trip_summary_region!I675</f>
        <v>Local Bus</v>
      </c>
      <c r="J675" t="str">
        <f>[5]trip_summary_region!J675</f>
        <v>2017/18</v>
      </c>
    </row>
    <row r="676" spans="1:10" x14ac:dyDescent="0.25">
      <c r="A676" t="str">
        <f>[5]trip_summary_region!A676</f>
        <v>09 WELLINGTON</v>
      </c>
      <c r="B676">
        <f>[5]trip_summary_region!B676</f>
        <v>7</v>
      </c>
      <c r="C676">
        <f>[5]trip_summary_region!C676</f>
        <v>2023</v>
      </c>
      <c r="D676">
        <f>[5]trip_summary_region!D676</f>
        <v>211</v>
      </c>
      <c r="E676">
        <f>[5]trip_summary_region!E676</f>
        <v>552</v>
      </c>
      <c r="F676">
        <f>[5]trip_summary_region!F676</f>
        <v>25.553104759</v>
      </c>
      <c r="G676">
        <f>[5]trip_summary_region!G676</f>
        <v>195.43861494999999</v>
      </c>
      <c r="H676">
        <f>[5]trip_summary_region!H676</f>
        <v>9.7519610038</v>
      </c>
      <c r="I676" t="str">
        <f>[5]trip_summary_region!I676</f>
        <v>Local Bus</v>
      </c>
      <c r="J676" t="str">
        <f>[5]trip_summary_region!J676</f>
        <v>2022/23</v>
      </c>
    </row>
    <row r="677" spans="1:10" x14ac:dyDescent="0.25">
      <c r="A677" t="str">
        <f>[5]trip_summary_region!A677</f>
        <v>09 WELLINGTON</v>
      </c>
      <c r="B677">
        <f>[5]trip_summary_region!B677</f>
        <v>7</v>
      </c>
      <c r="C677">
        <f>[5]trip_summary_region!C677</f>
        <v>2028</v>
      </c>
      <c r="D677">
        <f>[5]trip_summary_region!D677</f>
        <v>211</v>
      </c>
      <c r="E677">
        <f>[5]trip_summary_region!E677</f>
        <v>552</v>
      </c>
      <c r="F677">
        <f>[5]trip_summary_region!F677</f>
        <v>25.151368187999999</v>
      </c>
      <c r="G677">
        <f>[5]trip_summary_region!G677</f>
        <v>195.36506292999999</v>
      </c>
      <c r="H677">
        <f>[5]trip_summary_region!H677</f>
        <v>9.6209603155999996</v>
      </c>
      <c r="I677" t="str">
        <f>[5]trip_summary_region!I677</f>
        <v>Local Bus</v>
      </c>
      <c r="J677" t="str">
        <f>[5]trip_summary_region!J677</f>
        <v>2027/28</v>
      </c>
    </row>
    <row r="678" spans="1:10" x14ac:dyDescent="0.25">
      <c r="A678" t="str">
        <f>[5]trip_summary_region!A678</f>
        <v>09 WELLINGTON</v>
      </c>
      <c r="B678">
        <f>[5]trip_summary_region!B678</f>
        <v>7</v>
      </c>
      <c r="C678">
        <f>[5]trip_summary_region!C678</f>
        <v>2033</v>
      </c>
      <c r="D678">
        <f>[5]trip_summary_region!D678</f>
        <v>211</v>
      </c>
      <c r="E678">
        <f>[5]trip_summary_region!E678</f>
        <v>552</v>
      </c>
      <c r="F678">
        <f>[5]trip_summary_region!F678</f>
        <v>24.406180762000002</v>
      </c>
      <c r="G678">
        <f>[5]trip_summary_region!G678</f>
        <v>193.63218957999999</v>
      </c>
      <c r="H678">
        <f>[5]trip_summary_region!H678</f>
        <v>9.3692021358000002</v>
      </c>
      <c r="I678" t="str">
        <f>[5]trip_summary_region!I678</f>
        <v>Local Bus</v>
      </c>
      <c r="J678" t="str">
        <f>[5]trip_summary_region!J678</f>
        <v>2032/33</v>
      </c>
    </row>
    <row r="679" spans="1:10" x14ac:dyDescent="0.25">
      <c r="A679" t="str">
        <f>[5]trip_summary_region!A679</f>
        <v>09 WELLINGTON</v>
      </c>
      <c r="B679">
        <f>[5]trip_summary_region!B679</f>
        <v>7</v>
      </c>
      <c r="C679">
        <f>[5]trip_summary_region!C679</f>
        <v>2038</v>
      </c>
      <c r="D679">
        <f>[5]trip_summary_region!D679</f>
        <v>211</v>
      </c>
      <c r="E679">
        <f>[5]trip_summary_region!E679</f>
        <v>552</v>
      </c>
      <c r="F679">
        <f>[5]trip_summary_region!F679</f>
        <v>23.540603255000001</v>
      </c>
      <c r="G679">
        <f>[5]trip_summary_region!G679</f>
        <v>191.16260774</v>
      </c>
      <c r="H679">
        <f>[5]trip_summary_region!H679</f>
        <v>9.0822456122999995</v>
      </c>
      <c r="I679" t="str">
        <f>[5]trip_summary_region!I679</f>
        <v>Local Bus</v>
      </c>
      <c r="J679" t="str">
        <f>[5]trip_summary_region!J679</f>
        <v>2037/38</v>
      </c>
    </row>
    <row r="680" spans="1:10" x14ac:dyDescent="0.25">
      <c r="A680" t="str">
        <f>[5]trip_summary_region!A680</f>
        <v>09 WELLINGTON</v>
      </c>
      <c r="B680">
        <f>[5]trip_summary_region!B680</f>
        <v>7</v>
      </c>
      <c r="C680">
        <f>[5]trip_summary_region!C680</f>
        <v>2043</v>
      </c>
      <c r="D680">
        <f>[5]trip_summary_region!D680</f>
        <v>211</v>
      </c>
      <c r="E680">
        <f>[5]trip_summary_region!E680</f>
        <v>552</v>
      </c>
      <c r="F680">
        <f>[5]trip_summary_region!F680</f>
        <v>22.598963101999999</v>
      </c>
      <c r="G680">
        <f>[5]trip_summary_region!G680</f>
        <v>187.86246208</v>
      </c>
      <c r="H680">
        <f>[5]trip_summary_region!H680</f>
        <v>8.7596172426999992</v>
      </c>
      <c r="I680" t="str">
        <f>[5]trip_summary_region!I680</f>
        <v>Local Bus</v>
      </c>
      <c r="J680" t="str">
        <f>[5]trip_summary_region!J680</f>
        <v>2042/43</v>
      </c>
    </row>
    <row r="681" spans="1:10" x14ac:dyDescent="0.25">
      <c r="A681" t="str">
        <f>[5]trip_summary_region!A681</f>
        <v>09 WELLINGTON</v>
      </c>
      <c r="B681">
        <f>[5]trip_summary_region!B681</f>
        <v>8</v>
      </c>
      <c r="C681">
        <f>[5]trip_summary_region!C681</f>
        <v>2013</v>
      </c>
      <c r="D681">
        <f>[5]trip_summary_region!D681</f>
        <v>2</v>
      </c>
      <c r="E681">
        <f>[5]trip_summary_region!E681</f>
        <v>4</v>
      </c>
      <c r="F681">
        <f>[5]trip_summary_region!F681</f>
        <v>0.22615005399999999</v>
      </c>
      <c r="G681">
        <f>[5]trip_summary_region!G681</f>
        <v>0</v>
      </c>
      <c r="H681">
        <f>[5]trip_summary_region!H681</f>
        <v>5.6537513499999997E-2</v>
      </c>
      <c r="I681" t="str">
        <f>[5]trip_summary_region!I681</f>
        <v>Local Ferry</v>
      </c>
      <c r="J681" t="str">
        <f>[5]trip_summary_region!J681</f>
        <v>2012/13</v>
      </c>
    </row>
    <row r="682" spans="1:10" x14ac:dyDescent="0.25">
      <c r="A682" t="str">
        <f>[5]trip_summary_region!A682</f>
        <v>09 WELLINGTON</v>
      </c>
      <c r="B682">
        <f>[5]trip_summary_region!B682</f>
        <v>8</v>
      </c>
      <c r="C682">
        <f>[5]trip_summary_region!C682</f>
        <v>2018</v>
      </c>
      <c r="D682">
        <f>[5]trip_summary_region!D682</f>
        <v>2</v>
      </c>
      <c r="E682">
        <f>[5]trip_summary_region!E682</f>
        <v>4</v>
      </c>
      <c r="F682">
        <f>[5]trip_summary_region!F682</f>
        <v>0.26431697199999998</v>
      </c>
      <c r="G682">
        <f>[5]trip_summary_region!G682</f>
        <v>0</v>
      </c>
      <c r="H682">
        <f>[5]trip_summary_region!H682</f>
        <v>6.6079242999999996E-2</v>
      </c>
      <c r="I682" t="str">
        <f>[5]trip_summary_region!I682</f>
        <v>Local Ferry</v>
      </c>
      <c r="J682" t="str">
        <f>[5]trip_summary_region!J682</f>
        <v>2017/18</v>
      </c>
    </row>
    <row r="683" spans="1:10" x14ac:dyDescent="0.25">
      <c r="A683" t="str">
        <f>[5]trip_summary_region!A683</f>
        <v>09 WELLINGTON</v>
      </c>
      <c r="B683">
        <f>[5]trip_summary_region!B683</f>
        <v>8</v>
      </c>
      <c r="C683">
        <f>[5]trip_summary_region!C683</f>
        <v>2023</v>
      </c>
      <c r="D683">
        <f>[5]trip_summary_region!D683</f>
        <v>2</v>
      </c>
      <c r="E683">
        <f>[5]trip_summary_region!E683</f>
        <v>4</v>
      </c>
      <c r="F683">
        <f>[5]trip_summary_region!F683</f>
        <v>0.28857463049999998</v>
      </c>
      <c r="G683">
        <f>[5]trip_summary_region!G683</f>
        <v>0</v>
      </c>
      <c r="H683">
        <f>[5]trip_summary_region!H683</f>
        <v>7.2143657599999994E-2</v>
      </c>
      <c r="I683" t="str">
        <f>[5]trip_summary_region!I683</f>
        <v>Local Ferry</v>
      </c>
      <c r="J683" t="str">
        <f>[5]trip_summary_region!J683</f>
        <v>2022/23</v>
      </c>
    </row>
    <row r="684" spans="1:10" x14ac:dyDescent="0.25">
      <c r="A684" t="str">
        <f>[5]trip_summary_region!A684</f>
        <v>09 WELLINGTON</v>
      </c>
      <c r="B684">
        <f>[5]trip_summary_region!B684</f>
        <v>8</v>
      </c>
      <c r="C684">
        <f>[5]trip_summary_region!C684</f>
        <v>2028</v>
      </c>
      <c r="D684">
        <f>[5]trip_summary_region!D684</f>
        <v>2</v>
      </c>
      <c r="E684">
        <f>[5]trip_summary_region!E684</f>
        <v>4</v>
      </c>
      <c r="F684">
        <f>[5]trip_summary_region!F684</f>
        <v>0.31621654980000002</v>
      </c>
      <c r="G684">
        <f>[5]trip_summary_region!G684</f>
        <v>0</v>
      </c>
      <c r="H684">
        <f>[5]trip_summary_region!H684</f>
        <v>7.9054137400000002E-2</v>
      </c>
      <c r="I684" t="str">
        <f>[5]trip_summary_region!I684</f>
        <v>Local Ferry</v>
      </c>
      <c r="J684" t="str">
        <f>[5]trip_summary_region!J684</f>
        <v>2027/28</v>
      </c>
    </row>
    <row r="685" spans="1:10" x14ac:dyDescent="0.25">
      <c r="A685" t="str">
        <f>[5]trip_summary_region!A685</f>
        <v>09 WELLINGTON</v>
      </c>
      <c r="B685">
        <f>[5]trip_summary_region!B685</f>
        <v>8</v>
      </c>
      <c r="C685">
        <f>[5]trip_summary_region!C685</f>
        <v>2033</v>
      </c>
      <c r="D685">
        <f>[5]trip_summary_region!D685</f>
        <v>2</v>
      </c>
      <c r="E685">
        <f>[5]trip_summary_region!E685</f>
        <v>4</v>
      </c>
      <c r="F685">
        <f>[5]trip_summary_region!F685</f>
        <v>0.3451891547</v>
      </c>
      <c r="G685">
        <f>[5]trip_summary_region!G685</f>
        <v>0</v>
      </c>
      <c r="H685">
        <f>[5]trip_summary_region!H685</f>
        <v>8.6297288700000002E-2</v>
      </c>
      <c r="I685" t="str">
        <f>[5]trip_summary_region!I685</f>
        <v>Local Ferry</v>
      </c>
      <c r="J685" t="str">
        <f>[5]trip_summary_region!J685</f>
        <v>2032/33</v>
      </c>
    </row>
    <row r="686" spans="1:10" x14ac:dyDescent="0.25">
      <c r="A686" t="str">
        <f>[5]trip_summary_region!A686</f>
        <v>09 WELLINGTON</v>
      </c>
      <c r="B686">
        <f>[5]trip_summary_region!B686</f>
        <v>8</v>
      </c>
      <c r="C686">
        <f>[5]trip_summary_region!C686</f>
        <v>2038</v>
      </c>
      <c r="D686">
        <f>[5]trip_summary_region!D686</f>
        <v>2</v>
      </c>
      <c r="E686">
        <f>[5]trip_summary_region!E686</f>
        <v>4</v>
      </c>
      <c r="F686">
        <f>[5]trip_summary_region!F686</f>
        <v>0.38230067420000002</v>
      </c>
      <c r="G686">
        <f>[5]trip_summary_region!G686</f>
        <v>0</v>
      </c>
      <c r="H686">
        <f>[5]trip_summary_region!H686</f>
        <v>9.5575168599999996E-2</v>
      </c>
      <c r="I686" t="str">
        <f>[5]trip_summary_region!I686</f>
        <v>Local Ferry</v>
      </c>
      <c r="J686" t="str">
        <f>[5]trip_summary_region!J686</f>
        <v>2037/38</v>
      </c>
    </row>
    <row r="687" spans="1:10" x14ac:dyDescent="0.25">
      <c r="A687" t="str">
        <f>[5]trip_summary_region!A687</f>
        <v>09 WELLINGTON</v>
      </c>
      <c r="B687">
        <f>[5]trip_summary_region!B687</f>
        <v>8</v>
      </c>
      <c r="C687">
        <f>[5]trip_summary_region!C687</f>
        <v>2043</v>
      </c>
      <c r="D687">
        <f>[5]trip_summary_region!D687</f>
        <v>2</v>
      </c>
      <c r="E687">
        <f>[5]trip_summary_region!E687</f>
        <v>4</v>
      </c>
      <c r="F687">
        <f>[5]trip_summary_region!F687</f>
        <v>0.42183481340000001</v>
      </c>
      <c r="G687">
        <f>[5]trip_summary_region!G687</f>
        <v>0</v>
      </c>
      <c r="H687">
        <f>[5]trip_summary_region!H687</f>
        <v>0.10545870340000001</v>
      </c>
      <c r="I687" t="str">
        <f>[5]trip_summary_region!I687</f>
        <v>Local Ferry</v>
      </c>
      <c r="J687" t="str">
        <f>[5]trip_summary_region!J687</f>
        <v>2042/43</v>
      </c>
    </row>
    <row r="688" spans="1:10" x14ac:dyDescent="0.25">
      <c r="A688" t="str">
        <f>[5]trip_summary_region!A688</f>
        <v>09 WELLINGTON</v>
      </c>
      <c r="B688">
        <f>[5]trip_summary_region!B688</f>
        <v>9</v>
      </c>
      <c r="C688">
        <f>[5]trip_summary_region!C688</f>
        <v>2013</v>
      </c>
      <c r="D688">
        <f>[5]trip_summary_region!D688</f>
        <v>7</v>
      </c>
      <c r="E688">
        <f>[5]trip_summary_region!E688</f>
        <v>10</v>
      </c>
      <c r="F688">
        <f>[5]trip_summary_region!F688</f>
        <v>0.33422365529999998</v>
      </c>
      <c r="G688">
        <f>[5]trip_summary_region!G688</f>
        <v>0</v>
      </c>
      <c r="H688">
        <f>[5]trip_summary_region!H688</f>
        <v>0.36538599710000003</v>
      </c>
      <c r="I688" t="str">
        <f>[5]trip_summary_region!I688</f>
        <v>Other Household Travel</v>
      </c>
      <c r="J688" t="str">
        <f>[5]trip_summary_region!J688</f>
        <v>2012/13</v>
      </c>
    </row>
    <row r="689" spans="1:10" x14ac:dyDescent="0.25">
      <c r="A689" t="str">
        <f>[5]trip_summary_region!A689</f>
        <v>09 WELLINGTON</v>
      </c>
      <c r="B689">
        <f>[5]trip_summary_region!B689</f>
        <v>9</v>
      </c>
      <c r="C689">
        <f>[5]trip_summary_region!C689</f>
        <v>2018</v>
      </c>
      <c r="D689">
        <f>[5]trip_summary_region!D689</f>
        <v>7</v>
      </c>
      <c r="E689">
        <f>[5]trip_summary_region!E689</f>
        <v>10</v>
      </c>
      <c r="F689">
        <f>[5]trip_summary_region!F689</f>
        <v>0.33488079380000002</v>
      </c>
      <c r="G689">
        <f>[5]trip_summary_region!G689</f>
        <v>0</v>
      </c>
      <c r="H689">
        <f>[5]trip_summary_region!H689</f>
        <v>0.34000227849999998</v>
      </c>
      <c r="I689" t="str">
        <f>[5]trip_summary_region!I689</f>
        <v>Other Household Travel</v>
      </c>
      <c r="J689" t="str">
        <f>[5]trip_summary_region!J689</f>
        <v>2017/18</v>
      </c>
    </row>
    <row r="690" spans="1:10" x14ac:dyDescent="0.25">
      <c r="A690" t="str">
        <f>[5]trip_summary_region!A690</f>
        <v>09 WELLINGTON</v>
      </c>
      <c r="B690">
        <f>[5]trip_summary_region!B690</f>
        <v>9</v>
      </c>
      <c r="C690">
        <f>[5]trip_summary_region!C690</f>
        <v>2023</v>
      </c>
      <c r="D690">
        <f>[5]trip_summary_region!D690</f>
        <v>7</v>
      </c>
      <c r="E690">
        <f>[5]trip_summary_region!E690</f>
        <v>10</v>
      </c>
      <c r="F690">
        <f>[5]trip_summary_region!F690</f>
        <v>0.33806265470000002</v>
      </c>
      <c r="G690">
        <f>[5]trip_summary_region!G690</f>
        <v>0</v>
      </c>
      <c r="H690">
        <f>[5]trip_summary_region!H690</f>
        <v>0.35020196920000002</v>
      </c>
      <c r="I690" t="str">
        <f>[5]trip_summary_region!I690</f>
        <v>Other Household Travel</v>
      </c>
      <c r="J690" t="str">
        <f>[5]trip_summary_region!J690</f>
        <v>2022/23</v>
      </c>
    </row>
    <row r="691" spans="1:10" x14ac:dyDescent="0.25">
      <c r="A691" t="str">
        <f>[5]trip_summary_region!A691</f>
        <v>09 WELLINGTON</v>
      </c>
      <c r="B691">
        <f>[5]trip_summary_region!B691</f>
        <v>9</v>
      </c>
      <c r="C691">
        <f>[5]trip_summary_region!C691</f>
        <v>2028</v>
      </c>
      <c r="D691">
        <f>[5]trip_summary_region!D691</f>
        <v>7</v>
      </c>
      <c r="E691">
        <f>[5]trip_summary_region!E691</f>
        <v>10</v>
      </c>
      <c r="F691">
        <f>[5]trip_summary_region!F691</f>
        <v>0.33497066549999999</v>
      </c>
      <c r="G691">
        <f>[5]trip_summary_region!G691</f>
        <v>0</v>
      </c>
      <c r="H691">
        <f>[5]trip_summary_region!H691</f>
        <v>0.39326157960000002</v>
      </c>
      <c r="I691" t="str">
        <f>[5]trip_summary_region!I691</f>
        <v>Other Household Travel</v>
      </c>
      <c r="J691" t="str">
        <f>[5]trip_summary_region!J691</f>
        <v>2027/28</v>
      </c>
    </row>
    <row r="692" spans="1:10" x14ac:dyDescent="0.25">
      <c r="A692" t="str">
        <f>[5]trip_summary_region!A692</f>
        <v>09 WELLINGTON</v>
      </c>
      <c r="B692">
        <f>[5]trip_summary_region!B692</f>
        <v>9</v>
      </c>
      <c r="C692">
        <f>[5]trip_summary_region!C692</f>
        <v>2033</v>
      </c>
      <c r="D692">
        <f>[5]trip_summary_region!D692</f>
        <v>7</v>
      </c>
      <c r="E692">
        <f>[5]trip_summary_region!E692</f>
        <v>10</v>
      </c>
      <c r="F692">
        <f>[5]trip_summary_region!F692</f>
        <v>0.3219268227</v>
      </c>
      <c r="G692">
        <f>[5]trip_summary_region!G692</f>
        <v>0</v>
      </c>
      <c r="H692">
        <f>[5]trip_summary_region!H692</f>
        <v>0.42035086579999997</v>
      </c>
      <c r="I692" t="str">
        <f>[5]trip_summary_region!I692</f>
        <v>Other Household Travel</v>
      </c>
      <c r="J692" t="str">
        <f>[5]trip_summary_region!J692</f>
        <v>2032/33</v>
      </c>
    </row>
    <row r="693" spans="1:10" x14ac:dyDescent="0.25">
      <c r="A693" t="str">
        <f>[5]trip_summary_region!A693</f>
        <v>09 WELLINGTON</v>
      </c>
      <c r="B693">
        <f>[5]trip_summary_region!B693</f>
        <v>9</v>
      </c>
      <c r="C693">
        <f>[5]trip_summary_region!C693</f>
        <v>2038</v>
      </c>
      <c r="D693">
        <f>[5]trip_summary_region!D693</f>
        <v>7</v>
      </c>
      <c r="E693">
        <f>[5]trip_summary_region!E693</f>
        <v>10</v>
      </c>
      <c r="F693">
        <f>[5]trip_summary_region!F693</f>
        <v>0.31181591939999997</v>
      </c>
      <c r="G693">
        <f>[5]trip_summary_region!G693</f>
        <v>0</v>
      </c>
      <c r="H693">
        <f>[5]trip_summary_region!H693</f>
        <v>0.41294815779999999</v>
      </c>
      <c r="I693" t="str">
        <f>[5]trip_summary_region!I693</f>
        <v>Other Household Travel</v>
      </c>
      <c r="J693" t="str">
        <f>[5]trip_summary_region!J693</f>
        <v>2037/38</v>
      </c>
    </row>
    <row r="694" spans="1:10" x14ac:dyDescent="0.25">
      <c r="A694" t="str">
        <f>[5]trip_summary_region!A694</f>
        <v>09 WELLINGTON</v>
      </c>
      <c r="B694">
        <f>[5]trip_summary_region!B694</f>
        <v>9</v>
      </c>
      <c r="C694">
        <f>[5]trip_summary_region!C694</f>
        <v>2043</v>
      </c>
      <c r="D694">
        <f>[5]trip_summary_region!D694</f>
        <v>7</v>
      </c>
      <c r="E694">
        <f>[5]trip_summary_region!E694</f>
        <v>10</v>
      </c>
      <c r="F694">
        <f>[5]trip_summary_region!F694</f>
        <v>0.29940411049999999</v>
      </c>
      <c r="G694">
        <f>[5]trip_summary_region!G694</f>
        <v>0</v>
      </c>
      <c r="H694">
        <f>[5]trip_summary_region!H694</f>
        <v>0.40237083429999998</v>
      </c>
      <c r="I694" t="str">
        <f>[5]trip_summary_region!I694</f>
        <v>Other Household Travel</v>
      </c>
      <c r="J694" t="str">
        <f>[5]trip_summary_region!J694</f>
        <v>2042/43</v>
      </c>
    </row>
    <row r="695" spans="1:10" x14ac:dyDescent="0.25">
      <c r="A695" t="str">
        <f>[5]trip_summary_region!A695</f>
        <v>09 WELLINGTON</v>
      </c>
      <c r="B695">
        <f>[5]trip_summary_region!B695</f>
        <v>10</v>
      </c>
      <c r="C695">
        <f>[5]trip_summary_region!C695</f>
        <v>2013</v>
      </c>
      <c r="D695">
        <f>[5]trip_summary_region!D695</f>
        <v>44</v>
      </c>
      <c r="E695">
        <f>[5]trip_summary_region!E695</f>
        <v>59</v>
      </c>
      <c r="F695">
        <f>[5]trip_summary_region!F695</f>
        <v>2.6590020702000001</v>
      </c>
      <c r="G695">
        <f>[5]trip_summary_region!G695</f>
        <v>67.715118274999995</v>
      </c>
      <c r="H695">
        <f>[5]trip_summary_region!H695</f>
        <v>5.4178011538000002</v>
      </c>
      <c r="I695" t="str">
        <f>[5]trip_summary_region!I695</f>
        <v>Air/Non-Local PT</v>
      </c>
      <c r="J695" t="str">
        <f>[5]trip_summary_region!J695</f>
        <v>2012/13</v>
      </c>
    </row>
    <row r="696" spans="1:10" x14ac:dyDescent="0.25">
      <c r="A696" t="str">
        <f>[5]trip_summary_region!A696</f>
        <v>09 WELLINGTON</v>
      </c>
      <c r="B696">
        <f>[5]trip_summary_region!B696</f>
        <v>10</v>
      </c>
      <c r="C696">
        <f>[5]trip_summary_region!C696</f>
        <v>2018</v>
      </c>
      <c r="D696">
        <f>[5]trip_summary_region!D696</f>
        <v>44</v>
      </c>
      <c r="E696">
        <f>[5]trip_summary_region!E696</f>
        <v>59</v>
      </c>
      <c r="F696">
        <f>[5]trip_summary_region!F696</f>
        <v>2.8710897917999998</v>
      </c>
      <c r="G696">
        <f>[5]trip_summary_region!G696</f>
        <v>79.116258962000003</v>
      </c>
      <c r="H696">
        <f>[5]trip_summary_region!H696</f>
        <v>5.9343550265999996</v>
      </c>
      <c r="I696" t="str">
        <f>[5]trip_summary_region!I696</f>
        <v>Air/Non-Local PT</v>
      </c>
      <c r="J696" t="str">
        <f>[5]trip_summary_region!J696</f>
        <v>2017/18</v>
      </c>
    </row>
    <row r="697" spans="1:10" x14ac:dyDescent="0.25">
      <c r="A697" t="str">
        <f>[5]trip_summary_region!A697</f>
        <v>09 WELLINGTON</v>
      </c>
      <c r="B697">
        <f>[5]trip_summary_region!B697</f>
        <v>10</v>
      </c>
      <c r="C697">
        <f>[5]trip_summary_region!C697</f>
        <v>2023</v>
      </c>
      <c r="D697">
        <f>[5]trip_summary_region!D697</f>
        <v>44</v>
      </c>
      <c r="E697">
        <f>[5]trip_summary_region!E697</f>
        <v>59</v>
      </c>
      <c r="F697">
        <f>[5]trip_summary_region!F697</f>
        <v>3.0765514006000001</v>
      </c>
      <c r="G697">
        <f>[5]trip_summary_region!G697</f>
        <v>87.939174520999998</v>
      </c>
      <c r="H697">
        <f>[5]trip_summary_region!H697</f>
        <v>6.4863082568000001</v>
      </c>
      <c r="I697" t="str">
        <f>[5]trip_summary_region!I697</f>
        <v>Air/Non-Local PT</v>
      </c>
      <c r="J697" t="str">
        <f>[5]trip_summary_region!J697</f>
        <v>2022/23</v>
      </c>
    </row>
    <row r="698" spans="1:10" x14ac:dyDescent="0.25">
      <c r="A698" t="str">
        <f>[5]trip_summary_region!A698</f>
        <v>09 WELLINGTON</v>
      </c>
      <c r="B698">
        <f>[5]trip_summary_region!B698</f>
        <v>10</v>
      </c>
      <c r="C698">
        <f>[5]trip_summary_region!C698</f>
        <v>2028</v>
      </c>
      <c r="D698">
        <f>[5]trip_summary_region!D698</f>
        <v>44</v>
      </c>
      <c r="E698">
        <f>[5]trip_summary_region!E698</f>
        <v>59</v>
      </c>
      <c r="F698">
        <f>[5]trip_summary_region!F698</f>
        <v>3.2956602709</v>
      </c>
      <c r="G698">
        <f>[5]trip_summary_region!G698</f>
        <v>90.336684117999994</v>
      </c>
      <c r="H698">
        <f>[5]trip_summary_region!H698</f>
        <v>7.0918734171000004</v>
      </c>
      <c r="I698" t="str">
        <f>[5]trip_summary_region!I698</f>
        <v>Air/Non-Local PT</v>
      </c>
      <c r="J698" t="str">
        <f>[5]trip_summary_region!J698</f>
        <v>2027/28</v>
      </c>
    </row>
    <row r="699" spans="1:10" x14ac:dyDescent="0.25">
      <c r="A699" t="str">
        <f>[5]trip_summary_region!A699</f>
        <v>09 WELLINGTON</v>
      </c>
      <c r="B699">
        <f>[5]trip_summary_region!B699</f>
        <v>10</v>
      </c>
      <c r="C699">
        <f>[5]trip_summary_region!C699</f>
        <v>2033</v>
      </c>
      <c r="D699">
        <f>[5]trip_summary_region!D699</f>
        <v>44</v>
      </c>
      <c r="E699">
        <f>[5]trip_summary_region!E699</f>
        <v>59</v>
      </c>
      <c r="F699">
        <f>[5]trip_summary_region!F699</f>
        <v>3.4521304353</v>
      </c>
      <c r="G699">
        <f>[5]trip_summary_region!G699</f>
        <v>89.916026278999993</v>
      </c>
      <c r="H699">
        <f>[5]trip_summary_region!H699</f>
        <v>7.5104916558000001</v>
      </c>
      <c r="I699" t="str">
        <f>[5]trip_summary_region!I699</f>
        <v>Air/Non-Local PT</v>
      </c>
      <c r="J699" t="str">
        <f>[5]trip_summary_region!J699</f>
        <v>2032/33</v>
      </c>
    </row>
    <row r="700" spans="1:10" x14ac:dyDescent="0.25">
      <c r="A700" t="str">
        <f>[5]trip_summary_region!A700</f>
        <v>09 WELLINGTON</v>
      </c>
      <c r="B700">
        <f>[5]trip_summary_region!B700</f>
        <v>10</v>
      </c>
      <c r="C700">
        <f>[5]trip_summary_region!C700</f>
        <v>2038</v>
      </c>
      <c r="D700">
        <f>[5]trip_summary_region!D700</f>
        <v>44</v>
      </c>
      <c r="E700">
        <f>[5]trip_summary_region!E700</f>
        <v>59</v>
      </c>
      <c r="F700">
        <f>[5]trip_summary_region!F700</f>
        <v>3.5272522366999999</v>
      </c>
      <c r="G700">
        <f>[5]trip_summary_region!G700</f>
        <v>87.392306137000006</v>
      </c>
      <c r="H700">
        <f>[5]trip_summary_region!H700</f>
        <v>7.6650939221999996</v>
      </c>
      <c r="I700" t="str">
        <f>[5]trip_summary_region!I700</f>
        <v>Air/Non-Local PT</v>
      </c>
      <c r="J700" t="str">
        <f>[5]trip_summary_region!J700</f>
        <v>2037/38</v>
      </c>
    </row>
    <row r="701" spans="1:10" x14ac:dyDescent="0.25">
      <c r="A701" t="str">
        <f>[5]trip_summary_region!A701</f>
        <v>09 WELLINGTON</v>
      </c>
      <c r="B701">
        <f>[5]trip_summary_region!B701</f>
        <v>10</v>
      </c>
      <c r="C701">
        <f>[5]trip_summary_region!C701</f>
        <v>2043</v>
      </c>
      <c r="D701">
        <f>[5]trip_summary_region!D701</f>
        <v>44</v>
      </c>
      <c r="E701">
        <f>[5]trip_summary_region!E701</f>
        <v>59</v>
      </c>
      <c r="F701">
        <f>[5]trip_summary_region!F701</f>
        <v>3.5854261145000001</v>
      </c>
      <c r="G701">
        <f>[5]trip_summary_region!G701</f>
        <v>84.228081196999995</v>
      </c>
      <c r="H701">
        <f>[5]trip_summary_region!H701</f>
        <v>7.7698778697000002</v>
      </c>
      <c r="I701" t="str">
        <f>[5]trip_summary_region!I701</f>
        <v>Air/Non-Local PT</v>
      </c>
      <c r="J701" t="str">
        <f>[5]trip_summary_region!J701</f>
        <v>2042/43</v>
      </c>
    </row>
    <row r="702" spans="1:10" x14ac:dyDescent="0.25">
      <c r="A702" t="str">
        <f>[5]trip_summary_region!A702</f>
        <v>09 WELLINGTON</v>
      </c>
      <c r="B702">
        <f>[5]trip_summary_region!B702</f>
        <v>11</v>
      </c>
      <c r="C702">
        <f>[5]trip_summary_region!C702</f>
        <v>2013</v>
      </c>
      <c r="D702">
        <f>[5]trip_summary_region!D702</f>
        <v>22</v>
      </c>
      <c r="E702">
        <f>[5]trip_summary_region!E702</f>
        <v>115</v>
      </c>
      <c r="F702">
        <f>[5]trip_summary_region!F702</f>
        <v>5.4599503292999998</v>
      </c>
      <c r="G702">
        <f>[5]trip_summary_region!G702</f>
        <v>100.96436647</v>
      </c>
      <c r="H702">
        <f>[5]trip_summary_region!H702</f>
        <v>1.9758448391000001</v>
      </c>
      <c r="I702" t="str">
        <f>[5]trip_summary_region!I702</f>
        <v>Non-Household Travel</v>
      </c>
      <c r="J702" t="str">
        <f>[5]trip_summary_region!J702</f>
        <v>2012/13</v>
      </c>
    </row>
    <row r="703" spans="1:10" x14ac:dyDescent="0.25">
      <c r="A703" t="str">
        <f>[5]trip_summary_region!A703</f>
        <v>09 WELLINGTON</v>
      </c>
      <c r="B703">
        <f>[5]trip_summary_region!B703</f>
        <v>11</v>
      </c>
      <c r="C703">
        <f>[5]trip_summary_region!C703</f>
        <v>2018</v>
      </c>
      <c r="D703">
        <f>[5]trip_summary_region!D703</f>
        <v>22</v>
      </c>
      <c r="E703">
        <f>[5]trip_summary_region!E703</f>
        <v>115</v>
      </c>
      <c r="F703">
        <f>[5]trip_summary_region!F703</f>
        <v>5.65413985</v>
      </c>
      <c r="G703">
        <f>[5]trip_summary_region!G703</f>
        <v>114.8172015</v>
      </c>
      <c r="H703">
        <f>[5]trip_summary_region!H703</f>
        <v>2.1944772420000001</v>
      </c>
      <c r="I703" t="str">
        <f>[5]trip_summary_region!I703</f>
        <v>Non-Household Travel</v>
      </c>
      <c r="J703" t="str">
        <f>[5]trip_summary_region!J703</f>
        <v>2017/18</v>
      </c>
    </row>
    <row r="704" spans="1:10" x14ac:dyDescent="0.25">
      <c r="A704" t="str">
        <f>[5]trip_summary_region!A704</f>
        <v>09 WELLINGTON</v>
      </c>
      <c r="B704">
        <f>[5]trip_summary_region!B704</f>
        <v>11</v>
      </c>
      <c r="C704">
        <f>[5]trip_summary_region!C704</f>
        <v>2023</v>
      </c>
      <c r="D704">
        <f>[5]trip_summary_region!D704</f>
        <v>22</v>
      </c>
      <c r="E704">
        <f>[5]trip_summary_region!E704</f>
        <v>115</v>
      </c>
      <c r="F704">
        <f>[5]trip_summary_region!F704</f>
        <v>5.6992245069000003</v>
      </c>
      <c r="G704">
        <f>[5]trip_summary_region!G704</f>
        <v>122.25507487</v>
      </c>
      <c r="H704">
        <f>[5]trip_summary_region!H704</f>
        <v>2.3066151080999999</v>
      </c>
      <c r="I704" t="str">
        <f>[5]trip_summary_region!I704</f>
        <v>Non-Household Travel</v>
      </c>
      <c r="J704" t="str">
        <f>[5]trip_summary_region!J704</f>
        <v>2022/23</v>
      </c>
    </row>
    <row r="705" spans="1:10" x14ac:dyDescent="0.25">
      <c r="A705" t="str">
        <f>[5]trip_summary_region!A705</f>
        <v>09 WELLINGTON</v>
      </c>
      <c r="B705">
        <f>[5]trip_summary_region!B705</f>
        <v>11</v>
      </c>
      <c r="C705">
        <f>[5]trip_summary_region!C705</f>
        <v>2028</v>
      </c>
      <c r="D705">
        <f>[5]trip_summary_region!D705</f>
        <v>22</v>
      </c>
      <c r="E705">
        <f>[5]trip_summary_region!E705</f>
        <v>115</v>
      </c>
      <c r="F705">
        <f>[5]trip_summary_region!F705</f>
        <v>5.7860474436000002</v>
      </c>
      <c r="G705">
        <f>[5]trip_summary_region!G705</f>
        <v>124.02493247</v>
      </c>
      <c r="H705">
        <f>[5]trip_summary_region!H705</f>
        <v>2.3359455530000002</v>
      </c>
      <c r="I705" t="str">
        <f>[5]trip_summary_region!I705</f>
        <v>Non-Household Travel</v>
      </c>
      <c r="J705" t="str">
        <f>[5]trip_summary_region!J705</f>
        <v>2027/28</v>
      </c>
    </row>
    <row r="706" spans="1:10" x14ac:dyDescent="0.25">
      <c r="A706" t="str">
        <f>[5]trip_summary_region!A706</f>
        <v>09 WELLINGTON</v>
      </c>
      <c r="B706">
        <f>[5]trip_summary_region!B706</f>
        <v>11</v>
      </c>
      <c r="C706">
        <f>[5]trip_summary_region!C706</f>
        <v>2033</v>
      </c>
      <c r="D706">
        <f>[5]trip_summary_region!D706</f>
        <v>22</v>
      </c>
      <c r="E706">
        <f>[5]trip_summary_region!E706</f>
        <v>115</v>
      </c>
      <c r="F706">
        <f>[5]trip_summary_region!F706</f>
        <v>5.9675302331999998</v>
      </c>
      <c r="G706">
        <f>[5]trip_summary_region!G706</f>
        <v>124.20269841</v>
      </c>
      <c r="H706">
        <f>[5]trip_summary_region!H706</f>
        <v>2.3664416397000001</v>
      </c>
      <c r="I706" t="str">
        <f>[5]trip_summary_region!I706</f>
        <v>Non-Household Travel</v>
      </c>
      <c r="J706" t="str">
        <f>[5]trip_summary_region!J706</f>
        <v>2032/33</v>
      </c>
    </row>
    <row r="707" spans="1:10" x14ac:dyDescent="0.25">
      <c r="A707" t="str">
        <f>[5]trip_summary_region!A707</f>
        <v>09 WELLINGTON</v>
      </c>
      <c r="B707">
        <f>[5]trip_summary_region!B707</f>
        <v>11</v>
      </c>
      <c r="C707">
        <f>[5]trip_summary_region!C707</f>
        <v>2038</v>
      </c>
      <c r="D707">
        <f>[5]trip_summary_region!D707</f>
        <v>22</v>
      </c>
      <c r="E707">
        <f>[5]trip_summary_region!E707</f>
        <v>115</v>
      </c>
      <c r="F707">
        <f>[5]trip_summary_region!F707</f>
        <v>6.2418903682</v>
      </c>
      <c r="G707">
        <f>[5]trip_summary_region!G707</f>
        <v>126.14757662</v>
      </c>
      <c r="H707">
        <f>[5]trip_summary_region!H707</f>
        <v>2.4461322334000002</v>
      </c>
      <c r="I707" t="str">
        <f>[5]trip_summary_region!I707</f>
        <v>Non-Household Travel</v>
      </c>
      <c r="J707" t="str">
        <f>[5]trip_summary_region!J707</f>
        <v>2037/38</v>
      </c>
    </row>
    <row r="708" spans="1:10" x14ac:dyDescent="0.25">
      <c r="A708" t="str">
        <f>[5]trip_summary_region!A708</f>
        <v>09 WELLINGTON</v>
      </c>
      <c r="B708">
        <f>[5]trip_summary_region!B708</f>
        <v>11</v>
      </c>
      <c r="C708">
        <f>[5]trip_summary_region!C708</f>
        <v>2043</v>
      </c>
      <c r="D708">
        <f>[5]trip_summary_region!D708</f>
        <v>22</v>
      </c>
      <c r="E708">
        <f>[5]trip_summary_region!E708</f>
        <v>115</v>
      </c>
      <c r="F708">
        <f>[5]trip_summary_region!F708</f>
        <v>6.5372804907999997</v>
      </c>
      <c r="G708">
        <f>[5]trip_summary_region!G708</f>
        <v>128.09292260000001</v>
      </c>
      <c r="H708">
        <f>[5]trip_summary_region!H708</f>
        <v>2.5289052887999999</v>
      </c>
      <c r="I708" t="str">
        <f>[5]trip_summary_region!I708</f>
        <v>Non-Household Travel</v>
      </c>
      <c r="J708" t="str">
        <f>[5]trip_summary_region!J708</f>
        <v>2042/43</v>
      </c>
    </row>
    <row r="709" spans="1:10" x14ac:dyDescent="0.25">
      <c r="A709" t="str">
        <f>[5]trip_summary_region!A709</f>
        <v>10 NELS-MARLB-TAS</v>
      </c>
      <c r="B709">
        <f>[5]trip_summary_region!B709</f>
        <v>0</v>
      </c>
      <c r="C709">
        <f>[5]trip_summary_region!C709</f>
        <v>2013</v>
      </c>
      <c r="D709">
        <f>[5]trip_summary_region!D709</f>
        <v>333</v>
      </c>
      <c r="E709">
        <f>[5]trip_summary_region!E709</f>
        <v>1184</v>
      </c>
      <c r="F709">
        <f>[5]trip_summary_region!F709</f>
        <v>34.609993433</v>
      </c>
      <c r="G709">
        <f>[5]trip_summary_region!G709</f>
        <v>28.582749250999999</v>
      </c>
      <c r="H709">
        <f>[5]trip_summary_region!H709</f>
        <v>7.2640217022</v>
      </c>
      <c r="I709" t="str">
        <f>[5]trip_summary_region!I709</f>
        <v>Pedestrian</v>
      </c>
      <c r="J709" t="str">
        <f>[5]trip_summary_region!J709</f>
        <v>2012/13</v>
      </c>
    </row>
    <row r="710" spans="1:10" x14ac:dyDescent="0.25">
      <c r="A710" t="str">
        <f>[5]trip_summary_region!A710</f>
        <v>10 NELS-MARLB-TAS</v>
      </c>
      <c r="B710">
        <f>[5]trip_summary_region!B710</f>
        <v>0</v>
      </c>
      <c r="C710">
        <f>[5]trip_summary_region!C710</f>
        <v>2018</v>
      </c>
      <c r="D710">
        <f>[5]trip_summary_region!D710</f>
        <v>333</v>
      </c>
      <c r="E710">
        <f>[5]trip_summary_region!E710</f>
        <v>1184</v>
      </c>
      <c r="F710">
        <f>[5]trip_summary_region!F710</f>
        <v>35.412109807999997</v>
      </c>
      <c r="G710">
        <f>[5]trip_summary_region!G710</f>
        <v>29.218006952</v>
      </c>
      <c r="H710">
        <f>[5]trip_summary_region!H710</f>
        <v>7.4192933844000004</v>
      </c>
      <c r="I710" t="str">
        <f>[5]trip_summary_region!I710</f>
        <v>Pedestrian</v>
      </c>
      <c r="J710" t="str">
        <f>[5]trip_summary_region!J710</f>
        <v>2017/18</v>
      </c>
    </row>
    <row r="711" spans="1:10" x14ac:dyDescent="0.25">
      <c r="A711" t="str">
        <f>[5]trip_summary_region!A711</f>
        <v>10 NELS-MARLB-TAS</v>
      </c>
      <c r="B711">
        <f>[5]trip_summary_region!B711</f>
        <v>0</v>
      </c>
      <c r="C711">
        <f>[5]trip_summary_region!C711</f>
        <v>2023</v>
      </c>
      <c r="D711">
        <f>[5]trip_summary_region!D711</f>
        <v>333</v>
      </c>
      <c r="E711">
        <f>[5]trip_summary_region!E711</f>
        <v>1184</v>
      </c>
      <c r="F711">
        <f>[5]trip_summary_region!F711</f>
        <v>36.132588358</v>
      </c>
      <c r="G711">
        <f>[5]trip_summary_region!G711</f>
        <v>29.915459591000001</v>
      </c>
      <c r="H711">
        <f>[5]trip_summary_region!H711</f>
        <v>7.5926687733999998</v>
      </c>
      <c r="I711" t="str">
        <f>[5]trip_summary_region!I711</f>
        <v>Pedestrian</v>
      </c>
      <c r="J711" t="str">
        <f>[5]trip_summary_region!J711</f>
        <v>2022/23</v>
      </c>
    </row>
    <row r="712" spans="1:10" x14ac:dyDescent="0.25">
      <c r="A712" t="str">
        <f>[5]trip_summary_region!A712</f>
        <v>10 NELS-MARLB-TAS</v>
      </c>
      <c r="B712">
        <f>[5]trip_summary_region!B712</f>
        <v>0</v>
      </c>
      <c r="C712">
        <f>[5]trip_summary_region!C712</f>
        <v>2028</v>
      </c>
      <c r="D712">
        <f>[5]trip_summary_region!D712</f>
        <v>333</v>
      </c>
      <c r="E712">
        <f>[5]trip_summary_region!E712</f>
        <v>1184</v>
      </c>
      <c r="F712">
        <f>[5]trip_summary_region!F712</f>
        <v>36.943221762999997</v>
      </c>
      <c r="G712">
        <f>[5]trip_summary_region!G712</f>
        <v>30.710865215999998</v>
      </c>
      <c r="H712">
        <f>[5]trip_summary_region!H712</f>
        <v>7.8321744404000002</v>
      </c>
      <c r="I712" t="str">
        <f>[5]trip_summary_region!I712</f>
        <v>Pedestrian</v>
      </c>
      <c r="J712" t="str">
        <f>[5]trip_summary_region!J712</f>
        <v>2027/28</v>
      </c>
    </row>
    <row r="713" spans="1:10" x14ac:dyDescent="0.25">
      <c r="A713" t="str">
        <f>[5]trip_summary_region!A713</f>
        <v>10 NELS-MARLB-TAS</v>
      </c>
      <c r="B713">
        <f>[5]trip_summary_region!B713</f>
        <v>0</v>
      </c>
      <c r="C713">
        <f>[5]trip_summary_region!C713</f>
        <v>2033</v>
      </c>
      <c r="D713">
        <f>[5]trip_summary_region!D713</f>
        <v>333</v>
      </c>
      <c r="E713">
        <f>[5]trip_summary_region!E713</f>
        <v>1184</v>
      </c>
      <c r="F713">
        <f>[5]trip_summary_region!F713</f>
        <v>36.857263832999998</v>
      </c>
      <c r="G713">
        <f>[5]trip_summary_region!G713</f>
        <v>30.793533067999999</v>
      </c>
      <c r="H713">
        <f>[5]trip_summary_region!H713</f>
        <v>7.8844276371999999</v>
      </c>
      <c r="I713" t="str">
        <f>[5]trip_summary_region!I713</f>
        <v>Pedestrian</v>
      </c>
      <c r="J713" t="str">
        <f>[5]trip_summary_region!J713</f>
        <v>2032/33</v>
      </c>
    </row>
    <row r="714" spans="1:10" x14ac:dyDescent="0.25">
      <c r="A714" t="str">
        <f>[5]trip_summary_region!A714</f>
        <v>10 NELS-MARLB-TAS</v>
      </c>
      <c r="B714">
        <f>[5]trip_summary_region!B714</f>
        <v>0</v>
      </c>
      <c r="C714">
        <f>[5]trip_summary_region!C714</f>
        <v>2038</v>
      </c>
      <c r="D714">
        <f>[5]trip_summary_region!D714</f>
        <v>333</v>
      </c>
      <c r="E714">
        <f>[5]trip_summary_region!E714</f>
        <v>1184</v>
      </c>
      <c r="F714">
        <f>[5]trip_summary_region!F714</f>
        <v>36.301921978999999</v>
      </c>
      <c r="G714">
        <f>[5]trip_summary_region!G714</f>
        <v>30.261559836</v>
      </c>
      <c r="H714">
        <f>[5]trip_summary_region!H714</f>
        <v>7.7826606298999996</v>
      </c>
      <c r="I714" t="str">
        <f>[5]trip_summary_region!I714</f>
        <v>Pedestrian</v>
      </c>
      <c r="J714" t="str">
        <f>[5]trip_summary_region!J714</f>
        <v>2037/38</v>
      </c>
    </row>
    <row r="715" spans="1:10" x14ac:dyDescent="0.25">
      <c r="A715" t="str">
        <f>[5]trip_summary_region!A715</f>
        <v>10 NELS-MARLB-TAS</v>
      </c>
      <c r="B715">
        <f>[5]trip_summary_region!B715</f>
        <v>0</v>
      </c>
      <c r="C715">
        <f>[5]trip_summary_region!C715</f>
        <v>2043</v>
      </c>
      <c r="D715">
        <f>[5]trip_summary_region!D715</f>
        <v>333</v>
      </c>
      <c r="E715">
        <f>[5]trip_summary_region!E715</f>
        <v>1184</v>
      </c>
      <c r="F715">
        <f>[5]trip_summary_region!F715</f>
        <v>35.566581065999998</v>
      </c>
      <c r="G715">
        <f>[5]trip_summary_region!G715</f>
        <v>29.572727163</v>
      </c>
      <c r="H715">
        <f>[5]trip_summary_region!H715</f>
        <v>7.6338057050000003</v>
      </c>
      <c r="I715" t="str">
        <f>[5]trip_summary_region!I715</f>
        <v>Pedestrian</v>
      </c>
      <c r="J715" t="str">
        <f>[5]trip_summary_region!J715</f>
        <v>2042/43</v>
      </c>
    </row>
    <row r="716" spans="1:10" x14ac:dyDescent="0.25">
      <c r="A716" t="str">
        <f>[5]trip_summary_region!A716</f>
        <v>10 NELS-MARLB-TAS</v>
      </c>
      <c r="B716">
        <f>[5]trip_summary_region!B716</f>
        <v>1</v>
      </c>
      <c r="C716">
        <f>[5]trip_summary_region!C716</f>
        <v>2013</v>
      </c>
      <c r="D716">
        <f>[5]trip_summary_region!D716</f>
        <v>42</v>
      </c>
      <c r="E716">
        <f>[5]trip_summary_region!E716</f>
        <v>121</v>
      </c>
      <c r="F716">
        <f>[5]trip_summary_region!F716</f>
        <v>2.9519642961999999</v>
      </c>
      <c r="G716">
        <f>[5]trip_summary_region!G716</f>
        <v>10.809874027999999</v>
      </c>
      <c r="H716">
        <f>[5]trip_summary_region!H716</f>
        <v>1.0417220854</v>
      </c>
      <c r="I716" t="str">
        <f>[5]trip_summary_region!I716</f>
        <v>Cyclist</v>
      </c>
      <c r="J716" t="str">
        <f>[5]trip_summary_region!J716</f>
        <v>2012/13</v>
      </c>
    </row>
    <row r="717" spans="1:10" x14ac:dyDescent="0.25">
      <c r="A717" t="str">
        <f>[5]trip_summary_region!A717</f>
        <v>10 NELS-MARLB-TAS</v>
      </c>
      <c r="B717">
        <f>[5]trip_summary_region!B717</f>
        <v>1</v>
      </c>
      <c r="C717">
        <f>[5]trip_summary_region!C717</f>
        <v>2018</v>
      </c>
      <c r="D717">
        <f>[5]trip_summary_region!D717</f>
        <v>42</v>
      </c>
      <c r="E717">
        <f>[5]trip_summary_region!E717</f>
        <v>121</v>
      </c>
      <c r="F717">
        <f>[5]trip_summary_region!F717</f>
        <v>2.8996429138000002</v>
      </c>
      <c r="G717">
        <f>[5]trip_summary_region!G717</f>
        <v>10.925292730000001</v>
      </c>
      <c r="H717">
        <f>[5]trip_summary_region!H717</f>
        <v>1.0420593668</v>
      </c>
      <c r="I717" t="str">
        <f>[5]trip_summary_region!I717</f>
        <v>Cyclist</v>
      </c>
      <c r="J717" t="str">
        <f>[5]trip_summary_region!J717</f>
        <v>2017/18</v>
      </c>
    </row>
    <row r="718" spans="1:10" x14ac:dyDescent="0.25">
      <c r="A718" t="str">
        <f>[5]trip_summary_region!A718</f>
        <v>10 NELS-MARLB-TAS</v>
      </c>
      <c r="B718">
        <f>[5]trip_summary_region!B718</f>
        <v>1</v>
      </c>
      <c r="C718">
        <f>[5]trip_summary_region!C718</f>
        <v>2023</v>
      </c>
      <c r="D718">
        <f>[5]trip_summary_region!D718</f>
        <v>42</v>
      </c>
      <c r="E718">
        <f>[5]trip_summary_region!E718</f>
        <v>121</v>
      </c>
      <c r="F718">
        <f>[5]trip_summary_region!F718</f>
        <v>2.9024097035</v>
      </c>
      <c r="G718">
        <f>[5]trip_summary_region!G718</f>
        <v>11.049815563999999</v>
      </c>
      <c r="H718">
        <f>[5]trip_summary_region!H718</f>
        <v>1.0627563765000001</v>
      </c>
      <c r="I718" t="str">
        <f>[5]trip_summary_region!I718</f>
        <v>Cyclist</v>
      </c>
      <c r="J718" t="str">
        <f>[5]trip_summary_region!J718</f>
        <v>2022/23</v>
      </c>
    </row>
    <row r="719" spans="1:10" x14ac:dyDescent="0.25">
      <c r="A719" t="str">
        <f>[5]trip_summary_region!A719</f>
        <v>10 NELS-MARLB-TAS</v>
      </c>
      <c r="B719">
        <f>[5]trip_summary_region!B719</f>
        <v>1</v>
      </c>
      <c r="C719">
        <f>[5]trip_summary_region!C719</f>
        <v>2028</v>
      </c>
      <c r="D719">
        <f>[5]trip_summary_region!D719</f>
        <v>42</v>
      </c>
      <c r="E719">
        <f>[5]trip_summary_region!E719</f>
        <v>121</v>
      </c>
      <c r="F719">
        <f>[5]trip_summary_region!F719</f>
        <v>2.9727755146999999</v>
      </c>
      <c r="G719">
        <f>[5]trip_summary_region!G719</f>
        <v>11.204092779</v>
      </c>
      <c r="H719">
        <f>[5]trip_summary_region!H719</f>
        <v>1.1028986735999999</v>
      </c>
      <c r="I719" t="str">
        <f>[5]trip_summary_region!I719</f>
        <v>Cyclist</v>
      </c>
      <c r="J719" t="str">
        <f>[5]trip_summary_region!J719</f>
        <v>2027/28</v>
      </c>
    </row>
    <row r="720" spans="1:10" x14ac:dyDescent="0.25">
      <c r="A720" t="str">
        <f>[5]trip_summary_region!A720</f>
        <v>10 NELS-MARLB-TAS</v>
      </c>
      <c r="B720">
        <f>[5]trip_summary_region!B720</f>
        <v>1</v>
      </c>
      <c r="C720">
        <f>[5]trip_summary_region!C720</f>
        <v>2033</v>
      </c>
      <c r="D720">
        <f>[5]trip_summary_region!D720</f>
        <v>42</v>
      </c>
      <c r="E720">
        <f>[5]trip_summary_region!E720</f>
        <v>121</v>
      </c>
      <c r="F720">
        <f>[5]trip_summary_region!F720</f>
        <v>3.0234496254000001</v>
      </c>
      <c r="G720">
        <f>[5]trip_summary_region!G720</f>
        <v>11.484619552</v>
      </c>
      <c r="H720">
        <f>[5]trip_summary_region!H720</f>
        <v>1.1355188607</v>
      </c>
      <c r="I720" t="str">
        <f>[5]trip_summary_region!I720</f>
        <v>Cyclist</v>
      </c>
      <c r="J720" t="str">
        <f>[5]trip_summary_region!J720</f>
        <v>2032/33</v>
      </c>
    </row>
    <row r="721" spans="1:10" x14ac:dyDescent="0.25">
      <c r="A721" t="str">
        <f>[5]trip_summary_region!A721</f>
        <v>10 NELS-MARLB-TAS</v>
      </c>
      <c r="B721">
        <f>[5]trip_summary_region!B721</f>
        <v>1</v>
      </c>
      <c r="C721">
        <f>[5]trip_summary_region!C721</f>
        <v>2038</v>
      </c>
      <c r="D721">
        <f>[5]trip_summary_region!D721</f>
        <v>42</v>
      </c>
      <c r="E721">
        <f>[5]trip_summary_region!E721</f>
        <v>121</v>
      </c>
      <c r="F721">
        <f>[5]trip_summary_region!F721</f>
        <v>3.0546693206</v>
      </c>
      <c r="G721">
        <f>[5]trip_summary_region!G721</f>
        <v>11.990194689000001</v>
      </c>
      <c r="H721">
        <f>[5]trip_summary_region!H721</f>
        <v>1.1735064523000001</v>
      </c>
      <c r="I721" t="str">
        <f>[5]trip_summary_region!I721</f>
        <v>Cyclist</v>
      </c>
      <c r="J721" t="str">
        <f>[5]trip_summary_region!J721</f>
        <v>2037/38</v>
      </c>
    </row>
    <row r="722" spans="1:10" x14ac:dyDescent="0.25">
      <c r="A722" t="str">
        <f>[5]trip_summary_region!A722</f>
        <v>10 NELS-MARLB-TAS</v>
      </c>
      <c r="B722">
        <f>[5]trip_summary_region!B722</f>
        <v>1</v>
      </c>
      <c r="C722">
        <f>[5]trip_summary_region!C722</f>
        <v>2043</v>
      </c>
      <c r="D722">
        <f>[5]trip_summary_region!D722</f>
        <v>42</v>
      </c>
      <c r="E722">
        <f>[5]trip_summary_region!E722</f>
        <v>121</v>
      </c>
      <c r="F722">
        <f>[5]trip_summary_region!F722</f>
        <v>3.0689121532999999</v>
      </c>
      <c r="G722">
        <f>[5]trip_summary_region!G722</f>
        <v>12.536337862</v>
      </c>
      <c r="H722">
        <f>[5]trip_summary_region!H722</f>
        <v>1.2112505582999999</v>
      </c>
      <c r="I722" t="str">
        <f>[5]trip_summary_region!I722</f>
        <v>Cyclist</v>
      </c>
      <c r="J722" t="str">
        <f>[5]trip_summary_region!J722</f>
        <v>2042/43</v>
      </c>
    </row>
    <row r="723" spans="1:10" x14ac:dyDescent="0.25">
      <c r="A723" t="str">
        <f>[5]trip_summary_region!A723</f>
        <v>10 NELS-MARLB-TAS</v>
      </c>
      <c r="B723">
        <f>[5]trip_summary_region!B723</f>
        <v>2</v>
      </c>
      <c r="C723">
        <f>[5]trip_summary_region!C723</f>
        <v>2013</v>
      </c>
      <c r="D723">
        <f>[5]trip_summary_region!D723</f>
        <v>480</v>
      </c>
      <c r="E723">
        <f>[5]trip_summary_region!E723</f>
        <v>3377</v>
      </c>
      <c r="F723">
        <f>[5]trip_summary_region!F723</f>
        <v>98.206986838999995</v>
      </c>
      <c r="G723">
        <f>[5]trip_summary_region!G723</f>
        <v>1012.1329009999999</v>
      </c>
      <c r="H723">
        <f>[5]trip_summary_region!H723</f>
        <v>23.635435057999999</v>
      </c>
      <c r="I723" t="str">
        <f>[5]trip_summary_region!I723</f>
        <v>Light Vehicle Driver</v>
      </c>
      <c r="J723" t="str">
        <f>[5]trip_summary_region!J723</f>
        <v>2012/13</v>
      </c>
    </row>
    <row r="724" spans="1:10" x14ac:dyDescent="0.25">
      <c r="A724" t="str">
        <f>[5]trip_summary_region!A724</f>
        <v>10 NELS-MARLB-TAS</v>
      </c>
      <c r="B724">
        <f>[5]trip_summary_region!B724</f>
        <v>2</v>
      </c>
      <c r="C724">
        <f>[5]trip_summary_region!C724</f>
        <v>2018</v>
      </c>
      <c r="D724">
        <f>[5]trip_summary_region!D724</f>
        <v>480</v>
      </c>
      <c r="E724">
        <f>[5]trip_summary_region!E724</f>
        <v>3377</v>
      </c>
      <c r="F724">
        <f>[5]trip_summary_region!F724</f>
        <v>100.83257542</v>
      </c>
      <c r="G724">
        <f>[5]trip_summary_region!G724</f>
        <v>1028.2362791999999</v>
      </c>
      <c r="H724">
        <f>[5]trip_summary_region!H724</f>
        <v>24.179165622999999</v>
      </c>
      <c r="I724" t="str">
        <f>[5]trip_summary_region!I724</f>
        <v>Light Vehicle Driver</v>
      </c>
      <c r="J724" t="str">
        <f>[5]trip_summary_region!J724</f>
        <v>2017/18</v>
      </c>
    </row>
    <row r="725" spans="1:10" x14ac:dyDescent="0.25">
      <c r="A725" t="str">
        <f>[5]trip_summary_region!A725</f>
        <v>10 NELS-MARLB-TAS</v>
      </c>
      <c r="B725">
        <f>[5]trip_summary_region!B725</f>
        <v>2</v>
      </c>
      <c r="C725">
        <f>[5]trip_summary_region!C725</f>
        <v>2023</v>
      </c>
      <c r="D725">
        <f>[5]trip_summary_region!D725</f>
        <v>480</v>
      </c>
      <c r="E725">
        <f>[5]trip_summary_region!E725</f>
        <v>3377</v>
      </c>
      <c r="F725">
        <f>[5]trip_summary_region!F725</f>
        <v>101.81833698</v>
      </c>
      <c r="G725">
        <f>[5]trip_summary_region!G725</f>
        <v>1024.2941461</v>
      </c>
      <c r="H725">
        <f>[5]trip_summary_region!H725</f>
        <v>24.278405261</v>
      </c>
      <c r="I725" t="str">
        <f>[5]trip_summary_region!I725</f>
        <v>Light Vehicle Driver</v>
      </c>
      <c r="J725" t="str">
        <f>[5]trip_summary_region!J725</f>
        <v>2022/23</v>
      </c>
    </row>
    <row r="726" spans="1:10" x14ac:dyDescent="0.25">
      <c r="A726" t="str">
        <f>[5]trip_summary_region!A726</f>
        <v>10 NELS-MARLB-TAS</v>
      </c>
      <c r="B726">
        <f>[5]trip_summary_region!B726</f>
        <v>2</v>
      </c>
      <c r="C726">
        <f>[5]trip_summary_region!C726</f>
        <v>2028</v>
      </c>
      <c r="D726">
        <f>[5]trip_summary_region!D726</f>
        <v>480</v>
      </c>
      <c r="E726">
        <f>[5]trip_summary_region!E726</f>
        <v>3377</v>
      </c>
      <c r="F726">
        <f>[5]trip_summary_region!F726</f>
        <v>103.16927344</v>
      </c>
      <c r="G726">
        <f>[5]trip_summary_region!G726</f>
        <v>1019.5480332</v>
      </c>
      <c r="H726">
        <f>[5]trip_summary_region!H726</f>
        <v>24.400132134</v>
      </c>
      <c r="I726" t="str">
        <f>[5]trip_summary_region!I726</f>
        <v>Light Vehicle Driver</v>
      </c>
      <c r="J726" t="str">
        <f>[5]trip_summary_region!J726</f>
        <v>2027/28</v>
      </c>
    </row>
    <row r="727" spans="1:10" x14ac:dyDescent="0.25">
      <c r="A727" t="str">
        <f>[5]trip_summary_region!A727</f>
        <v>10 NELS-MARLB-TAS</v>
      </c>
      <c r="B727">
        <f>[5]trip_summary_region!B727</f>
        <v>2</v>
      </c>
      <c r="C727">
        <f>[5]trip_summary_region!C727</f>
        <v>2033</v>
      </c>
      <c r="D727">
        <f>[5]trip_summary_region!D727</f>
        <v>480</v>
      </c>
      <c r="E727">
        <f>[5]trip_summary_region!E727</f>
        <v>3377</v>
      </c>
      <c r="F727">
        <f>[5]trip_summary_region!F727</f>
        <v>104.20274843</v>
      </c>
      <c r="G727">
        <f>[5]trip_summary_region!G727</f>
        <v>1012.0784126</v>
      </c>
      <c r="H727">
        <f>[5]trip_summary_region!H727</f>
        <v>24.417601918999999</v>
      </c>
      <c r="I727" t="str">
        <f>[5]trip_summary_region!I727</f>
        <v>Light Vehicle Driver</v>
      </c>
      <c r="J727" t="str">
        <f>[5]trip_summary_region!J727</f>
        <v>2032/33</v>
      </c>
    </row>
    <row r="728" spans="1:10" x14ac:dyDescent="0.25">
      <c r="A728" t="str">
        <f>[5]trip_summary_region!A728</f>
        <v>10 NELS-MARLB-TAS</v>
      </c>
      <c r="B728">
        <f>[5]trip_summary_region!B728</f>
        <v>2</v>
      </c>
      <c r="C728">
        <f>[5]trip_summary_region!C728</f>
        <v>2038</v>
      </c>
      <c r="D728">
        <f>[5]trip_summary_region!D728</f>
        <v>480</v>
      </c>
      <c r="E728">
        <f>[5]trip_summary_region!E728</f>
        <v>3377</v>
      </c>
      <c r="F728">
        <f>[5]trip_summary_region!F728</f>
        <v>104.06905725999999</v>
      </c>
      <c r="G728">
        <f>[5]trip_summary_region!G728</f>
        <v>995.60537398999998</v>
      </c>
      <c r="H728">
        <f>[5]trip_summary_region!H728</f>
        <v>24.204137880000001</v>
      </c>
      <c r="I728" t="str">
        <f>[5]trip_summary_region!I728</f>
        <v>Light Vehicle Driver</v>
      </c>
      <c r="J728" t="str">
        <f>[5]trip_summary_region!J728</f>
        <v>2037/38</v>
      </c>
    </row>
    <row r="729" spans="1:10" x14ac:dyDescent="0.25">
      <c r="A729" t="str">
        <f>[5]trip_summary_region!A729</f>
        <v>10 NELS-MARLB-TAS</v>
      </c>
      <c r="B729">
        <f>[5]trip_summary_region!B729</f>
        <v>2</v>
      </c>
      <c r="C729">
        <f>[5]trip_summary_region!C729</f>
        <v>2043</v>
      </c>
      <c r="D729">
        <f>[5]trip_summary_region!D729</f>
        <v>480</v>
      </c>
      <c r="E729">
        <f>[5]trip_summary_region!E729</f>
        <v>3377</v>
      </c>
      <c r="F729">
        <f>[5]trip_summary_region!F729</f>
        <v>103.55998246999999</v>
      </c>
      <c r="G729">
        <f>[5]trip_summary_region!G729</f>
        <v>976.73826785999995</v>
      </c>
      <c r="H729">
        <f>[5]trip_summary_region!H729</f>
        <v>23.912650791000001</v>
      </c>
      <c r="I729" t="str">
        <f>[5]trip_summary_region!I729</f>
        <v>Light Vehicle Driver</v>
      </c>
      <c r="J729" t="str">
        <f>[5]trip_summary_region!J729</f>
        <v>2042/43</v>
      </c>
    </row>
    <row r="730" spans="1:10" x14ac:dyDescent="0.25">
      <c r="A730" t="str">
        <f>[5]trip_summary_region!A730</f>
        <v>10 NELS-MARLB-TAS</v>
      </c>
      <c r="B730">
        <f>[5]trip_summary_region!B730</f>
        <v>3</v>
      </c>
      <c r="C730">
        <f>[5]trip_summary_region!C730</f>
        <v>2013</v>
      </c>
      <c r="D730">
        <f>[5]trip_summary_region!D730</f>
        <v>346</v>
      </c>
      <c r="E730">
        <f>[5]trip_summary_region!E730</f>
        <v>1569</v>
      </c>
      <c r="F730">
        <f>[5]trip_summary_region!F730</f>
        <v>45.895773310999999</v>
      </c>
      <c r="G730">
        <f>[5]trip_summary_region!G730</f>
        <v>528.66856442999995</v>
      </c>
      <c r="H730">
        <f>[5]trip_summary_region!H730</f>
        <v>11.910351560000001</v>
      </c>
      <c r="I730" t="str">
        <f>[5]trip_summary_region!I730</f>
        <v>Light Vehicle Passenger</v>
      </c>
      <c r="J730" t="str">
        <f>[5]trip_summary_region!J730</f>
        <v>2012/13</v>
      </c>
    </row>
    <row r="731" spans="1:10" x14ac:dyDescent="0.25">
      <c r="A731" t="str">
        <f>[5]trip_summary_region!A731</f>
        <v>10 NELS-MARLB-TAS</v>
      </c>
      <c r="B731">
        <f>[5]trip_summary_region!B731</f>
        <v>3</v>
      </c>
      <c r="C731">
        <f>[5]trip_summary_region!C731</f>
        <v>2018</v>
      </c>
      <c r="D731">
        <f>[5]trip_summary_region!D731</f>
        <v>346</v>
      </c>
      <c r="E731">
        <f>[5]trip_summary_region!E731</f>
        <v>1569</v>
      </c>
      <c r="F731">
        <f>[5]trip_summary_region!F731</f>
        <v>44.984772403999997</v>
      </c>
      <c r="G731">
        <f>[5]trip_summary_region!G731</f>
        <v>518.67977814999995</v>
      </c>
      <c r="H731">
        <f>[5]trip_summary_region!H731</f>
        <v>11.755853864000001</v>
      </c>
      <c r="I731" t="str">
        <f>[5]trip_summary_region!I731</f>
        <v>Light Vehicle Passenger</v>
      </c>
      <c r="J731" t="str">
        <f>[5]trip_summary_region!J731</f>
        <v>2017/18</v>
      </c>
    </row>
    <row r="732" spans="1:10" x14ac:dyDescent="0.25">
      <c r="A732" t="str">
        <f>[5]trip_summary_region!A732</f>
        <v>10 NELS-MARLB-TAS</v>
      </c>
      <c r="B732">
        <f>[5]trip_summary_region!B732</f>
        <v>3</v>
      </c>
      <c r="C732">
        <f>[5]trip_summary_region!C732</f>
        <v>2023</v>
      </c>
      <c r="D732">
        <f>[5]trip_summary_region!D732</f>
        <v>346</v>
      </c>
      <c r="E732">
        <f>[5]trip_summary_region!E732</f>
        <v>1569</v>
      </c>
      <c r="F732">
        <f>[5]trip_summary_region!F732</f>
        <v>43.940166802999997</v>
      </c>
      <c r="G732">
        <f>[5]trip_summary_region!G732</f>
        <v>505.20694666000003</v>
      </c>
      <c r="H732">
        <f>[5]trip_summary_region!H732</f>
        <v>11.544163153</v>
      </c>
      <c r="I732" t="str">
        <f>[5]trip_summary_region!I732</f>
        <v>Light Vehicle Passenger</v>
      </c>
      <c r="J732" t="str">
        <f>[5]trip_summary_region!J732</f>
        <v>2022/23</v>
      </c>
    </row>
    <row r="733" spans="1:10" x14ac:dyDescent="0.25">
      <c r="A733" t="str">
        <f>[5]trip_summary_region!A733</f>
        <v>10 NELS-MARLB-TAS</v>
      </c>
      <c r="B733">
        <f>[5]trip_summary_region!B733</f>
        <v>3</v>
      </c>
      <c r="C733">
        <f>[5]trip_summary_region!C733</f>
        <v>2028</v>
      </c>
      <c r="D733">
        <f>[5]trip_summary_region!D733</f>
        <v>346</v>
      </c>
      <c r="E733">
        <f>[5]trip_summary_region!E733</f>
        <v>1569</v>
      </c>
      <c r="F733">
        <f>[5]trip_summary_region!F733</f>
        <v>43.231632124000001</v>
      </c>
      <c r="G733">
        <f>[5]trip_summary_region!G733</f>
        <v>496.16170237</v>
      </c>
      <c r="H733">
        <f>[5]trip_summary_region!H733</f>
        <v>11.408438206</v>
      </c>
      <c r="I733" t="str">
        <f>[5]trip_summary_region!I733</f>
        <v>Light Vehicle Passenger</v>
      </c>
      <c r="J733" t="str">
        <f>[5]trip_summary_region!J733</f>
        <v>2027/28</v>
      </c>
    </row>
    <row r="734" spans="1:10" x14ac:dyDescent="0.25">
      <c r="A734" t="str">
        <f>[5]trip_summary_region!A734</f>
        <v>10 NELS-MARLB-TAS</v>
      </c>
      <c r="B734">
        <f>[5]trip_summary_region!B734</f>
        <v>3</v>
      </c>
      <c r="C734">
        <f>[5]trip_summary_region!C734</f>
        <v>2033</v>
      </c>
      <c r="D734">
        <f>[5]trip_summary_region!D734</f>
        <v>346</v>
      </c>
      <c r="E734">
        <f>[5]trip_summary_region!E734</f>
        <v>1569</v>
      </c>
      <c r="F734">
        <f>[5]trip_summary_region!F734</f>
        <v>42.000474392000001</v>
      </c>
      <c r="G734">
        <f>[5]trip_summary_region!G734</f>
        <v>482.51162153000001</v>
      </c>
      <c r="H734">
        <f>[5]trip_summary_region!H734</f>
        <v>11.113787231</v>
      </c>
      <c r="I734" t="str">
        <f>[5]trip_summary_region!I734</f>
        <v>Light Vehicle Passenger</v>
      </c>
      <c r="J734" t="str">
        <f>[5]trip_summary_region!J734</f>
        <v>2032/33</v>
      </c>
    </row>
    <row r="735" spans="1:10" x14ac:dyDescent="0.25">
      <c r="A735" t="str">
        <f>[5]trip_summary_region!A735</f>
        <v>10 NELS-MARLB-TAS</v>
      </c>
      <c r="B735">
        <f>[5]trip_summary_region!B735</f>
        <v>3</v>
      </c>
      <c r="C735">
        <f>[5]trip_summary_region!C735</f>
        <v>2038</v>
      </c>
      <c r="D735">
        <f>[5]trip_summary_region!D735</f>
        <v>346</v>
      </c>
      <c r="E735">
        <f>[5]trip_summary_region!E735</f>
        <v>1569</v>
      </c>
      <c r="F735">
        <f>[5]trip_summary_region!F735</f>
        <v>40.636525716000001</v>
      </c>
      <c r="G735">
        <f>[5]trip_summary_region!G735</f>
        <v>462.05360316000002</v>
      </c>
      <c r="H735">
        <f>[5]trip_summary_region!H735</f>
        <v>10.706755230000001</v>
      </c>
      <c r="I735" t="str">
        <f>[5]trip_summary_region!I735</f>
        <v>Light Vehicle Passenger</v>
      </c>
      <c r="J735" t="str">
        <f>[5]trip_summary_region!J735</f>
        <v>2037/38</v>
      </c>
    </row>
    <row r="736" spans="1:10" x14ac:dyDescent="0.25">
      <c r="A736" t="str">
        <f>[5]trip_summary_region!A736</f>
        <v>10 NELS-MARLB-TAS</v>
      </c>
      <c r="B736">
        <f>[5]trip_summary_region!B736</f>
        <v>3</v>
      </c>
      <c r="C736">
        <f>[5]trip_summary_region!C736</f>
        <v>2043</v>
      </c>
      <c r="D736">
        <f>[5]trip_summary_region!D736</f>
        <v>346</v>
      </c>
      <c r="E736">
        <f>[5]trip_summary_region!E736</f>
        <v>1569</v>
      </c>
      <c r="F736">
        <f>[5]trip_summary_region!F736</f>
        <v>39.177557395000001</v>
      </c>
      <c r="G736">
        <f>[5]trip_summary_region!G736</f>
        <v>441.17056710999998</v>
      </c>
      <c r="H736">
        <f>[5]trip_summary_region!H736</f>
        <v>10.282828726</v>
      </c>
      <c r="I736" t="str">
        <f>[5]trip_summary_region!I736</f>
        <v>Light Vehicle Passenger</v>
      </c>
      <c r="J736" t="str">
        <f>[5]trip_summary_region!J736</f>
        <v>2042/43</v>
      </c>
    </row>
    <row r="737" spans="1:10" x14ac:dyDescent="0.25">
      <c r="A737" t="str">
        <f>[5]trip_summary_region!A737</f>
        <v>10 NELS-MARLB-TAS</v>
      </c>
      <c r="B737">
        <f>[5]trip_summary_region!B737</f>
        <v>4</v>
      </c>
      <c r="C737">
        <f>[5]trip_summary_region!C737</f>
        <v>2013</v>
      </c>
      <c r="D737">
        <f>[5]trip_summary_region!D737</f>
        <v>9</v>
      </c>
      <c r="E737">
        <f>[5]trip_summary_region!E737</f>
        <v>16</v>
      </c>
      <c r="F737">
        <f>[5]trip_summary_region!F737</f>
        <v>0.40359339709999997</v>
      </c>
      <c r="G737">
        <f>[5]trip_summary_region!G737</f>
        <v>2.5483198348</v>
      </c>
      <c r="H737">
        <f>[5]trip_summary_region!H737</f>
        <v>8.1526233300000001E-2</v>
      </c>
      <c r="I737" t="s">
        <v>116</v>
      </c>
      <c r="J737" t="str">
        <f>[5]trip_summary_region!J737</f>
        <v>2012/13</v>
      </c>
    </row>
    <row r="738" spans="1:10" x14ac:dyDescent="0.25">
      <c r="A738" t="str">
        <f>[5]trip_summary_region!A738</f>
        <v>10 NELS-MARLB-TAS</v>
      </c>
      <c r="B738">
        <f>[5]trip_summary_region!B738</f>
        <v>4</v>
      </c>
      <c r="C738">
        <f>[5]trip_summary_region!C738</f>
        <v>2018</v>
      </c>
      <c r="D738">
        <f>[5]trip_summary_region!D738</f>
        <v>9</v>
      </c>
      <c r="E738">
        <f>[5]trip_summary_region!E738</f>
        <v>16</v>
      </c>
      <c r="F738">
        <f>[5]trip_summary_region!F738</f>
        <v>0.47919379670000001</v>
      </c>
      <c r="G738">
        <f>[5]trip_summary_region!G738</f>
        <v>2.8926528506000002</v>
      </c>
      <c r="H738">
        <f>[5]trip_summary_region!H738</f>
        <v>9.4911018299999997E-2</v>
      </c>
      <c r="I738" t="s">
        <v>116</v>
      </c>
      <c r="J738" t="str">
        <f>[5]trip_summary_region!J738</f>
        <v>2017/18</v>
      </c>
    </row>
    <row r="739" spans="1:10" x14ac:dyDescent="0.25">
      <c r="A739" t="str">
        <f>[5]trip_summary_region!A739</f>
        <v>10 NELS-MARLB-TAS</v>
      </c>
      <c r="B739">
        <f>[5]trip_summary_region!B739</f>
        <v>4</v>
      </c>
      <c r="C739">
        <f>[5]trip_summary_region!C739</f>
        <v>2023</v>
      </c>
      <c r="D739">
        <f>[5]trip_summary_region!D739</f>
        <v>9</v>
      </c>
      <c r="E739">
        <f>[5]trip_summary_region!E739</f>
        <v>16</v>
      </c>
      <c r="F739">
        <f>[5]trip_summary_region!F739</f>
        <v>0.55008980620000003</v>
      </c>
      <c r="G739">
        <f>[5]trip_summary_region!G739</f>
        <v>3.1149751873999998</v>
      </c>
      <c r="H739">
        <f>[5]trip_summary_region!H739</f>
        <v>0.1067897837</v>
      </c>
      <c r="I739" t="s">
        <v>116</v>
      </c>
      <c r="J739" t="str">
        <f>[5]trip_summary_region!J739</f>
        <v>2022/23</v>
      </c>
    </row>
    <row r="740" spans="1:10" x14ac:dyDescent="0.25">
      <c r="A740" t="str">
        <f>[5]trip_summary_region!A740</f>
        <v>10 NELS-MARLB-TAS</v>
      </c>
      <c r="B740">
        <f>[5]trip_summary_region!B740</f>
        <v>4</v>
      </c>
      <c r="C740">
        <f>[5]trip_summary_region!C740</f>
        <v>2028</v>
      </c>
      <c r="D740">
        <f>[5]trip_summary_region!D740</f>
        <v>9</v>
      </c>
      <c r="E740">
        <f>[5]trip_summary_region!E740</f>
        <v>16</v>
      </c>
      <c r="F740">
        <f>[5]trip_summary_region!F740</f>
        <v>0.58919997930000001</v>
      </c>
      <c r="G740">
        <f>[5]trip_summary_region!G740</f>
        <v>3.2149763494000001</v>
      </c>
      <c r="H740">
        <f>[5]trip_summary_region!H740</f>
        <v>0.1130422738</v>
      </c>
      <c r="I740" t="s">
        <v>116</v>
      </c>
      <c r="J740" t="str">
        <f>[5]trip_summary_region!J740</f>
        <v>2027/28</v>
      </c>
    </row>
    <row r="741" spans="1:10" x14ac:dyDescent="0.25">
      <c r="A741" t="str">
        <f>[5]trip_summary_region!A741</f>
        <v>10 NELS-MARLB-TAS</v>
      </c>
      <c r="B741">
        <f>[5]trip_summary_region!B741</f>
        <v>4</v>
      </c>
      <c r="C741">
        <f>[5]trip_summary_region!C741</f>
        <v>2033</v>
      </c>
      <c r="D741">
        <f>[5]trip_summary_region!D741</f>
        <v>9</v>
      </c>
      <c r="E741">
        <f>[5]trip_summary_region!E741</f>
        <v>16</v>
      </c>
      <c r="F741">
        <f>[5]trip_summary_region!F741</f>
        <v>0.60907284559999997</v>
      </c>
      <c r="G741">
        <f>[5]trip_summary_region!G741</f>
        <v>3.2924691902999998</v>
      </c>
      <c r="H741">
        <f>[5]trip_summary_region!H741</f>
        <v>0.1164617048</v>
      </c>
      <c r="I741" t="s">
        <v>116</v>
      </c>
      <c r="J741" t="str">
        <f>[5]trip_summary_region!J741</f>
        <v>2032/33</v>
      </c>
    </row>
    <row r="742" spans="1:10" x14ac:dyDescent="0.25">
      <c r="A742" t="str">
        <f>[5]trip_summary_region!A742</f>
        <v>10 NELS-MARLB-TAS</v>
      </c>
      <c r="B742">
        <f>[5]trip_summary_region!B742</f>
        <v>4</v>
      </c>
      <c r="C742">
        <f>[5]trip_summary_region!C742</f>
        <v>2038</v>
      </c>
      <c r="D742">
        <f>[5]trip_summary_region!D742</f>
        <v>9</v>
      </c>
      <c r="E742">
        <f>[5]trip_summary_region!E742</f>
        <v>16</v>
      </c>
      <c r="F742">
        <f>[5]trip_summary_region!F742</f>
        <v>0.60845237070000002</v>
      </c>
      <c r="G742">
        <f>[5]trip_summary_region!G742</f>
        <v>3.2657928888000001</v>
      </c>
      <c r="H742">
        <f>[5]trip_summary_region!H742</f>
        <v>0.1157559365</v>
      </c>
      <c r="I742" t="s">
        <v>116</v>
      </c>
      <c r="J742" t="str">
        <f>[5]trip_summary_region!J742</f>
        <v>2037/38</v>
      </c>
    </row>
    <row r="743" spans="1:10" x14ac:dyDescent="0.25">
      <c r="A743" t="str">
        <f>[5]trip_summary_region!A743</f>
        <v>10 NELS-MARLB-TAS</v>
      </c>
      <c r="B743">
        <f>[5]trip_summary_region!B743</f>
        <v>4</v>
      </c>
      <c r="C743">
        <f>[5]trip_summary_region!C743</f>
        <v>2043</v>
      </c>
      <c r="D743">
        <f>[5]trip_summary_region!D743</f>
        <v>9</v>
      </c>
      <c r="E743">
        <f>[5]trip_summary_region!E743</f>
        <v>16</v>
      </c>
      <c r="F743">
        <f>[5]trip_summary_region!F743</f>
        <v>0.60568438430000004</v>
      </c>
      <c r="G743">
        <f>[5]trip_summary_region!G743</f>
        <v>3.2338873887999999</v>
      </c>
      <c r="H743">
        <f>[5]trip_summary_region!H743</f>
        <v>0.1146745373</v>
      </c>
      <c r="I743" t="s">
        <v>116</v>
      </c>
      <c r="J743" t="str">
        <f>[5]trip_summary_region!J743</f>
        <v>2042/43</v>
      </c>
    </row>
    <row r="744" spans="1:10" x14ac:dyDescent="0.25">
      <c r="A744" t="str">
        <f>[5]trip_summary_region!A744</f>
        <v>10 NELS-MARLB-TAS</v>
      </c>
      <c r="B744">
        <f>[5]trip_summary_region!B744</f>
        <v>5</v>
      </c>
      <c r="C744">
        <f>[5]trip_summary_region!C744</f>
        <v>2013</v>
      </c>
      <c r="D744">
        <f>[5]trip_summary_region!D744</f>
        <v>14</v>
      </c>
      <c r="E744">
        <f>[5]trip_summary_region!E744</f>
        <v>52</v>
      </c>
      <c r="F744">
        <f>[5]trip_summary_region!F744</f>
        <v>1.5095151791999999</v>
      </c>
      <c r="G744">
        <f>[5]trip_summary_region!G744</f>
        <v>34.127286998000002</v>
      </c>
      <c r="H744">
        <f>[5]trip_summary_region!H744</f>
        <v>0.60769230029999999</v>
      </c>
      <c r="I744" t="str">
        <f>[5]trip_summary_region!I744</f>
        <v>Motorcyclist</v>
      </c>
      <c r="J744" t="str">
        <f>[5]trip_summary_region!J744</f>
        <v>2012/13</v>
      </c>
    </row>
    <row r="745" spans="1:10" x14ac:dyDescent="0.25">
      <c r="A745" t="str">
        <f>[5]trip_summary_region!A745</f>
        <v>10 NELS-MARLB-TAS</v>
      </c>
      <c r="B745">
        <f>[5]trip_summary_region!B745</f>
        <v>5</v>
      </c>
      <c r="C745">
        <f>[5]trip_summary_region!C745</f>
        <v>2018</v>
      </c>
      <c r="D745">
        <f>[5]trip_summary_region!D745</f>
        <v>14</v>
      </c>
      <c r="E745">
        <f>[5]trip_summary_region!E745</f>
        <v>52</v>
      </c>
      <c r="F745">
        <f>[5]trip_summary_region!F745</f>
        <v>1.5298356796999999</v>
      </c>
      <c r="G745">
        <f>[5]trip_summary_region!G745</f>
        <v>34.695855907000002</v>
      </c>
      <c r="H745">
        <f>[5]trip_summary_region!H745</f>
        <v>0.61347351159999997</v>
      </c>
      <c r="I745" t="str">
        <f>[5]trip_summary_region!I745</f>
        <v>Motorcyclist</v>
      </c>
      <c r="J745" t="str">
        <f>[5]trip_summary_region!J745</f>
        <v>2017/18</v>
      </c>
    </row>
    <row r="746" spans="1:10" x14ac:dyDescent="0.25">
      <c r="A746" t="str">
        <f>[5]trip_summary_region!A746</f>
        <v>10 NELS-MARLB-TAS</v>
      </c>
      <c r="B746">
        <f>[5]trip_summary_region!B746</f>
        <v>5</v>
      </c>
      <c r="C746">
        <f>[5]trip_summary_region!C746</f>
        <v>2023</v>
      </c>
      <c r="D746">
        <f>[5]trip_summary_region!D746</f>
        <v>14</v>
      </c>
      <c r="E746">
        <f>[5]trip_summary_region!E746</f>
        <v>52</v>
      </c>
      <c r="F746">
        <f>[5]trip_summary_region!F746</f>
        <v>1.5526989294</v>
      </c>
      <c r="G746">
        <f>[5]trip_summary_region!G746</f>
        <v>35.039109050999997</v>
      </c>
      <c r="H746">
        <f>[5]trip_summary_region!H746</f>
        <v>0.61676123650000003</v>
      </c>
      <c r="I746" t="str">
        <f>[5]trip_summary_region!I746</f>
        <v>Motorcyclist</v>
      </c>
      <c r="J746" t="str">
        <f>[5]trip_summary_region!J746</f>
        <v>2022/23</v>
      </c>
    </row>
    <row r="747" spans="1:10" x14ac:dyDescent="0.25">
      <c r="A747" t="str">
        <f>[5]trip_summary_region!A747</f>
        <v>10 NELS-MARLB-TAS</v>
      </c>
      <c r="B747">
        <f>[5]trip_summary_region!B747</f>
        <v>5</v>
      </c>
      <c r="C747">
        <f>[5]trip_summary_region!C747</f>
        <v>2028</v>
      </c>
      <c r="D747">
        <f>[5]trip_summary_region!D747</f>
        <v>14</v>
      </c>
      <c r="E747">
        <f>[5]trip_summary_region!E747</f>
        <v>52</v>
      </c>
      <c r="F747">
        <f>[5]trip_summary_region!F747</f>
        <v>1.5771042610999999</v>
      </c>
      <c r="G747">
        <f>[5]trip_summary_region!G747</f>
        <v>34.750453806000003</v>
      </c>
      <c r="H747">
        <f>[5]trip_summary_region!H747</f>
        <v>0.61142580940000002</v>
      </c>
      <c r="I747" t="str">
        <f>[5]trip_summary_region!I747</f>
        <v>Motorcyclist</v>
      </c>
      <c r="J747" t="str">
        <f>[5]trip_summary_region!J747</f>
        <v>2027/28</v>
      </c>
    </row>
    <row r="748" spans="1:10" x14ac:dyDescent="0.25">
      <c r="A748" t="str">
        <f>[5]trip_summary_region!A748</f>
        <v>10 NELS-MARLB-TAS</v>
      </c>
      <c r="B748">
        <f>[5]trip_summary_region!B748</f>
        <v>5</v>
      </c>
      <c r="C748">
        <f>[5]trip_summary_region!C748</f>
        <v>2033</v>
      </c>
      <c r="D748">
        <f>[5]trip_summary_region!D748</f>
        <v>14</v>
      </c>
      <c r="E748">
        <f>[5]trip_summary_region!E748</f>
        <v>52</v>
      </c>
      <c r="F748">
        <f>[5]trip_summary_region!F748</f>
        <v>1.5796654539999999</v>
      </c>
      <c r="G748">
        <f>[5]trip_summary_region!G748</f>
        <v>34.937319273</v>
      </c>
      <c r="H748">
        <f>[5]trip_summary_region!H748</f>
        <v>0.61322040229999997</v>
      </c>
      <c r="I748" t="str">
        <f>[5]trip_summary_region!I748</f>
        <v>Motorcyclist</v>
      </c>
      <c r="J748" t="str">
        <f>[5]trip_summary_region!J748</f>
        <v>2032/33</v>
      </c>
    </row>
    <row r="749" spans="1:10" x14ac:dyDescent="0.25">
      <c r="A749" t="str">
        <f>[5]trip_summary_region!A749</f>
        <v>10 NELS-MARLB-TAS</v>
      </c>
      <c r="B749">
        <f>[5]trip_summary_region!B749</f>
        <v>5</v>
      </c>
      <c r="C749">
        <f>[5]trip_summary_region!C749</f>
        <v>2038</v>
      </c>
      <c r="D749">
        <f>[5]trip_summary_region!D749</f>
        <v>14</v>
      </c>
      <c r="E749">
        <f>[5]trip_summary_region!E749</f>
        <v>52</v>
      </c>
      <c r="F749">
        <f>[5]trip_summary_region!F749</f>
        <v>1.5432043933999999</v>
      </c>
      <c r="G749">
        <f>[5]trip_summary_region!G749</f>
        <v>34.882346364999997</v>
      </c>
      <c r="H749">
        <f>[5]trip_summary_region!H749</f>
        <v>0.61067612059999998</v>
      </c>
      <c r="I749" t="str">
        <f>[5]trip_summary_region!I749</f>
        <v>Motorcyclist</v>
      </c>
      <c r="J749" t="str">
        <f>[5]trip_summary_region!J749</f>
        <v>2037/38</v>
      </c>
    </row>
    <row r="750" spans="1:10" x14ac:dyDescent="0.25">
      <c r="A750" t="str">
        <f>[5]trip_summary_region!A750</f>
        <v>10 NELS-MARLB-TAS</v>
      </c>
      <c r="B750">
        <f>[5]trip_summary_region!B750</f>
        <v>5</v>
      </c>
      <c r="C750">
        <f>[5]trip_summary_region!C750</f>
        <v>2043</v>
      </c>
      <c r="D750">
        <f>[5]trip_summary_region!D750</f>
        <v>14</v>
      </c>
      <c r="E750">
        <f>[5]trip_summary_region!E750</f>
        <v>52</v>
      </c>
      <c r="F750">
        <f>[5]trip_summary_region!F750</f>
        <v>1.5012740930999999</v>
      </c>
      <c r="G750">
        <f>[5]trip_summary_region!G750</f>
        <v>34.669041395999997</v>
      </c>
      <c r="H750">
        <f>[5]trip_summary_region!H750</f>
        <v>0.60537409180000001</v>
      </c>
      <c r="I750" t="str">
        <f>[5]trip_summary_region!I750</f>
        <v>Motorcyclist</v>
      </c>
      <c r="J750" t="str">
        <f>[5]trip_summary_region!J750</f>
        <v>2042/43</v>
      </c>
    </row>
    <row r="751" spans="1:10" x14ac:dyDescent="0.25">
      <c r="A751" t="str">
        <f>[5]trip_summary_region!A751</f>
        <v>10 NELS-MARLB-TAS</v>
      </c>
      <c r="B751">
        <f>[5]trip_summary_region!B751</f>
        <v>6</v>
      </c>
      <c r="C751">
        <f>[5]trip_summary_region!C751</f>
        <v>2013</v>
      </c>
      <c r="D751">
        <f>[5]trip_summary_region!D751</f>
        <v>1</v>
      </c>
      <c r="E751">
        <f>[5]trip_summary_region!E751</f>
        <v>4</v>
      </c>
      <c r="F751">
        <f>[5]trip_summary_region!F751</f>
        <v>0.1284956481</v>
      </c>
      <c r="G751">
        <f>[5]trip_summary_region!G751</f>
        <v>5.3733082988999996</v>
      </c>
      <c r="H751">
        <f>[5]trip_summary_region!H751</f>
        <v>9.9048728700000005E-2</v>
      </c>
      <c r="I751" t="str">
        <f>[5]trip_summary_region!I751</f>
        <v>Local Train</v>
      </c>
      <c r="J751" t="str">
        <f>[5]trip_summary_region!J751</f>
        <v>2012/13</v>
      </c>
    </row>
    <row r="752" spans="1:10" x14ac:dyDescent="0.25">
      <c r="A752" t="str">
        <f>[5]trip_summary_region!A752</f>
        <v>10 NELS-MARLB-TAS</v>
      </c>
      <c r="B752">
        <f>[5]trip_summary_region!B752</f>
        <v>6</v>
      </c>
      <c r="C752">
        <f>[5]trip_summary_region!C752</f>
        <v>2018</v>
      </c>
      <c r="D752">
        <f>[5]trip_summary_region!D752</f>
        <v>1</v>
      </c>
      <c r="E752">
        <f>[5]trip_summary_region!E752</f>
        <v>4</v>
      </c>
      <c r="F752">
        <f>[5]trip_summary_region!F752</f>
        <v>0.1134896059</v>
      </c>
      <c r="G752">
        <f>[5]trip_summary_region!G752</f>
        <v>4.7510430171999998</v>
      </c>
      <c r="H752">
        <f>[5]trip_summary_region!H752</f>
        <v>8.7578540199999999E-2</v>
      </c>
      <c r="I752" t="str">
        <f>[5]trip_summary_region!I752</f>
        <v>Local Train</v>
      </c>
      <c r="J752" t="str">
        <f>[5]trip_summary_region!J752</f>
        <v>2017/18</v>
      </c>
    </row>
    <row r="753" spans="1:10" x14ac:dyDescent="0.25">
      <c r="A753" t="str">
        <f>[5]trip_summary_region!A753</f>
        <v>10 NELS-MARLB-TAS</v>
      </c>
      <c r="B753">
        <f>[5]trip_summary_region!B753</f>
        <v>6</v>
      </c>
      <c r="C753">
        <f>[5]trip_summary_region!C753</f>
        <v>2023</v>
      </c>
      <c r="D753">
        <f>[5]trip_summary_region!D753</f>
        <v>1</v>
      </c>
      <c r="E753">
        <f>[5]trip_summary_region!E753</f>
        <v>4</v>
      </c>
      <c r="F753">
        <f>[5]trip_summary_region!F753</f>
        <v>9.4112662700000002E-2</v>
      </c>
      <c r="G753">
        <f>[5]trip_summary_region!G753</f>
        <v>3.9433421000000002</v>
      </c>
      <c r="H753">
        <f>[5]trip_summary_region!H753</f>
        <v>7.2689966199999997E-2</v>
      </c>
      <c r="I753" t="str">
        <f>[5]trip_summary_region!I753</f>
        <v>Local Train</v>
      </c>
      <c r="J753" t="str">
        <f>[5]trip_summary_region!J753</f>
        <v>2022/23</v>
      </c>
    </row>
    <row r="754" spans="1:10" x14ac:dyDescent="0.25">
      <c r="A754" t="str">
        <f>[5]trip_summary_region!A754</f>
        <v>10 NELS-MARLB-TAS</v>
      </c>
      <c r="B754">
        <f>[5]trip_summary_region!B754</f>
        <v>6</v>
      </c>
      <c r="C754">
        <f>[5]trip_summary_region!C754</f>
        <v>2028</v>
      </c>
      <c r="D754">
        <f>[5]trip_summary_region!D754</f>
        <v>1</v>
      </c>
      <c r="E754">
        <f>[5]trip_summary_region!E754</f>
        <v>4</v>
      </c>
      <c r="F754">
        <f>[5]trip_summary_region!F754</f>
        <v>7.0660532299999995E-2</v>
      </c>
      <c r="G754">
        <f>[5]trip_summary_region!G754</f>
        <v>2.9641180115000001</v>
      </c>
      <c r="H754">
        <f>[5]trip_summary_region!H754</f>
        <v>5.46395566E-2</v>
      </c>
      <c r="I754" t="str">
        <f>[5]trip_summary_region!I754</f>
        <v>Local Train</v>
      </c>
      <c r="J754" t="str">
        <f>[5]trip_summary_region!J754</f>
        <v>2027/28</v>
      </c>
    </row>
    <row r="755" spans="1:10" x14ac:dyDescent="0.25">
      <c r="A755" t="str">
        <f>[5]trip_summary_region!A755</f>
        <v>10 NELS-MARLB-TAS</v>
      </c>
      <c r="B755">
        <f>[5]trip_summary_region!B755</f>
        <v>6</v>
      </c>
      <c r="C755">
        <f>[5]trip_summary_region!C755</f>
        <v>2033</v>
      </c>
      <c r="D755">
        <f>[5]trip_summary_region!D755</f>
        <v>1</v>
      </c>
      <c r="E755">
        <f>[5]trip_summary_region!E755</f>
        <v>4</v>
      </c>
      <c r="F755">
        <f>[5]trip_summary_region!F755</f>
        <v>5.7692273000000002E-2</v>
      </c>
      <c r="G755">
        <f>[5]trip_summary_region!G755</f>
        <v>2.4229867529</v>
      </c>
      <c r="H755">
        <f>[5]trip_summary_region!H755</f>
        <v>4.46646999E-2</v>
      </c>
      <c r="I755" t="str">
        <f>[5]trip_summary_region!I755</f>
        <v>Local Train</v>
      </c>
      <c r="J755" t="str">
        <f>[5]trip_summary_region!J755</f>
        <v>2032/33</v>
      </c>
    </row>
    <row r="756" spans="1:10" x14ac:dyDescent="0.25">
      <c r="A756" t="str">
        <f>[5]trip_summary_region!A756</f>
        <v>10 NELS-MARLB-TAS</v>
      </c>
      <c r="B756">
        <f>[5]trip_summary_region!B756</f>
        <v>6</v>
      </c>
      <c r="C756">
        <f>[5]trip_summary_region!C756</f>
        <v>2038</v>
      </c>
      <c r="D756">
        <f>[5]trip_summary_region!D756</f>
        <v>1</v>
      </c>
      <c r="E756">
        <f>[5]trip_summary_region!E756</f>
        <v>4</v>
      </c>
      <c r="F756">
        <f>[5]trip_summary_region!F756</f>
        <v>5.1121848499999997E-2</v>
      </c>
      <c r="G756">
        <f>[5]trip_summary_region!G756</f>
        <v>2.1490975754999999</v>
      </c>
      <c r="H756">
        <f>[5]trip_summary_region!H756</f>
        <v>3.9616024399999998E-2</v>
      </c>
      <c r="I756" t="str">
        <f>[5]trip_summary_region!I756</f>
        <v>Local Train</v>
      </c>
      <c r="J756" t="str">
        <f>[5]trip_summary_region!J756</f>
        <v>2037/38</v>
      </c>
    </row>
    <row r="757" spans="1:10" x14ac:dyDescent="0.25">
      <c r="A757" t="str">
        <f>[5]trip_summary_region!A757</f>
        <v>10 NELS-MARLB-TAS</v>
      </c>
      <c r="B757">
        <f>[5]trip_summary_region!B757</f>
        <v>6</v>
      </c>
      <c r="C757">
        <f>[5]trip_summary_region!C757</f>
        <v>2043</v>
      </c>
      <c r="D757">
        <f>[5]trip_summary_region!D757</f>
        <v>1</v>
      </c>
      <c r="E757">
        <f>[5]trip_summary_region!E757</f>
        <v>4</v>
      </c>
      <c r="F757">
        <f>[5]trip_summary_region!F757</f>
        <v>4.2699806700000002E-2</v>
      </c>
      <c r="G757">
        <f>[5]trip_summary_region!G757</f>
        <v>1.7972795133999999</v>
      </c>
      <c r="H757">
        <f>[5]trip_summary_region!H757</f>
        <v>3.3130818499999999E-2</v>
      </c>
      <c r="I757" t="str">
        <f>[5]trip_summary_region!I757</f>
        <v>Local Train</v>
      </c>
      <c r="J757" t="str">
        <f>[5]trip_summary_region!J757</f>
        <v>2042/43</v>
      </c>
    </row>
    <row r="758" spans="1:10" x14ac:dyDescent="0.25">
      <c r="A758" t="str">
        <f>[5]trip_summary_region!A758</f>
        <v>10 NELS-MARLB-TAS</v>
      </c>
      <c r="B758">
        <f>[5]trip_summary_region!B758</f>
        <v>7</v>
      </c>
      <c r="C758">
        <f>[5]trip_summary_region!C758</f>
        <v>2013</v>
      </c>
      <c r="D758">
        <f>[5]trip_summary_region!D758</f>
        <v>38</v>
      </c>
      <c r="E758">
        <f>[5]trip_summary_region!E758</f>
        <v>79</v>
      </c>
      <c r="F758">
        <f>[5]trip_summary_region!F758</f>
        <v>2.0764681202999999</v>
      </c>
      <c r="G758">
        <f>[5]trip_summary_region!G758</f>
        <v>19.807462209000001</v>
      </c>
      <c r="H758">
        <f>[5]trip_summary_region!H758</f>
        <v>0.94491203199999996</v>
      </c>
      <c r="I758" t="str">
        <f>[5]trip_summary_region!I758</f>
        <v>Local Bus</v>
      </c>
      <c r="J758" t="str">
        <f>[5]trip_summary_region!J758</f>
        <v>2012/13</v>
      </c>
    </row>
    <row r="759" spans="1:10" x14ac:dyDescent="0.25">
      <c r="A759" t="str">
        <f>[5]trip_summary_region!A759</f>
        <v>10 NELS-MARLB-TAS</v>
      </c>
      <c r="B759">
        <f>[5]trip_summary_region!B759</f>
        <v>7</v>
      </c>
      <c r="C759">
        <f>[5]trip_summary_region!C759</f>
        <v>2018</v>
      </c>
      <c r="D759">
        <f>[5]trip_summary_region!D759</f>
        <v>38</v>
      </c>
      <c r="E759">
        <f>[5]trip_summary_region!E759</f>
        <v>79</v>
      </c>
      <c r="F759">
        <f>[5]trip_summary_region!F759</f>
        <v>1.9501721902</v>
      </c>
      <c r="G759">
        <f>[5]trip_summary_region!G759</f>
        <v>17.986433473000002</v>
      </c>
      <c r="H759">
        <f>[5]trip_summary_region!H759</f>
        <v>0.85904426140000001</v>
      </c>
      <c r="I759" t="str">
        <f>[5]trip_summary_region!I759</f>
        <v>Local Bus</v>
      </c>
      <c r="J759" t="str">
        <f>[5]trip_summary_region!J759</f>
        <v>2017/18</v>
      </c>
    </row>
    <row r="760" spans="1:10" x14ac:dyDescent="0.25">
      <c r="A760" t="str">
        <f>[5]trip_summary_region!A760</f>
        <v>10 NELS-MARLB-TAS</v>
      </c>
      <c r="B760">
        <f>[5]trip_summary_region!B760</f>
        <v>7</v>
      </c>
      <c r="C760">
        <f>[5]trip_summary_region!C760</f>
        <v>2023</v>
      </c>
      <c r="D760">
        <f>[5]trip_summary_region!D760</f>
        <v>38</v>
      </c>
      <c r="E760">
        <f>[5]trip_summary_region!E760</f>
        <v>79</v>
      </c>
      <c r="F760">
        <f>[5]trip_summary_region!F760</f>
        <v>1.866246732</v>
      </c>
      <c r="G760">
        <f>[5]trip_summary_region!G760</f>
        <v>16.641980147999998</v>
      </c>
      <c r="H760">
        <f>[5]trip_summary_region!H760</f>
        <v>0.79714238800000004</v>
      </c>
      <c r="I760" t="str">
        <f>[5]trip_summary_region!I760</f>
        <v>Local Bus</v>
      </c>
      <c r="J760" t="str">
        <f>[5]trip_summary_region!J760</f>
        <v>2022/23</v>
      </c>
    </row>
    <row r="761" spans="1:10" x14ac:dyDescent="0.25">
      <c r="A761" t="str">
        <f>[5]trip_summary_region!A761</f>
        <v>10 NELS-MARLB-TAS</v>
      </c>
      <c r="B761">
        <f>[5]trip_summary_region!B761</f>
        <v>7</v>
      </c>
      <c r="C761">
        <f>[5]trip_summary_region!C761</f>
        <v>2028</v>
      </c>
      <c r="D761">
        <f>[5]trip_summary_region!D761</f>
        <v>38</v>
      </c>
      <c r="E761">
        <f>[5]trip_summary_region!E761</f>
        <v>79</v>
      </c>
      <c r="F761">
        <f>[5]trip_summary_region!F761</f>
        <v>1.8701886668000001</v>
      </c>
      <c r="G761">
        <f>[5]trip_summary_region!G761</f>
        <v>16.114446565000001</v>
      </c>
      <c r="H761">
        <f>[5]trip_summary_region!H761</f>
        <v>0.77485717359999995</v>
      </c>
      <c r="I761" t="str">
        <f>[5]trip_summary_region!I761</f>
        <v>Local Bus</v>
      </c>
      <c r="J761" t="str">
        <f>[5]trip_summary_region!J761</f>
        <v>2027/28</v>
      </c>
    </row>
    <row r="762" spans="1:10" x14ac:dyDescent="0.25">
      <c r="A762" t="str">
        <f>[5]trip_summary_region!A762</f>
        <v>10 NELS-MARLB-TAS</v>
      </c>
      <c r="B762">
        <f>[5]trip_summary_region!B762</f>
        <v>7</v>
      </c>
      <c r="C762">
        <f>[5]trip_summary_region!C762</f>
        <v>2033</v>
      </c>
      <c r="D762">
        <f>[5]trip_summary_region!D762</f>
        <v>38</v>
      </c>
      <c r="E762">
        <f>[5]trip_summary_region!E762</f>
        <v>79</v>
      </c>
      <c r="F762">
        <f>[5]trip_summary_region!F762</f>
        <v>1.7695148225999999</v>
      </c>
      <c r="G762">
        <f>[5]trip_summary_region!G762</f>
        <v>14.947029371999999</v>
      </c>
      <c r="H762">
        <f>[5]trip_summary_region!H762</f>
        <v>0.72189484479999999</v>
      </c>
      <c r="I762" t="str">
        <f>[5]trip_summary_region!I762</f>
        <v>Local Bus</v>
      </c>
      <c r="J762" t="str">
        <f>[5]trip_summary_region!J762</f>
        <v>2032/33</v>
      </c>
    </row>
    <row r="763" spans="1:10" x14ac:dyDescent="0.25">
      <c r="A763" t="str">
        <f>[5]trip_summary_region!A763</f>
        <v>10 NELS-MARLB-TAS</v>
      </c>
      <c r="B763">
        <f>[5]trip_summary_region!B763</f>
        <v>7</v>
      </c>
      <c r="C763">
        <f>[5]trip_summary_region!C763</f>
        <v>2038</v>
      </c>
      <c r="D763">
        <f>[5]trip_summary_region!D763</f>
        <v>38</v>
      </c>
      <c r="E763">
        <f>[5]trip_summary_region!E763</f>
        <v>79</v>
      </c>
      <c r="F763">
        <f>[5]trip_summary_region!F763</f>
        <v>1.7795549256000001</v>
      </c>
      <c r="G763">
        <f>[5]trip_summary_region!G763</f>
        <v>14.660609039000001</v>
      </c>
      <c r="H763">
        <f>[5]trip_summary_region!H763</f>
        <v>0.70853911260000002</v>
      </c>
      <c r="I763" t="str">
        <f>[5]trip_summary_region!I763</f>
        <v>Local Bus</v>
      </c>
      <c r="J763" t="str">
        <f>[5]trip_summary_region!J763</f>
        <v>2037/38</v>
      </c>
    </row>
    <row r="764" spans="1:10" x14ac:dyDescent="0.25">
      <c r="A764" t="str">
        <f>[5]trip_summary_region!A764</f>
        <v>10 NELS-MARLB-TAS</v>
      </c>
      <c r="B764">
        <f>[5]trip_summary_region!B764</f>
        <v>7</v>
      </c>
      <c r="C764">
        <f>[5]trip_summary_region!C764</f>
        <v>2043</v>
      </c>
      <c r="D764">
        <f>[5]trip_summary_region!D764</f>
        <v>38</v>
      </c>
      <c r="E764">
        <f>[5]trip_summary_region!E764</f>
        <v>79</v>
      </c>
      <c r="F764">
        <f>[5]trip_summary_region!F764</f>
        <v>1.7863552908</v>
      </c>
      <c r="G764">
        <f>[5]trip_summary_region!G764</f>
        <v>14.403535255</v>
      </c>
      <c r="H764">
        <f>[5]trip_summary_region!H764</f>
        <v>0.69653890289999998</v>
      </c>
      <c r="I764" t="str">
        <f>[5]trip_summary_region!I764</f>
        <v>Local Bus</v>
      </c>
      <c r="J764" t="str">
        <f>[5]trip_summary_region!J764</f>
        <v>2042/43</v>
      </c>
    </row>
    <row r="765" spans="1:10" x14ac:dyDescent="0.25">
      <c r="A765" t="str">
        <f>[5]trip_summary_region!A765</f>
        <v>10 NELS-MARLB-TAS</v>
      </c>
      <c r="B765">
        <f>[5]trip_summary_region!B765</f>
        <v>9</v>
      </c>
      <c r="C765">
        <f>[5]trip_summary_region!C765</f>
        <v>2013</v>
      </c>
      <c r="D765">
        <f>[5]trip_summary_region!D765</f>
        <v>24</v>
      </c>
      <c r="E765">
        <f>[5]trip_summary_region!E765</f>
        <v>56</v>
      </c>
      <c r="F765">
        <f>[5]trip_summary_region!F765</f>
        <v>1.495105957</v>
      </c>
      <c r="G765">
        <f>[5]trip_summary_region!G765</f>
        <v>0</v>
      </c>
      <c r="H765">
        <f>[5]trip_summary_region!H765</f>
        <v>0.51346004550000002</v>
      </c>
      <c r="I765" t="str">
        <f>[5]trip_summary_region!I765</f>
        <v>Other Household Travel</v>
      </c>
      <c r="J765" t="str">
        <f>[5]trip_summary_region!J765</f>
        <v>2012/13</v>
      </c>
    </row>
    <row r="766" spans="1:10" x14ac:dyDescent="0.25">
      <c r="A766" t="str">
        <f>[5]trip_summary_region!A766</f>
        <v>10 NELS-MARLB-TAS</v>
      </c>
      <c r="B766">
        <f>[5]trip_summary_region!B766</f>
        <v>9</v>
      </c>
      <c r="C766">
        <f>[5]trip_summary_region!C766</f>
        <v>2018</v>
      </c>
      <c r="D766">
        <f>[5]trip_summary_region!D766</f>
        <v>24</v>
      </c>
      <c r="E766">
        <f>[5]trip_summary_region!E766</f>
        <v>56</v>
      </c>
      <c r="F766">
        <f>[5]trip_summary_region!F766</f>
        <v>1.4846608834999999</v>
      </c>
      <c r="G766">
        <f>[5]trip_summary_region!G766</f>
        <v>0</v>
      </c>
      <c r="H766">
        <f>[5]trip_summary_region!H766</f>
        <v>0.50557466539999996</v>
      </c>
      <c r="I766" t="str">
        <f>[5]trip_summary_region!I766</f>
        <v>Other Household Travel</v>
      </c>
      <c r="J766" t="str">
        <f>[5]trip_summary_region!J766</f>
        <v>2017/18</v>
      </c>
    </row>
    <row r="767" spans="1:10" x14ac:dyDescent="0.25">
      <c r="A767" t="str">
        <f>[5]trip_summary_region!A767</f>
        <v>10 NELS-MARLB-TAS</v>
      </c>
      <c r="B767">
        <f>[5]trip_summary_region!B767</f>
        <v>9</v>
      </c>
      <c r="C767">
        <f>[5]trip_summary_region!C767</f>
        <v>2023</v>
      </c>
      <c r="D767">
        <f>[5]trip_summary_region!D767</f>
        <v>24</v>
      </c>
      <c r="E767">
        <f>[5]trip_summary_region!E767</f>
        <v>56</v>
      </c>
      <c r="F767">
        <f>[5]trip_summary_region!F767</f>
        <v>1.4770050393</v>
      </c>
      <c r="G767">
        <f>[5]trip_summary_region!G767</f>
        <v>0</v>
      </c>
      <c r="H767">
        <f>[5]trip_summary_region!H767</f>
        <v>0.50187198659999999</v>
      </c>
      <c r="I767" t="str">
        <f>[5]trip_summary_region!I767</f>
        <v>Other Household Travel</v>
      </c>
      <c r="J767" t="str">
        <f>[5]trip_summary_region!J767</f>
        <v>2022/23</v>
      </c>
    </row>
    <row r="768" spans="1:10" x14ac:dyDescent="0.25">
      <c r="A768" t="str">
        <f>[5]trip_summary_region!A768</f>
        <v>10 NELS-MARLB-TAS</v>
      </c>
      <c r="B768">
        <f>[5]trip_summary_region!B768</f>
        <v>9</v>
      </c>
      <c r="C768">
        <f>[5]trip_summary_region!C768</f>
        <v>2028</v>
      </c>
      <c r="D768">
        <f>[5]trip_summary_region!D768</f>
        <v>24</v>
      </c>
      <c r="E768">
        <f>[5]trip_summary_region!E768</f>
        <v>56</v>
      </c>
      <c r="F768">
        <f>[5]trip_summary_region!F768</f>
        <v>1.5121176313</v>
      </c>
      <c r="G768">
        <f>[5]trip_summary_region!G768</f>
        <v>0</v>
      </c>
      <c r="H768">
        <f>[5]trip_summary_region!H768</f>
        <v>0.51573438640000002</v>
      </c>
      <c r="I768" t="str">
        <f>[5]trip_summary_region!I768</f>
        <v>Other Household Travel</v>
      </c>
      <c r="J768" t="str">
        <f>[5]trip_summary_region!J768</f>
        <v>2027/28</v>
      </c>
    </row>
    <row r="769" spans="1:10" x14ac:dyDescent="0.25">
      <c r="A769" t="str">
        <f>[5]trip_summary_region!A769</f>
        <v>10 NELS-MARLB-TAS</v>
      </c>
      <c r="B769">
        <f>[5]trip_summary_region!B769</f>
        <v>9</v>
      </c>
      <c r="C769">
        <f>[5]trip_summary_region!C769</f>
        <v>2033</v>
      </c>
      <c r="D769">
        <f>[5]trip_summary_region!D769</f>
        <v>24</v>
      </c>
      <c r="E769">
        <f>[5]trip_summary_region!E769</f>
        <v>56</v>
      </c>
      <c r="F769">
        <f>[5]trip_summary_region!F769</f>
        <v>1.5299452587</v>
      </c>
      <c r="G769">
        <f>[5]trip_summary_region!G769</f>
        <v>0</v>
      </c>
      <c r="H769">
        <f>[5]trip_summary_region!H769</f>
        <v>0.51974025000000001</v>
      </c>
      <c r="I769" t="str">
        <f>[5]trip_summary_region!I769</f>
        <v>Other Household Travel</v>
      </c>
      <c r="J769" t="str">
        <f>[5]trip_summary_region!J769</f>
        <v>2032/33</v>
      </c>
    </row>
    <row r="770" spans="1:10" x14ac:dyDescent="0.25">
      <c r="A770" t="str">
        <f>[5]trip_summary_region!A770</f>
        <v>10 NELS-MARLB-TAS</v>
      </c>
      <c r="B770">
        <f>[5]trip_summary_region!B770</f>
        <v>9</v>
      </c>
      <c r="C770">
        <f>[5]trip_summary_region!C770</f>
        <v>2038</v>
      </c>
      <c r="D770">
        <f>[5]trip_summary_region!D770</f>
        <v>24</v>
      </c>
      <c r="E770">
        <f>[5]trip_summary_region!E770</f>
        <v>56</v>
      </c>
      <c r="F770">
        <f>[5]trip_summary_region!F770</f>
        <v>1.5753644444999999</v>
      </c>
      <c r="G770">
        <f>[5]trip_summary_region!G770</f>
        <v>0</v>
      </c>
      <c r="H770">
        <f>[5]trip_summary_region!H770</f>
        <v>0.53604662540000003</v>
      </c>
      <c r="I770" t="str">
        <f>[5]trip_summary_region!I770</f>
        <v>Other Household Travel</v>
      </c>
      <c r="J770" t="str">
        <f>[5]trip_summary_region!J770</f>
        <v>2037/38</v>
      </c>
    </row>
    <row r="771" spans="1:10" x14ac:dyDescent="0.25">
      <c r="A771" t="str">
        <f>[5]trip_summary_region!A771</f>
        <v>10 NELS-MARLB-TAS</v>
      </c>
      <c r="B771">
        <f>[5]trip_summary_region!B771</f>
        <v>9</v>
      </c>
      <c r="C771">
        <f>[5]trip_summary_region!C771</f>
        <v>2043</v>
      </c>
      <c r="D771">
        <f>[5]trip_summary_region!D771</f>
        <v>24</v>
      </c>
      <c r="E771">
        <f>[5]trip_summary_region!E771</f>
        <v>56</v>
      </c>
      <c r="F771">
        <f>[5]trip_summary_region!F771</f>
        <v>1.6032982712999999</v>
      </c>
      <c r="G771">
        <f>[5]trip_summary_region!G771</f>
        <v>0</v>
      </c>
      <c r="H771">
        <f>[5]trip_summary_region!H771</f>
        <v>0.54695967249999999</v>
      </c>
      <c r="I771" t="str">
        <f>[5]trip_summary_region!I771</f>
        <v>Other Household Travel</v>
      </c>
      <c r="J771" t="str">
        <f>[5]trip_summary_region!J771</f>
        <v>2042/43</v>
      </c>
    </row>
    <row r="772" spans="1:10" x14ac:dyDescent="0.25">
      <c r="A772" t="str">
        <f>[5]trip_summary_region!A772</f>
        <v>10 NELS-MARLB-TAS</v>
      </c>
      <c r="B772">
        <f>[5]trip_summary_region!B772</f>
        <v>10</v>
      </c>
      <c r="C772">
        <f>[5]trip_summary_region!C772</f>
        <v>2013</v>
      </c>
      <c r="D772">
        <f>[5]trip_summary_region!D772</f>
        <v>11</v>
      </c>
      <c r="E772">
        <f>[5]trip_summary_region!E772</f>
        <v>13</v>
      </c>
      <c r="F772">
        <f>[5]trip_summary_region!F772</f>
        <v>0.38277994659999998</v>
      </c>
      <c r="G772">
        <f>[5]trip_summary_region!G772</f>
        <v>0</v>
      </c>
      <c r="H772">
        <f>[5]trip_summary_region!H772</f>
        <v>0.45211944030000001</v>
      </c>
      <c r="I772" t="str">
        <f>[5]trip_summary_region!I772</f>
        <v>Air/Non-Local PT</v>
      </c>
      <c r="J772" t="str">
        <f>[5]trip_summary_region!J772</f>
        <v>2012/13</v>
      </c>
    </row>
    <row r="773" spans="1:10" x14ac:dyDescent="0.25">
      <c r="A773" t="str">
        <f>[5]trip_summary_region!A773</f>
        <v>10 NELS-MARLB-TAS</v>
      </c>
      <c r="B773">
        <f>[5]trip_summary_region!B773</f>
        <v>10</v>
      </c>
      <c r="C773">
        <f>[5]trip_summary_region!C773</f>
        <v>2018</v>
      </c>
      <c r="D773">
        <f>[5]trip_summary_region!D773</f>
        <v>11</v>
      </c>
      <c r="E773">
        <f>[5]trip_summary_region!E773</f>
        <v>13</v>
      </c>
      <c r="F773">
        <f>[5]trip_summary_region!F773</f>
        <v>0.40264213589999998</v>
      </c>
      <c r="G773">
        <f>[5]trip_summary_region!G773</f>
        <v>0</v>
      </c>
      <c r="H773">
        <f>[5]trip_summary_region!H773</f>
        <v>0.46613795159999999</v>
      </c>
      <c r="I773" t="str">
        <f>[5]trip_summary_region!I773</f>
        <v>Air/Non-Local PT</v>
      </c>
      <c r="J773" t="str">
        <f>[5]trip_summary_region!J773</f>
        <v>2017/18</v>
      </c>
    </row>
    <row r="774" spans="1:10" x14ac:dyDescent="0.25">
      <c r="A774" t="str">
        <f>[5]trip_summary_region!A774</f>
        <v>10 NELS-MARLB-TAS</v>
      </c>
      <c r="B774">
        <f>[5]trip_summary_region!B774</f>
        <v>10</v>
      </c>
      <c r="C774">
        <f>[5]trip_summary_region!C774</f>
        <v>2023</v>
      </c>
      <c r="D774">
        <f>[5]trip_summary_region!D774</f>
        <v>11</v>
      </c>
      <c r="E774">
        <f>[5]trip_summary_region!E774</f>
        <v>13</v>
      </c>
      <c r="F774">
        <f>[5]trip_summary_region!F774</f>
        <v>0.41210854740000002</v>
      </c>
      <c r="G774">
        <f>[5]trip_summary_region!G774</f>
        <v>0</v>
      </c>
      <c r="H774">
        <f>[5]trip_summary_region!H774</f>
        <v>0.47248051590000001</v>
      </c>
      <c r="I774" t="str">
        <f>[5]trip_summary_region!I774</f>
        <v>Air/Non-Local PT</v>
      </c>
      <c r="J774" t="str">
        <f>[5]trip_summary_region!J774</f>
        <v>2022/23</v>
      </c>
    </row>
    <row r="775" spans="1:10" x14ac:dyDescent="0.25">
      <c r="A775" t="str">
        <f>[5]trip_summary_region!A775</f>
        <v>10 NELS-MARLB-TAS</v>
      </c>
      <c r="B775">
        <f>[5]trip_summary_region!B775</f>
        <v>10</v>
      </c>
      <c r="C775">
        <f>[5]trip_summary_region!C775</f>
        <v>2028</v>
      </c>
      <c r="D775">
        <f>[5]trip_summary_region!D775</f>
        <v>11</v>
      </c>
      <c r="E775">
        <f>[5]trip_summary_region!E775</f>
        <v>13</v>
      </c>
      <c r="F775">
        <f>[5]trip_summary_region!F775</f>
        <v>0.420189374</v>
      </c>
      <c r="G775">
        <f>[5]trip_summary_region!G775</f>
        <v>0</v>
      </c>
      <c r="H775">
        <f>[5]trip_summary_region!H775</f>
        <v>0.46967324049999998</v>
      </c>
      <c r="I775" t="str">
        <f>[5]trip_summary_region!I775</f>
        <v>Air/Non-Local PT</v>
      </c>
      <c r="J775" t="str">
        <f>[5]trip_summary_region!J775</f>
        <v>2027/28</v>
      </c>
    </row>
    <row r="776" spans="1:10" x14ac:dyDescent="0.25">
      <c r="A776" t="str">
        <f>[5]trip_summary_region!A776</f>
        <v>10 NELS-MARLB-TAS</v>
      </c>
      <c r="B776">
        <f>[5]trip_summary_region!B776</f>
        <v>10</v>
      </c>
      <c r="C776">
        <f>[5]trip_summary_region!C776</f>
        <v>2033</v>
      </c>
      <c r="D776">
        <f>[5]trip_summary_region!D776</f>
        <v>11</v>
      </c>
      <c r="E776">
        <f>[5]trip_summary_region!E776</f>
        <v>13</v>
      </c>
      <c r="F776">
        <f>[5]trip_summary_region!F776</f>
        <v>0.42658861529999997</v>
      </c>
      <c r="G776">
        <f>[5]trip_summary_region!G776</f>
        <v>0</v>
      </c>
      <c r="H776">
        <f>[5]trip_summary_region!H776</f>
        <v>0.44801607710000002</v>
      </c>
      <c r="I776" t="str">
        <f>[5]trip_summary_region!I776</f>
        <v>Air/Non-Local PT</v>
      </c>
      <c r="J776" t="str">
        <f>[5]trip_summary_region!J776</f>
        <v>2032/33</v>
      </c>
    </row>
    <row r="777" spans="1:10" x14ac:dyDescent="0.25">
      <c r="A777" t="str">
        <f>[5]trip_summary_region!A777</f>
        <v>10 NELS-MARLB-TAS</v>
      </c>
      <c r="B777">
        <f>[5]trip_summary_region!B777</f>
        <v>10</v>
      </c>
      <c r="C777">
        <f>[5]trip_summary_region!C777</f>
        <v>2038</v>
      </c>
      <c r="D777">
        <f>[5]trip_summary_region!D777</f>
        <v>11</v>
      </c>
      <c r="E777">
        <f>[5]trip_summary_region!E777</f>
        <v>13</v>
      </c>
      <c r="F777">
        <f>[5]trip_summary_region!F777</f>
        <v>0.42670529540000002</v>
      </c>
      <c r="G777">
        <f>[5]trip_summary_region!G777</f>
        <v>0</v>
      </c>
      <c r="H777">
        <f>[5]trip_summary_region!H777</f>
        <v>0.41285278710000001</v>
      </c>
      <c r="I777" t="str">
        <f>[5]trip_summary_region!I777</f>
        <v>Air/Non-Local PT</v>
      </c>
      <c r="J777" t="str">
        <f>[5]trip_summary_region!J777</f>
        <v>2037/38</v>
      </c>
    </row>
    <row r="778" spans="1:10" x14ac:dyDescent="0.25">
      <c r="A778" t="str">
        <f>[5]trip_summary_region!A778</f>
        <v>10 NELS-MARLB-TAS</v>
      </c>
      <c r="B778">
        <f>[5]trip_summary_region!B778</f>
        <v>10</v>
      </c>
      <c r="C778">
        <f>[5]trip_summary_region!C778</f>
        <v>2043</v>
      </c>
      <c r="D778">
        <f>[5]trip_summary_region!D778</f>
        <v>11</v>
      </c>
      <c r="E778">
        <f>[5]trip_summary_region!E778</f>
        <v>13</v>
      </c>
      <c r="F778">
        <f>[5]trip_summary_region!F778</f>
        <v>0.4257004311</v>
      </c>
      <c r="G778">
        <f>[5]trip_summary_region!G778</f>
        <v>0</v>
      </c>
      <c r="H778">
        <f>[5]trip_summary_region!H778</f>
        <v>0.38090082199999997</v>
      </c>
      <c r="I778" t="str">
        <f>[5]trip_summary_region!I778</f>
        <v>Air/Non-Local PT</v>
      </c>
      <c r="J778" t="str">
        <f>[5]trip_summary_region!J778</f>
        <v>2042/43</v>
      </c>
    </row>
    <row r="779" spans="1:10" x14ac:dyDescent="0.25">
      <c r="A779" t="str">
        <f>[5]trip_summary_region!A779</f>
        <v>10 NELS-MARLB-TAS</v>
      </c>
      <c r="B779">
        <f>[5]trip_summary_region!B779</f>
        <v>11</v>
      </c>
      <c r="C779">
        <f>[5]trip_summary_region!C779</f>
        <v>2013</v>
      </c>
      <c r="D779">
        <f>[5]trip_summary_region!D779</f>
        <v>10</v>
      </c>
      <c r="E779">
        <f>[5]trip_summary_region!E779</f>
        <v>59</v>
      </c>
      <c r="F779">
        <f>[5]trip_summary_region!F779</f>
        <v>1.9294573958000001</v>
      </c>
      <c r="G779">
        <f>[5]trip_summary_region!G779</f>
        <v>30.128221894999999</v>
      </c>
      <c r="H779">
        <f>[5]trip_summary_region!H779</f>
        <v>0.79809006319999998</v>
      </c>
      <c r="I779" t="str">
        <f>[5]trip_summary_region!I779</f>
        <v>Non-Household Travel</v>
      </c>
      <c r="J779" t="str">
        <f>[5]trip_summary_region!J779</f>
        <v>2012/13</v>
      </c>
    </row>
    <row r="780" spans="1:10" x14ac:dyDescent="0.25">
      <c r="A780" t="str">
        <f>[5]trip_summary_region!A780</f>
        <v>10 NELS-MARLB-TAS</v>
      </c>
      <c r="B780">
        <f>[5]trip_summary_region!B780</f>
        <v>11</v>
      </c>
      <c r="C780">
        <f>[5]trip_summary_region!C780</f>
        <v>2018</v>
      </c>
      <c r="D780">
        <f>[5]trip_summary_region!D780</f>
        <v>10</v>
      </c>
      <c r="E780">
        <f>[5]trip_summary_region!E780</f>
        <v>59</v>
      </c>
      <c r="F780">
        <f>[5]trip_summary_region!F780</f>
        <v>1.7953095885999999</v>
      </c>
      <c r="G780">
        <f>[5]trip_summary_region!G780</f>
        <v>30.770294766999999</v>
      </c>
      <c r="H780">
        <f>[5]trip_summary_region!H780</f>
        <v>0.80546878879999995</v>
      </c>
      <c r="I780" t="str">
        <f>[5]trip_summary_region!I780</f>
        <v>Non-Household Travel</v>
      </c>
      <c r="J780" t="str">
        <f>[5]trip_summary_region!J780</f>
        <v>2017/18</v>
      </c>
    </row>
    <row r="781" spans="1:10" x14ac:dyDescent="0.25">
      <c r="A781" t="str">
        <f>[5]trip_summary_region!A781</f>
        <v>10 NELS-MARLB-TAS</v>
      </c>
      <c r="B781">
        <f>[5]trip_summary_region!B781</f>
        <v>11</v>
      </c>
      <c r="C781">
        <f>[5]trip_summary_region!C781</f>
        <v>2023</v>
      </c>
      <c r="D781">
        <f>[5]trip_summary_region!D781</f>
        <v>10</v>
      </c>
      <c r="E781">
        <f>[5]trip_summary_region!E781</f>
        <v>59</v>
      </c>
      <c r="F781">
        <f>[5]trip_summary_region!F781</f>
        <v>1.6252712969000001</v>
      </c>
      <c r="G781">
        <f>[5]trip_summary_region!G781</f>
        <v>30.20281211</v>
      </c>
      <c r="H781">
        <f>[5]trip_summary_region!H781</f>
        <v>0.77744629170000001</v>
      </c>
      <c r="I781" t="str">
        <f>[5]trip_summary_region!I781</f>
        <v>Non-Household Travel</v>
      </c>
      <c r="J781" t="str">
        <f>[5]trip_summary_region!J781</f>
        <v>2022/23</v>
      </c>
    </row>
    <row r="782" spans="1:10" x14ac:dyDescent="0.25">
      <c r="A782" t="str">
        <f>[5]trip_summary_region!A782</f>
        <v>10 NELS-MARLB-TAS</v>
      </c>
      <c r="B782">
        <f>[5]trip_summary_region!B782</f>
        <v>11</v>
      </c>
      <c r="C782">
        <f>[5]trip_summary_region!C782</f>
        <v>2028</v>
      </c>
      <c r="D782">
        <f>[5]trip_summary_region!D782</f>
        <v>10</v>
      </c>
      <c r="E782">
        <f>[5]trip_summary_region!E782</f>
        <v>59</v>
      </c>
      <c r="F782">
        <f>[5]trip_summary_region!F782</f>
        <v>1.5107051443999999</v>
      </c>
      <c r="G782">
        <f>[5]trip_summary_region!G782</f>
        <v>28.420698623</v>
      </c>
      <c r="H782">
        <f>[5]trip_summary_region!H782</f>
        <v>0.72626302809999999</v>
      </c>
      <c r="I782" t="str">
        <f>[5]trip_summary_region!I782</f>
        <v>Non-Household Travel</v>
      </c>
      <c r="J782" t="str">
        <f>[5]trip_summary_region!J782</f>
        <v>2027/28</v>
      </c>
    </row>
    <row r="783" spans="1:10" x14ac:dyDescent="0.25">
      <c r="A783" t="str">
        <f>[5]trip_summary_region!A783</f>
        <v>10 NELS-MARLB-TAS</v>
      </c>
      <c r="B783">
        <f>[5]trip_summary_region!B783</f>
        <v>11</v>
      </c>
      <c r="C783">
        <f>[5]trip_summary_region!C783</f>
        <v>2033</v>
      </c>
      <c r="D783">
        <f>[5]trip_summary_region!D783</f>
        <v>10</v>
      </c>
      <c r="E783">
        <f>[5]trip_summary_region!E783</f>
        <v>59</v>
      </c>
      <c r="F783">
        <f>[5]trip_summary_region!F783</f>
        <v>1.4709145977</v>
      </c>
      <c r="G783">
        <f>[5]trip_summary_region!G783</f>
        <v>26.117119672000001</v>
      </c>
      <c r="H783">
        <f>[5]trip_summary_region!H783</f>
        <v>0.67269017769999995</v>
      </c>
      <c r="I783" t="str">
        <f>[5]trip_summary_region!I783</f>
        <v>Non-Household Travel</v>
      </c>
      <c r="J783" t="str">
        <f>[5]trip_summary_region!J783</f>
        <v>2032/33</v>
      </c>
    </row>
    <row r="784" spans="1:10" x14ac:dyDescent="0.25">
      <c r="A784" t="str">
        <f>[5]trip_summary_region!A784</f>
        <v>10 NELS-MARLB-TAS</v>
      </c>
      <c r="B784">
        <f>[5]trip_summary_region!B784</f>
        <v>11</v>
      </c>
      <c r="C784">
        <f>[5]trip_summary_region!C784</f>
        <v>2038</v>
      </c>
      <c r="D784">
        <f>[5]trip_summary_region!D784</f>
        <v>10</v>
      </c>
      <c r="E784">
        <f>[5]trip_summary_region!E784</f>
        <v>59</v>
      </c>
      <c r="F784">
        <f>[5]trip_summary_region!F784</f>
        <v>1.5200622892</v>
      </c>
      <c r="G784">
        <f>[5]trip_summary_region!G784</f>
        <v>23.797450974</v>
      </c>
      <c r="H784">
        <f>[5]trip_summary_region!H784</f>
        <v>0.62744499050000002</v>
      </c>
      <c r="I784" t="str">
        <f>[5]trip_summary_region!I784</f>
        <v>Non-Household Travel</v>
      </c>
      <c r="J784" t="str">
        <f>[5]trip_summary_region!J784</f>
        <v>2037/38</v>
      </c>
    </row>
    <row r="785" spans="1:10" x14ac:dyDescent="0.25">
      <c r="A785" t="str">
        <f>[5]trip_summary_region!A785</f>
        <v>10 NELS-MARLB-TAS</v>
      </c>
      <c r="B785">
        <f>[5]trip_summary_region!B785</f>
        <v>11</v>
      </c>
      <c r="C785">
        <f>[5]trip_summary_region!C785</f>
        <v>2043</v>
      </c>
      <c r="D785">
        <f>[5]trip_summary_region!D785</f>
        <v>10</v>
      </c>
      <c r="E785">
        <f>[5]trip_summary_region!E785</f>
        <v>59</v>
      </c>
      <c r="F785">
        <f>[5]trip_summary_region!F785</f>
        <v>1.5480158654</v>
      </c>
      <c r="G785">
        <f>[5]trip_summary_region!G785</f>
        <v>21.549968978999999</v>
      </c>
      <c r="H785">
        <f>[5]trip_summary_region!H785</f>
        <v>0.58120924210000002</v>
      </c>
      <c r="I785" t="str">
        <f>[5]trip_summary_region!I785</f>
        <v>Non-Household Travel</v>
      </c>
      <c r="J785" t="str">
        <f>[5]trip_summary_region!J785</f>
        <v>2042/43</v>
      </c>
    </row>
    <row r="786" spans="1:10" x14ac:dyDescent="0.25">
      <c r="A786" t="str">
        <f>[5]trip_summary_region!A786</f>
        <v>12 WEST COAST</v>
      </c>
      <c r="B786">
        <f>[5]trip_summary_region!B786</f>
        <v>0</v>
      </c>
      <c r="C786">
        <f>[5]trip_summary_region!C786</f>
        <v>2013</v>
      </c>
      <c r="D786">
        <f>[5]trip_summary_region!D786</f>
        <v>145</v>
      </c>
      <c r="E786">
        <f>[5]trip_summary_region!E786</f>
        <v>451</v>
      </c>
      <c r="F786">
        <f>[5]trip_summary_region!F786</f>
        <v>5.2699511529</v>
      </c>
      <c r="G786">
        <f>[5]trip_summary_region!G786</f>
        <v>4.6474841125999999</v>
      </c>
      <c r="H786">
        <f>[5]trip_summary_region!H786</f>
        <v>1.1518220776999999</v>
      </c>
      <c r="I786" t="str">
        <f>[5]trip_summary_region!I786</f>
        <v>Pedestrian</v>
      </c>
      <c r="J786" t="str">
        <f>[5]trip_summary_region!J786</f>
        <v>2012/13</v>
      </c>
    </row>
    <row r="787" spans="1:10" x14ac:dyDescent="0.25">
      <c r="A787" t="str">
        <f>[5]trip_summary_region!A787</f>
        <v>12 WEST COAST</v>
      </c>
      <c r="B787">
        <f>[5]trip_summary_region!B787</f>
        <v>0</v>
      </c>
      <c r="C787">
        <f>[5]trip_summary_region!C787</f>
        <v>2018</v>
      </c>
      <c r="D787">
        <f>[5]trip_summary_region!D787</f>
        <v>145</v>
      </c>
      <c r="E787">
        <f>[5]trip_summary_region!E787</f>
        <v>451</v>
      </c>
      <c r="F787">
        <f>[5]trip_summary_region!F787</f>
        <v>4.8971719419999999</v>
      </c>
      <c r="G787">
        <f>[5]trip_summary_region!G787</f>
        <v>4.4036516173000004</v>
      </c>
      <c r="H787">
        <f>[5]trip_summary_region!H787</f>
        <v>1.1045135034</v>
      </c>
      <c r="I787" t="str">
        <f>[5]trip_summary_region!I787</f>
        <v>Pedestrian</v>
      </c>
      <c r="J787" t="str">
        <f>[5]trip_summary_region!J787</f>
        <v>2017/18</v>
      </c>
    </row>
    <row r="788" spans="1:10" x14ac:dyDescent="0.25">
      <c r="A788" t="str">
        <f>[5]trip_summary_region!A788</f>
        <v>12 WEST COAST</v>
      </c>
      <c r="B788">
        <f>[5]trip_summary_region!B788</f>
        <v>0</v>
      </c>
      <c r="C788">
        <f>[5]trip_summary_region!C788</f>
        <v>2023</v>
      </c>
      <c r="D788">
        <f>[5]trip_summary_region!D788</f>
        <v>145</v>
      </c>
      <c r="E788">
        <f>[5]trip_summary_region!E788</f>
        <v>451</v>
      </c>
      <c r="F788">
        <f>[5]trip_summary_region!F788</f>
        <v>4.4243053725000001</v>
      </c>
      <c r="G788">
        <f>[5]trip_summary_region!G788</f>
        <v>4.0114813512999996</v>
      </c>
      <c r="H788">
        <f>[5]trip_summary_region!H788</f>
        <v>1.0206355013999999</v>
      </c>
      <c r="I788" t="str">
        <f>[5]trip_summary_region!I788</f>
        <v>Pedestrian</v>
      </c>
      <c r="J788" t="str">
        <f>[5]trip_summary_region!J788</f>
        <v>2022/23</v>
      </c>
    </row>
    <row r="789" spans="1:10" x14ac:dyDescent="0.25">
      <c r="A789" t="str">
        <f>[5]trip_summary_region!A789</f>
        <v>12 WEST COAST</v>
      </c>
      <c r="B789">
        <f>[5]trip_summary_region!B789</f>
        <v>0</v>
      </c>
      <c r="C789">
        <f>[5]trip_summary_region!C789</f>
        <v>2028</v>
      </c>
      <c r="D789">
        <f>[5]trip_summary_region!D789</f>
        <v>145</v>
      </c>
      <c r="E789">
        <f>[5]trip_summary_region!E789</f>
        <v>451</v>
      </c>
      <c r="F789">
        <f>[5]trip_summary_region!F789</f>
        <v>4.0880509228999999</v>
      </c>
      <c r="G789">
        <f>[5]trip_summary_region!G789</f>
        <v>3.797880492</v>
      </c>
      <c r="H789">
        <f>[5]trip_summary_region!H789</f>
        <v>0.97248027240000001</v>
      </c>
      <c r="I789" t="str">
        <f>[5]trip_summary_region!I789</f>
        <v>Pedestrian</v>
      </c>
      <c r="J789" t="str">
        <f>[5]trip_summary_region!J789</f>
        <v>2027/28</v>
      </c>
    </row>
    <row r="790" spans="1:10" x14ac:dyDescent="0.25">
      <c r="A790" t="str">
        <f>[5]trip_summary_region!A790</f>
        <v>12 WEST COAST</v>
      </c>
      <c r="B790">
        <f>[5]trip_summary_region!B790</f>
        <v>0</v>
      </c>
      <c r="C790">
        <f>[5]trip_summary_region!C790</f>
        <v>2033</v>
      </c>
      <c r="D790">
        <f>[5]trip_summary_region!D790</f>
        <v>145</v>
      </c>
      <c r="E790">
        <f>[5]trip_summary_region!E790</f>
        <v>451</v>
      </c>
      <c r="F790">
        <f>[5]trip_summary_region!F790</f>
        <v>3.7489539073999998</v>
      </c>
      <c r="G790">
        <f>[5]trip_summary_region!G790</f>
        <v>3.5674526892</v>
      </c>
      <c r="H790">
        <f>[5]trip_summary_region!H790</f>
        <v>0.91566530140000002</v>
      </c>
      <c r="I790" t="str">
        <f>[5]trip_summary_region!I790</f>
        <v>Pedestrian</v>
      </c>
      <c r="J790" t="str">
        <f>[5]trip_summary_region!J790</f>
        <v>2032/33</v>
      </c>
    </row>
    <row r="791" spans="1:10" x14ac:dyDescent="0.25">
      <c r="A791" t="str">
        <f>[5]trip_summary_region!A791</f>
        <v>12 WEST COAST</v>
      </c>
      <c r="B791">
        <f>[5]trip_summary_region!B791</f>
        <v>0</v>
      </c>
      <c r="C791">
        <f>[5]trip_summary_region!C791</f>
        <v>2038</v>
      </c>
      <c r="D791">
        <f>[5]trip_summary_region!D791</f>
        <v>145</v>
      </c>
      <c r="E791">
        <f>[5]trip_summary_region!E791</f>
        <v>451</v>
      </c>
      <c r="F791">
        <f>[5]trip_summary_region!F791</f>
        <v>3.4247532602000001</v>
      </c>
      <c r="G791">
        <f>[5]trip_summary_region!G791</f>
        <v>3.3447319767999999</v>
      </c>
      <c r="H791">
        <f>[5]trip_summary_region!H791</f>
        <v>0.85890678330000003</v>
      </c>
      <c r="I791" t="str">
        <f>[5]trip_summary_region!I791</f>
        <v>Pedestrian</v>
      </c>
      <c r="J791" t="str">
        <f>[5]trip_summary_region!J791</f>
        <v>2037/38</v>
      </c>
    </row>
    <row r="792" spans="1:10" x14ac:dyDescent="0.25">
      <c r="A792" t="str">
        <f>[5]trip_summary_region!A792</f>
        <v>12 WEST COAST</v>
      </c>
      <c r="B792">
        <f>[5]trip_summary_region!B792</f>
        <v>0</v>
      </c>
      <c r="C792">
        <f>[5]trip_summary_region!C792</f>
        <v>2043</v>
      </c>
      <c r="D792">
        <f>[5]trip_summary_region!D792</f>
        <v>145</v>
      </c>
      <c r="E792">
        <f>[5]trip_summary_region!E792</f>
        <v>451</v>
      </c>
      <c r="F792">
        <f>[5]trip_summary_region!F792</f>
        <v>3.1530552308000002</v>
      </c>
      <c r="G792">
        <f>[5]trip_summary_region!G792</f>
        <v>3.1620964855000002</v>
      </c>
      <c r="H792">
        <f>[5]trip_summary_region!H792</f>
        <v>0.81030989580000001</v>
      </c>
      <c r="I792" t="str">
        <f>[5]trip_summary_region!I792</f>
        <v>Pedestrian</v>
      </c>
      <c r="J792" t="str">
        <f>[5]trip_summary_region!J792</f>
        <v>2042/43</v>
      </c>
    </row>
    <row r="793" spans="1:10" x14ac:dyDescent="0.25">
      <c r="A793" t="str">
        <f>[5]trip_summary_region!A793</f>
        <v>12 WEST COAST</v>
      </c>
      <c r="B793">
        <f>[5]trip_summary_region!B793</f>
        <v>1</v>
      </c>
      <c r="C793">
        <f>[5]trip_summary_region!C793</f>
        <v>2013</v>
      </c>
      <c r="D793">
        <f>[5]trip_summary_region!D793</f>
        <v>23</v>
      </c>
      <c r="E793">
        <f>[5]trip_summary_region!E793</f>
        <v>75</v>
      </c>
      <c r="F793">
        <f>[5]trip_summary_region!F793</f>
        <v>0.73381292249999996</v>
      </c>
      <c r="G793">
        <f>[5]trip_summary_region!G793</f>
        <v>1.9571055828999999</v>
      </c>
      <c r="H793">
        <f>[5]trip_summary_region!H793</f>
        <v>0.17528853950000001</v>
      </c>
      <c r="I793" t="str">
        <f>[5]trip_summary_region!I793</f>
        <v>Cyclist</v>
      </c>
      <c r="J793" t="str">
        <f>[5]trip_summary_region!J793</f>
        <v>2012/13</v>
      </c>
    </row>
    <row r="794" spans="1:10" x14ac:dyDescent="0.25">
      <c r="A794" t="str">
        <f>[5]trip_summary_region!A794</f>
        <v>12 WEST COAST</v>
      </c>
      <c r="B794">
        <f>[5]trip_summary_region!B794</f>
        <v>1</v>
      </c>
      <c r="C794">
        <f>[5]trip_summary_region!C794</f>
        <v>2018</v>
      </c>
      <c r="D794">
        <f>[5]trip_summary_region!D794</f>
        <v>23</v>
      </c>
      <c r="E794">
        <f>[5]trip_summary_region!E794</f>
        <v>75</v>
      </c>
      <c r="F794">
        <f>[5]trip_summary_region!F794</f>
        <v>0.7045123807</v>
      </c>
      <c r="G794">
        <f>[5]trip_summary_region!G794</f>
        <v>1.9602378965</v>
      </c>
      <c r="H794">
        <f>[5]trip_summary_region!H794</f>
        <v>0.16907585429999999</v>
      </c>
      <c r="I794" t="str">
        <f>[5]trip_summary_region!I794</f>
        <v>Cyclist</v>
      </c>
      <c r="J794" t="str">
        <f>[5]trip_summary_region!J794</f>
        <v>2017/18</v>
      </c>
    </row>
    <row r="795" spans="1:10" x14ac:dyDescent="0.25">
      <c r="A795" t="str">
        <f>[5]trip_summary_region!A795</f>
        <v>12 WEST COAST</v>
      </c>
      <c r="B795">
        <f>[5]trip_summary_region!B795</f>
        <v>1</v>
      </c>
      <c r="C795">
        <f>[5]trip_summary_region!C795</f>
        <v>2023</v>
      </c>
      <c r="D795">
        <f>[5]trip_summary_region!D795</f>
        <v>23</v>
      </c>
      <c r="E795">
        <f>[5]trip_summary_region!E795</f>
        <v>75</v>
      </c>
      <c r="F795">
        <f>[5]trip_summary_region!F795</f>
        <v>0.65592883639999999</v>
      </c>
      <c r="G795">
        <f>[5]trip_summary_region!G795</f>
        <v>1.8980732244</v>
      </c>
      <c r="H795">
        <f>[5]trip_summary_region!H795</f>
        <v>0.1587344114</v>
      </c>
      <c r="I795" t="str">
        <f>[5]trip_summary_region!I795</f>
        <v>Cyclist</v>
      </c>
      <c r="J795" t="str">
        <f>[5]trip_summary_region!J795</f>
        <v>2022/23</v>
      </c>
    </row>
    <row r="796" spans="1:10" x14ac:dyDescent="0.25">
      <c r="A796" t="str">
        <f>[5]trip_summary_region!A796</f>
        <v>12 WEST COAST</v>
      </c>
      <c r="B796">
        <f>[5]trip_summary_region!B796</f>
        <v>1</v>
      </c>
      <c r="C796">
        <f>[5]trip_summary_region!C796</f>
        <v>2028</v>
      </c>
      <c r="D796">
        <f>[5]trip_summary_region!D796</f>
        <v>23</v>
      </c>
      <c r="E796">
        <f>[5]trip_summary_region!E796</f>
        <v>75</v>
      </c>
      <c r="F796">
        <f>[5]trip_summary_region!F796</f>
        <v>0.6304516885</v>
      </c>
      <c r="G796">
        <f>[5]trip_summary_region!G796</f>
        <v>1.8096679818000001</v>
      </c>
      <c r="H796">
        <f>[5]trip_summary_region!H796</f>
        <v>0.14992278340000001</v>
      </c>
      <c r="I796" t="str">
        <f>[5]trip_summary_region!I796</f>
        <v>Cyclist</v>
      </c>
      <c r="J796" t="str">
        <f>[5]trip_summary_region!J796</f>
        <v>2027/28</v>
      </c>
    </row>
    <row r="797" spans="1:10" x14ac:dyDescent="0.25">
      <c r="A797" t="str">
        <f>[5]trip_summary_region!A797</f>
        <v>12 WEST COAST</v>
      </c>
      <c r="B797">
        <f>[5]trip_summary_region!B797</f>
        <v>1</v>
      </c>
      <c r="C797">
        <f>[5]trip_summary_region!C797</f>
        <v>2033</v>
      </c>
      <c r="D797">
        <f>[5]trip_summary_region!D797</f>
        <v>23</v>
      </c>
      <c r="E797">
        <f>[5]trip_summary_region!E797</f>
        <v>75</v>
      </c>
      <c r="F797">
        <f>[5]trip_summary_region!F797</f>
        <v>0.581820051</v>
      </c>
      <c r="G797">
        <f>[5]trip_summary_region!G797</f>
        <v>1.7304941193000001</v>
      </c>
      <c r="H797">
        <f>[5]trip_summary_region!H797</f>
        <v>0.13901431689999999</v>
      </c>
      <c r="I797" t="str">
        <f>[5]trip_summary_region!I797</f>
        <v>Cyclist</v>
      </c>
      <c r="J797" t="str">
        <f>[5]trip_summary_region!J797</f>
        <v>2032/33</v>
      </c>
    </row>
    <row r="798" spans="1:10" x14ac:dyDescent="0.25">
      <c r="A798" t="str">
        <f>[5]trip_summary_region!A798</f>
        <v>12 WEST COAST</v>
      </c>
      <c r="B798">
        <f>[5]trip_summary_region!B798</f>
        <v>1</v>
      </c>
      <c r="C798">
        <f>[5]trip_summary_region!C798</f>
        <v>2038</v>
      </c>
      <c r="D798">
        <f>[5]trip_summary_region!D798</f>
        <v>23</v>
      </c>
      <c r="E798">
        <f>[5]trip_summary_region!E798</f>
        <v>75</v>
      </c>
      <c r="F798">
        <f>[5]trip_summary_region!F798</f>
        <v>0.5422196105</v>
      </c>
      <c r="G798">
        <f>[5]trip_summary_region!G798</f>
        <v>1.7589072611000001</v>
      </c>
      <c r="H798">
        <f>[5]trip_summary_region!H798</f>
        <v>0.1324652861</v>
      </c>
      <c r="I798" t="str">
        <f>[5]trip_summary_region!I798</f>
        <v>Cyclist</v>
      </c>
      <c r="J798" t="str">
        <f>[5]trip_summary_region!J798</f>
        <v>2037/38</v>
      </c>
    </row>
    <row r="799" spans="1:10" x14ac:dyDescent="0.25">
      <c r="A799" t="str">
        <f>[5]trip_summary_region!A799</f>
        <v>12 WEST COAST</v>
      </c>
      <c r="B799">
        <f>[5]trip_summary_region!B799</f>
        <v>1</v>
      </c>
      <c r="C799">
        <f>[5]trip_summary_region!C799</f>
        <v>2043</v>
      </c>
      <c r="D799">
        <f>[5]trip_summary_region!D799</f>
        <v>23</v>
      </c>
      <c r="E799">
        <f>[5]trip_summary_region!E799</f>
        <v>75</v>
      </c>
      <c r="F799">
        <f>[5]trip_summary_region!F799</f>
        <v>0.50170419190000004</v>
      </c>
      <c r="G799">
        <f>[5]trip_summary_region!G799</f>
        <v>1.7744572251999999</v>
      </c>
      <c r="H799">
        <f>[5]trip_summary_region!H799</f>
        <v>0.12561356639999999</v>
      </c>
      <c r="I799" t="str">
        <f>[5]trip_summary_region!I799</f>
        <v>Cyclist</v>
      </c>
      <c r="J799" t="str">
        <f>[5]trip_summary_region!J799</f>
        <v>2042/43</v>
      </c>
    </row>
    <row r="800" spans="1:10" x14ac:dyDescent="0.25">
      <c r="A800" t="str">
        <f>[5]trip_summary_region!A800</f>
        <v>12 WEST COAST</v>
      </c>
      <c r="B800">
        <f>[5]trip_summary_region!B800</f>
        <v>2</v>
      </c>
      <c r="C800">
        <f>[5]trip_summary_region!C800</f>
        <v>2013</v>
      </c>
      <c r="D800">
        <f>[5]trip_summary_region!D800</f>
        <v>269</v>
      </c>
      <c r="E800">
        <f>[5]trip_summary_region!E800</f>
        <v>1828</v>
      </c>
      <c r="F800">
        <f>[5]trip_summary_region!F800</f>
        <v>21.329902885999999</v>
      </c>
      <c r="G800">
        <f>[5]trip_summary_region!G800</f>
        <v>226.22434741999999</v>
      </c>
      <c r="H800">
        <f>[5]trip_summary_region!H800</f>
        <v>5.0852916584000001</v>
      </c>
      <c r="I800" t="str">
        <f>[5]trip_summary_region!I800</f>
        <v>Light Vehicle Driver</v>
      </c>
      <c r="J800" t="str">
        <f>[5]trip_summary_region!J800</f>
        <v>2012/13</v>
      </c>
    </row>
    <row r="801" spans="1:10" x14ac:dyDescent="0.25">
      <c r="A801" t="str">
        <f>[5]trip_summary_region!A801</f>
        <v>12 WEST COAST</v>
      </c>
      <c r="B801">
        <f>[5]trip_summary_region!B801</f>
        <v>2</v>
      </c>
      <c r="C801">
        <f>[5]trip_summary_region!C801</f>
        <v>2018</v>
      </c>
      <c r="D801">
        <f>[5]trip_summary_region!D801</f>
        <v>269</v>
      </c>
      <c r="E801">
        <f>[5]trip_summary_region!E801</f>
        <v>1828</v>
      </c>
      <c r="F801">
        <f>[5]trip_summary_region!F801</f>
        <v>20.953896258</v>
      </c>
      <c r="G801">
        <f>[5]trip_summary_region!G801</f>
        <v>226.76919437999999</v>
      </c>
      <c r="H801">
        <f>[5]trip_summary_region!H801</f>
        <v>5.0606306735000004</v>
      </c>
      <c r="I801" t="str">
        <f>[5]trip_summary_region!I801</f>
        <v>Light Vehicle Driver</v>
      </c>
      <c r="J801" t="str">
        <f>[5]trip_summary_region!J801</f>
        <v>2017/18</v>
      </c>
    </row>
    <row r="802" spans="1:10" x14ac:dyDescent="0.25">
      <c r="A802" t="str">
        <f>[5]trip_summary_region!A802</f>
        <v>12 WEST COAST</v>
      </c>
      <c r="B802">
        <f>[5]trip_summary_region!B802</f>
        <v>2</v>
      </c>
      <c r="C802">
        <f>[5]trip_summary_region!C802</f>
        <v>2023</v>
      </c>
      <c r="D802">
        <f>[5]trip_summary_region!D802</f>
        <v>269</v>
      </c>
      <c r="E802">
        <f>[5]trip_summary_region!E802</f>
        <v>1828</v>
      </c>
      <c r="F802">
        <f>[5]trip_summary_region!F802</f>
        <v>19.757387843</v>
      </c>
      <c r="G802">
        <f>[5]trip_summary_region!G802</f>
        <v>218.47035701999999</v>
      </c>
      <c r="H802">
        <f>[5]trip_summary_region!H802</f>
        <v>4.8319052183000002</v>
      </c>
      <c r="I802" t="str">
        <f>[5]trip_summary_region!I802</f>
        <v>Light Vehicle Driver</v>
      </c>
      <c r="J802" t="str">
        <f>[5]trip_summary_region!J802</f>
        <v>2022/23</v>
      </c>
    </row>
    <row r="803" spans="1:10" x14ac:dyDescent="0.25">
      <c r="A803" t="str">
        <f>[5]trip_summary_region!A803</f>
        <v>12 WEST COAST</v>
      </c>
      <c r="B803">
        <f>[5]trip_summary_region!B803</f>
        <v>2</v>
      </c>
      <c r="C803">
        <f>[5]trip_summary_region!C803</f>
        <v>2028</v>
      </c>
      <c r="D803">
        <f>[5]trip_summary_region!D803</f>
        <v>269</v>
      </c>
      <c r="E803">
        <f>[5]trip_summary_region!E803</f>
        <v>1828</v>
      </c>
      <c r="F803">
        <f>[5]trip_summary_region!F803</f>
        <v>19.190715725</v>
      </c>
      <c r="G803">
        <f>[5]trip_summary_region!G803</f>
        <v>214.79120030000001</v>
      </c>
      <c r="H803">
        <f>[5]trip_summary_region!H803</f>
        <v>4.7289966861000003</v>
      </c>
      <c r="I803" t="str">
        <f>[5]trip_summary_region!I803</f>
        <v>Light Vehicle Driver</v>
      </c>
      <c r="J803" t="str">
        <f>[5]trip_summary_region!J803</f>
        <v>2027/28</v>
      </c>
    </row>
    <row r="804" spans="1:10" x14ac:dyDescent="0.25">
      <c r="A804" t="str">
        <f>[5]trip_summary_region!A804</f>
        <v>12 WEST COAST</v>
      </c>
      <c r="B804">
        <f>[5]trip_summary_region!B804</f>
        <v>2</v>
      </c>
      <c r="C804">
        <f>[5]trip_summary_region!C804</f>
        <v>2033</v>
      </c>
      <c r="D804">
        <f>[5]trip_summary_region!D804</f>
        <v>269</v>
      </c>
      <c r="E804">
        <f>[5]trip_summary_region!E804</f>
        <v>1828</v>
      </c>
      <c r="F804">
        <f>[5]trip_summary_region!F804</f>
        <v>18.305491980999999</v>
      </c>
      <c r="G804">
        <f>[5]trip_summary_region!G804</f>
        <v>206.90045739999999</v>
      </c>
      <c r="H804">
        <f>[5]trip_summary_region!H804</f>
        <v>4.5356870396</v>
      </c>
      <c r="I804" t="str">
        <f>[5]trip_summary_region!I804</f>
        <v>Light Vehicle Driver</v>
      </c>
      <c r="J804" t="str">
        <f>[5]trip_summary_region!J804</f>
        <v>2032/33</v>
      </c>
    </row>
    <row r="805" spans="1:10" x14ac:dyDescent="0.25">
      <c r="A805" t="str">
        <f>[5]trip_summary_region!A805</f>
        <v>12 WEST COAST</v>
      </c>
      <c r="B805">
        <f>[5]trip_summary_region!B805</f>
        <v>2</v>
      </c>
      <c r="C805">
        <f>[5]trip_summary_region!C805</f>
        <v>2038</v>
      </c>
      <c r="D805">
        <f>[5]trip_summary_region!D805</f>
        <v>269</v>
      </c>
      <c r="E805">
        <f>[5]trip_summary_region!E805</f>
        <v>1828</v>
      </c>
      <c r="F805">
        <f>[5]trip_summary_region!F805</f>
        <v>17.691253008</v>
      </c>
      <c r="G805">
        <f>[5]trip_summary_region!G805</f>
        <v>202.86250271</v>
      </c>
      <c r="H805">
        <f>[5]trip_summary_region!H805</f>
        <v>4.4185398068000001</v>
      </c>
      <c r="I805" t="str">
        <f>[5]trip_summary_region!I805</f>
        <v>Light Vehicle Driver</v>
      </c>
      <c r="J805" t="str">
        <f>[5]trip_summary_region!J805</f>
        <v>2037/38</v>
      </c>
    </row>
    <row r="806" spans="1:10" x14ac:dyDescent="0.25">
      <c r="A806" t="str">
        <f>[5]trip_summary_region!A806</f>
        <v>12 WEST COAST</v>
      </c>
      <c r="B806">
        <f>[5]trip_summary_region!B806</f>
        <v>2</v>
      </c>
      <c r="C806">
        <f>[5]trip_summary_region!C806</f>
        <v>2043</v>
      </c>
      <c r="D806">
        <f>[5]trip_summary_region!D806</f>
        <v>269</v>
      </c>
      <c r="E806">
        <f>[5]trip_summary_region!E806</f>
        <v>1828</v>
      </c>
      <c r="F806">
        <f>[5]trip_summary_region!F806</f>
        <v>17.053718071999999</v>
      </c>
      <c r="G806">
        <f>[5]trip_summary_region!G806</f>
        <v>198.86366161999999</v>
      </c>
      <c r="H806">
        <f>[5]trip_summary_region!H806</f>
        <v>4.2975288203000002</v>
      </c>
      <c r="I806" t="str">
        <f>[5]trip_summary_region!I806</f>
        <v>Light Vehicle Driver</v>
      </c>
      <c r="J806" t="str">
        <f>[5]trip_summary_region!J806</f>
        <v>2042/43</v>
      </c>
    </row>
    <row r="807" spans="1:10" x14ac:dyDescent="0.25">
      <c r="A807" t="str">
        <f>[5]trip_summary_region!A807</f>
        <v>12 WEST COAST</v>
      </c>
      <c r="B807">
        <f>[5]trip_summary_region!B807</f>
        <v>3</v>
      </c>
      <c r="C807">
        <f>[5]trip_summary_region!C807</f>
        <v>2013</v>
      </c>
      <c r="D807">
        <f>[5]trip_summary_region!D807</f>
        <v>210</v>
      </c>
      <c r="E807">
        <f>[5]trip_summary_region!E807</f>
        <v>1017</v>
      </c>
      <c r="F807">
        <f>[5]trip_summary_region!F807</f>
        <v>11.090105214999999</v>
      </c>
      <c r="G807">
        <f>[5]trip_summary_region!G807</f>
        <v>160.37072223999999</v>
      </c>
      <c r="H807">
        <f>[5]trip_summary_region!H807</f>
        <v>3.4140139011000001</v>
      </c>
      <c r="I807" t="str">
        <f>[5]trip_summary_region!I807</f>
        <v>Light Vehicle Passenger</v>
      </c>
      <c r="J807" t="str">
        <f>[5]trip_summary_region!J807</f>
        <v>2012/13</v>
      </c>
    </row>
    <row r="808" spans="1:10" x14ac:dyDescent="0.25">
      <c r="A808" t="str">
        <f>[5]trip_summary_region!A808</f>
        <v>12 WEST COAST</v>
      </c>
      <c r="B808">
        <f>[5]trip_summary_region!B808</f>
        <v>3</v>
      </c>
      <c r="C808">
        <f>[5]trip_summary_region!C808</f>
        <v>2018</v>
      </c>
      <c r="D808">
        <f>[5]trip_summary_region!D808</f>
        <v>210</v>
      </c>
      <c r="E808">
        <f>[5]trip_summary_region!E808</f>
        <v>1017</v>
      </c>
      <c r="F808">
        <f>[5]trip_summary_region!F808</f>
        <v>10.306065443</v>
      </c>
      <c r="G808">
        <f>[5]trip_summary_region!G808</f>
        <v>157.36112613</v>
      </c>
      <c r="H808">
        <f>[5]trip_summary_region!H808</f>
        <v>3.3375342696999999</v>
      </c>
      <c r="I808" t="str">
        <f>[5]trip_summary_region!I808</f>
        <v>Light Vehicle Passenger</v>
      </c>
      <c r="J808" t="str">
        <f>[5]trip_summary_region!J808</f>
        <v>2017/18</v>
      </c>
    </row>
    <row r="809" spans="1:10" x14ac:dyDescent="0.25">
      <c r="A809" t="str">
        <f>[5]trip_summary_region!A809</f>
        <v>12 WEST COAST</v>
      </c>
      <c r="B809">
        <f>[5]trip_summary_region!B809</f>
        <v>3</v>
      </c>
      <c r="C809">
        <f>[5]trip_summary_region!C809</f>
        <v>2023</v>
      </c>
      <c r="D809">
        <f>[5]trip_summary_region!D809</f>
        <v>210</v>
      </c>
      <c r="E809">
        <f>[5]trip_summary_region!E809</f>
        <v>1017</v>
      </c>
      <c r="F809">
        <f>[5]trip_summary_region!F809</f>
        <v>9.3868131552000005</v>
      </c>
      <c r="G809">
        <f>[5]trip_summary_region!G809</f>
        <v>147.81246711</v>
      </c>
      <c r="H809">
        <f>[5]trip_summary_region!H809</f>
        <v>3.1416209746999999</v>
      </c>
      <c r="I809" t="str">
        <f>[5]trip_summary_region!I809</f>
        <v>Light Vehicle Passenger</v>
      </c>
      <c r="J809" t="str">
        <f>[5]trip_summary_region!J809</f>
        <v>2022/23</v>
      </c>
    </row>
    <row r="810" spans="1:10" x14ac:dyDescent="0.25">
      <c r="A810" t="str">
        <f>[5]trip_summary_region!A810</f>
        <v>12 WEST COAST</v>
      </c>
      <c r="B810">
        <f>[5]trip_summary_region!B810</f>
        <v>3</v>
      </c>
      <c r="C810">
        <f>[5]trip_summary_region!C810</f>
        <v>2028</v>
      </c>
      <c r="D810">
        <f>[5]trip_summary_region!D810</f>
        <v>210</v>
      </c>
      <c r="E810">
        <f>[5]trip_summary_region!E810</f>
        <v>1017</v>
      </c>
      <c r="F810">
        <f>[5]trip_summary_region!F810</f>
        <v>8.8977334607999996</v>
      </c>
      <c r="G810">
        <f>[5]trip_summary_region!G810</f>
        <v>144.20808851000001</v>
      </c>
      <c r="H810">
        <f>[5]trip_summary_region!H810</f>
        <v>3.0709438500999999</v>
      </c>
      <c r="I810" t="str">
        <f>[5]trip_summary_region!I810</f>
        <v>Light Vehicle Passenger</v>
      </c>
      <c r="J810" t="str">
        <f>[5]trip_summary_region!J810</f>
        <v>2027/28</v>
      </c>
    </row>
    <row r="811" spans="1:10" x14ac:dyDescent="0.25">
      <c r="A811" t="str">
        <f>[5]trip_summary_region!A811</f>
        <v>12 WEST COAST</v>
      </c>
      <c r="B811">
        <f>[5]trip_summary_region!B811</f>
        <v>3</v>
      </c>
      <c r="C811">
        <f>[5]trip_summary_region!C811</f>
        <v>2033</v>
      </c>
      <c r="D811">
        <f>[5]trip_summary_region!D811</f>
        <v>210</v>
      </c>
      <c r="E811">
        <f>[5]trip_summary_region!E811</f>
        <v>1017</v>
      </c>
      <c r="F811">
        <f>[5]trip_summary_region!F811</f>
        <v>8.2339480200999997</v>
      </c>
      <c r="G811">
        <f>[5]trip_summary_region!G811</f>
        <v>134.6900292</v>
      </c>
      <c r="H811">
        <f>[5]trip_summary_region!H811</f>
        <v>2.8936343896999999</v>
      </c>
      <c r="I811" t="str">
        <f>[5]trip_summary_region!I811</f>
        <v>Light Vehicle Passenger</v>
      </c>
      <c r="J811" t="str">
        <f>[5]trip_summary_region!J811</f>
        <v>2032/33</v>
      </c>
    </row>
    <row r="812" spans="1:10" x14ac:dyDescent="0.25">
      <c r="A812" t="str">
        <f>[5]trip_summary_region!A812</f>
        <v>12 WEST COAST</v>
      </c>
      <c r="B812">
        <f>[5]trip_summary_region!B812</f>
        <v>3</v>
      </c>
      <c r="C812">
        <f>[5]trip_summary_region!C812</f>
        <v>2038</v>
      </c>
      <c r="D812">
        <f>[5]trip_summary_region!D812</f>
        <v>210</v>
      </c>
      <c r="E812">
        <f>[5]trip_summary_region!E812</f>
        <v>1017</v>
      </c>
      <c r="F812">
        <f>[5]trip_summary_region!F812</f>
        <v>7.5332235138000003</v>
      </c>
      <c r="G812">
        <f>[5]trip_summary_region!G812</f>
        <v>125.30941117</v>
      </c>
      <c r="H812">
        <f>[5]trip_summary_region!H812</f>
        <v>2.6930939808000001</v>
      </c>
      <c r="I812" t="str">
        <f>[5]trip_summary_region!I812</f>
        <v>Light Vehicle Passenger</v>
      </c>
      <c r="J812" t="str">
        <f>[5]trip_summary_region!J812</f>
        <v>2037/38</v>
      </c>
    </row>
    <row r="813" spans="1:10" x14ac:dyDescent="0.25">
      <c r="A813" t="str">
        <f>[5]trip_summary_region!A813</f>
        <v>12 WEST COAST</v>
      </c>
      <c r="B813">
        <f>[5]trip_summary_region!B813</f>
        <v>3</v>
      </c>
      <c r="C813">
        <f>[5]trip_summary_region!C813</f>
        <v>2043</v>
      </c>
      <c r="D813">
        <f>[5]trip_summary_region!D813</f>
        <v>210</v>
      </c>
      <c r="E813">
        <f>[5]trip_summary_region!E813</f>
        <v>1017</v>
      </c>
      <c r="F813">
        <f>[5]trip_summary_region!F813</f>
        <v>6.8546224590999998</v>
      </c>
      <c r="G813">
        <f>[5]trip_summary_region!G813</f>
        <v>116.32395984</v>
      </c>
      <c r="H813">
        <f>[5]trip_summary_region!H813</f>
        <v>2.4948878249000002</v>
      </c>
      <c r="I813" t="str">
        <f>[5]trip_summary_region!I813</f>
        <v>Light Vehicle Passenger</v>
      </c>
      <c r="J813" t="str">
        <f>[5]trip_summary_region!J813</f>
        <v>2042/43</v>
      </c>
    </row>
    <row r="814" spans="1:10" x14ac:dyDescent="0.25">
      <c r="A814" t="str">
        <f>[5]trip_summary_region!A814</f>
        <v>12 WEST COAST</v>
      </c>
      <c r="B814">
        <f>[5]trip_summary_region!B814</f>
        <v>4</v>
      </c>
      <c r="C814">
        <f>[5]trip_summary_region!C814</f>
        <v>2013</v>
      </c>
      <c r="D814">
        <f>[5]trip_summary_region!D814</f>
        <v>12</v>
      </c>
      <c r="E814">
        <f>[5]trip_summary_region!E814</f>
        <v>23</v>
      </c>
      <c r="F814">
        <f>[5]trip_summary_region!F814</f>
        <v>0.29973375209999997</v>
      </c>
      <c r="G814">
        <f>[5]trip_summary_region!G814</f>
        <v>1.6916956777000001</v>
      </c>
      <c r="H814">
        <f>[5]trip_summary_region!H814</f>
        <v>6.5507808299999998E-2</v>
      </c>
      <c r="I814" t="s">
        <v>116</v>
      </c>
      <c r="J814" t="str">
        <f>[5]trip_summary_region!J814</f>
        <v>2012/13</v>
      </c>
    </row>
    <row r="815" spans="1:10" x14ac:dyDescent="0.25">
      <c r="A815" t="str">
        <f>[5]trip_summary_region!A815</f>
        <v>12 WEST COAST</v>
      </c>
      <c r="B815">
        <f>[5]trip_summary_region!B815</f>
        <v>4</v>
      </c>
      <c r="C815">
        <f>[5]trip_summary_region!C815</f>
        <v>2018</v>
      </c>
      <c r="D815">
        <f>[5]trip_summary_region!D815</f>
        <v>12</v>
      </c>
      <c r="E815">
        <f>[5]trip_summary_region!E815</f>
        <v>23</v>
      </c>
      <c r="F815">
        <f>[5]trip_summary_region!F815</f>
        <v>0.34684764379999999</v>
      </c>
      <c r="G815">
        <f>[5]trip_summary_region!G815</f>
        <v>1.9145078357</v>
      </c>
      <c r="H815">
        <f>[5]trip_summary_region!H815</f>
        <v>7.6289899699999997E-2</v>
      </c>
      <c r="I815" t="s">
        <v>116</v>
      </c>
      <c r="J815" t="str">
        <f>[5]trip_summary_region!J815</f>
        <v>2017/18</v>
      </c>
    </row>
    <row r="816" spans="1:10" x14ac:dyDescent="0.25">
      <c r="A816" t="str">
        <f>[5]trip_summary_region!A816</f>
        <v>12 WEST COAST</v>
      </c>
      <c r="B816">
        <f>[5]trip_summary_region!B816</f>
        <v>4</v>
      </c>
      <c r="C816">
        <f>[5]trip_summary_region!C816</f>
        <v>2023</v>
      </c>
      <c r="D816">
        <f>[5]trip_summary_region!D816</f>
        <v>12</v>
      </c>
      <c r="E816">
        <f>[5]trip_summary_region!E816</f>
        <v>23</v>
      </c>
      <c r="F816">
        <f>[5]trip_summary_region!F816</f>
        <v>0.37321370780000002</v>
      </c>
      <c r="G816">
        <f>[5]trip_summary_region!G816</f>
        <v>2.009976531</v>
      </c>
      <c r="H816">
        <f>[5]trip_summary_region!H816</f>
        <v>8.2384308200000006E-2</v>
      </c>
      <c r="I816" t="s">
        <v>116</v>
      </c>
      <c r="J816" t="str">
        <f>[5]trip_summary_region!J816</f>
        <v>2022/23</v>
      </c>
    </row>
    <row r="817" spans="1:10" x14ac:dyDescent="0.25">
      <c r="A817" t="str">
        <f>[5]trip_summary_region!A817</f>
        <v>12 WEST COAST</v>
      </c>
      <c r="B817">
        <f>[5]trip_summary_region!B817</f>
        <v>4</v>
      </c>
      <c r="C817">
        <f>[5]trip_summary_region!C817</f>
        <v>2028</v>
      </c>
      <c r="D817">
        <f>[5]trip_summary_region!D817</f>
        <v>12</v>
      </c>
      <c r="E817">
        <f>[5]trip_summary_region!E817</f>
        <v>23</v>
      </c>
      <c r="F817">
        <f>[5]trip_summary_region!F817</f>
        <v>0.37145374310000001</v>
      </c>
      <c r="G817">
        <f>[5]trip_summary_region!G817</f>
        <v>2.1367417183000001</v>
      </c>
      <c r="H817">
        <f>[5]trip_summary_region!H817</f>
        <v>8.3902759300000004E-2</v>
      </c>
      <c r="I817" t="s">
        <v>116</v>
      </c>
      <c r="J817" t="str">
        <f>[5]trip_summary_region!J817</f>
        <v>2027/28</v>
      </c>
    </row>
    <row r="818" spans="1:10" x14ac:dyDescent="0.25">
      <c r="A818" t="str">
        <f>[5]trip_summary_region!A818</f>
        <v>12 WEST COAST</v>
      </c>
      <c r="B818">
        <f>[5]trip_summary_region!B818</f>
        <v>4</v>
      </c>
      <c r="C818">
        <f>[5]trip_summary_region!C818</f>
        <v>2033</v>
      </c>
      <c r="D818">
        <f>[5]trip_summary_region!D818</f>
        <v>12</v>
      </c>
      <c r="E818">
        <f>[5]trip_summary_region!E818</f>
        <v>23</v>
      </c>
      <c r="F818">
        <f>[5]trip_summary_region!F818</f>
        <v>0.35109570880000002</v>
      </c>
      <c r="G818">
        <f>[5]trip_summary_region!G818</f>
        <v>2.0424660099</v>
      </c>
      <c r="H818">
        <f>[5]trip_summary_region!H818</f>
        <v>7.9800362E-2</v>
      </c>
      <c r="I818" t="s">
        <v>116</v>
      </c>
      <c r="J818" t="str">
        <f>[5]trip_summary_region!J818</f>
        <v>2032/33</v>
      </c>
    </row>
    <row r="819" spans="1:10" x14ac:dyDescent="0.25">
      <c r="A819" t="str">
        <f>[5]trip_summary_region!A819</f>
        <v>12 WEST COAST</v>
      </c>
      <c r="B819">
        <f>[5]trip_summary_region!B819</f>
        <v>4</v>
      </c>
      <c r="C819">
        <f>[5]trip_summary_region!C819</f>
        <v>2038</v>
      </c>
      <c r="D819">
        <f>[5]trip_summary_region!D819</f>
        <v>12</v>
      </c>
      <c r="E819">
        <f>[5]trip_summary_region!E819</f>
        <v>23</v>
      </c>
      <c r="F819">
        <f>[5]trip_summary_region!F819</f>
        <v>0.33488629180000001</v>
      </c>
      <c r="G819">
        <f>[5]trip_summary_region!G819</f>
        <v>1.9979538278</v>
      </c>
      <c r="H819">
        <f>[5]trip_summary_region!H819</f>
        <v>7.6957602700000002E-2</v>
      </c>
      <c r="I819" t="s">
        <v>116</v>
      </c>
      <c r="J819" t="str">
        <f>[5]trip_summary_region!J819</f>
        <v>2037/38</v>
      </c>
    </row>
    <row r="820" spans="1:10" x14ac:dyDescent="0.25">
      <c r="A820" t="str">
        <f>[5]trip_summary_region!A820</f>
        <v>12 WEST COAST</v>
      </c>
      <c r="B820">
        <f>[5]trip_summary_region!B820</f>
        <v>4</v>
      </c>
      <c r="C820">
        <f>[5]trip_summary_region!C820</f>
        <v>2043</v>
      </c>
      <c r="D820">
        <f>[5]trip_summary_region!D820</f>
        <v>12</v>
      </c>
      <c r="E820">
        <f>[5]trip_summary_region!E820</f>
        <v>23</v>
      </c>
      <c r="F820">
        <f>[5]trip_summary_region!F820</f>
        <v>0.31544404500000001</v>
      </c>
      <c r="G820">
        <f>[5]trip_summary_region!G820</f>
        <v>1.9184308257</v>
      </c>
      <c r="H820">
        <f>[5]trip_summary_region!H820</f>
        <v>7.3297641299999994E-2</v>
      </c>
      <c r="I820" t="s">
        <v>116</v>
      </c>
      <c r="J820" t="str">
        <f>[5]trip_summary_region!J820</f>
        <v>2042/43</v>
      </c>
    </row>
    <row r="821" spans="1:10" x14ac:dyDescent="0.25">
      <c r="A821" t="str">
        <f>[5]trip_summary_region!A821</f>
        <v>12 WEST COAST</v>
      </c>
      <c r="B821">
        <f>[5]trip_summary_region!B821</f>
        <v>5</v>
      </c>
      <c r="C821">
        <f>[5]trip_summary_region!C821</f>
        <v>2013</v>
      </c>
      <c r="D821">
        <f>[5]trip_summary_region!D821</f>
        <v>2</v>
      </c>
      <c r="E821">
        <f>[5]trip_summary_region!E821</f>
        <v>5</v>
      </c>
      <c r="F821">
        <f>[5]trip_summary_region!F821</f>
        <v>6.1723256599999998E-2</v>
      </c>
      <c r="G821">
        <f>[5]trip_summary_region!G821</f>
        <v>0.29466348679999999</v>
      </c>
      <c r="H821">
        <f>[5]trip_summary_region!H821</f>
        <v>9.7989774000000005E-3</v>
      </c>
      <c r="I821" t="str">
        <f>[5]trip_summary_region!I821</f>
        <v>Motorcyclist</v>
      </c>
      <c r="J821" t="str">
        <f>[5]trip_summary_region!J821</f>
        <v>2012/13</v>
      </c>
    </row>
    <row r="822" spans="1:10" x14ac:dyDescent="0.25">
      <c r="A822" t="str">
        <f>[5]trip_summary_region!A822</f>
        <v>12 WEST COAST</v>
      </c>
      <c r="B822">
        <f>[5]trip_summary_region!B822</f>
        <v>5</v>
      </c>
      <c r="C822">
        <f>[5]trip_summary_region!C822</f>
        <v>2018</v>
      </c>
      <c r="D822">
        <f>[5]trip_summary_region!D822</f>
        <v>2</v>
      </c>
      <c r="E822">
        <f>[5]trip_summary_region!E822</f>
        <v>5</v>
      </c>
      <c r="F822">
        <f>[5]trip_summary_region!F822</f>
        <v>6.9650529799999999E-2</v>
      </c>
      <c r="G822">
        <f>[5]trip_summary_region!G822</f>
        <v>0.33492242290000002</v>
      </c>
      <c r="H822">
        <f>[5]trip_summary_region!H822</f>
        <v>1.1118691199999999E-2</v>
      </c>
      <c r="I822" t="str">
        <f>[5]trip_summary_region!I822</f>
        <v>Motorcyclist</v>
      </c>
      <c r="J822" t="str">
        <f>[5]trip_summary_region!J822</f>
        <v>2017/18</v>
      </c>
    </row>
    <row r="823" spans="1:10" x14ac:dyDescent="0.25">
      <c r="A823" t="str">
        <f>[5]trip_summary_region!A823</f>
        <v>12 WEST COAST</v>
      </c>
      <c r="B823">
        <f>[5]trip_summary_region!B823</f>
        <v>5</v>
      </c>
      <c r="C823">
        <f>[5]trip_summary_region!C823</f>
        <v>2023</v>
      </c>
      <c r="D823">
        <f>[5]trip_summary_region!D823</f>
        <v>2</v>
      </c>
      <c r="E823">
        <f>[5]trip_summary_region!E823</f>
        <v>5</v>
      </c>
      <c r="F823">
        <f>[5]trip_summary_region!F823</f>
        <v>7.3824414899999996E-2</v>
      </c>
      <c r="G823">
        <f>[5]trip_summary_region!G823</f>
        <v>0.33415798930000001</v>
      </c>
      <c r="H823">
        <f>[5]trip_summary_region!H823</f>
        <v>1.1256846500000001E-2</v>
      </c>
      <c r="I823" t="str">
        <f>[5]trip_summary_region!I823</f>
        <v>Motorcyclist</v>
      </c>
      <c r="J823" t="str">
        <f>[5]trip_summary_region!J823</f>
        <v>2022/23</v>
      </c>
    </row>
    <row r="824" spans="1:10" x14ac:dyDescent="0.25">
      <c r="A824" t="str">
        <f>[5]trip_summary_region!A824</f>
        <v>12 WEST COAST</v>
      </c>
      <c r="B824">
        <f>[5]trip_summary_region!B824</f>
        <v>5</v>
      </c>
      <c r="C824">
        <f>[5]trip_summary_region!C824</f>
        <v>2028</v>
      </c>
      <c r="D824">
        <f>[5]trip_summary_region!D824</f>
        <v>2</v>
      </c>
      <c r="E824">
        <f>[5]trip_summary_region!E824</f>
        <v>5</v>
      </c>
      <c r="F824">
        <f>[5]trip_summary_region!F824</f>
        <v>8.0306246900000003E-2</v>
      </c>
      <c r="G824">
        <f>[5]trip_summary_region!G824</f>
        <v>0.3502175729</v>
      </c>
      <c r="H824">
        <f>[5]trip_summary_region!H824</f>
        <v>1.1908579399999999E-2</v>
      </c>
      <c r="I824" t="str">
        <f>[5]trip_summary_region!I824</f>
        <v>Motorcyclist</v>
      </c>
      <c r="J824" t="str">
        <f>[5]trip_summary_region!J824</f>
        <v>2027/28</v>
      </c>
    </row>
    <row r="825" spans="1:10" x14ac:dyDescent="0.25">
      <c r="A825" t="str">
        <f>[5]trip_summary_region!A825</f>
        <v>12 WEST COAST</v>
      </c>
      <c r="B825">
        <f>[5]trip_summary_region!B825</f>
        <v>5</v>
      </c>
      <c r="C825">
        <f>[5]trip_summary_region!C825</f>
        <v>2033</v>
      </c>
      <c r="D825">
        <f>[5]trip_summary_region!D825</f>
        <v>2</v>
      </c>
      <c r="E825">
        <f>[5]trip_summary_region!E825</f>
        <v>5</v>
      </c>
      <c r="F825">
        <f>[5]trip_summary_region!F825</f>
        <v>8.6941624199999998E-2</v>
      </c>
      <c r="G825">
        <f>[5]trip_summary_region!G825</f>
        <v>0.37979788660000002</v>
      </c>
      <c r="H825">
        <f>[5]trip_summary_region!H825</f>
        <v>1.2908842699999999E-2</v>
      </c>
      <c r="I825" t="str">
        <f>[5]trip_summary_region!I825</f>
        <v>Motorcyclist</v>
      </c>
      <c r="J825" t="str">
        <f>[5]trip_summary_region!J825</f>
        <v>2032/33</v>
      </c>
    </row>
    <row r="826" spans="1:10" x14ac:dyDescent="0.25">
      <c r="A826" t="str">
        <f>[5]trip_summary_region!A826</f>
        <v>12 WEST COAST</v>
      </c>
      <c r="B826">
        <f>[5]trip_summary_region!B826</f>
        <v>5</v>
      </c>
      <c r="C826">
        <f>[5]trip_summary_region!C826</f>
        <v>2038</v>
      </c>
      <c r="D826">
        <f>[5]trip_summary_region!D826</f>
        <v>2</v>
      </c>
      <c r="E826">
        <f>[5]trip_summary_region!E826</f>
        <v>5</v>
      </c>
      <c r="F826">
        <f>[5]trip_summary_region!F826</f>
        <v>9.6624051599999997E-2</v>
      </c>
      <c r="G826">
        <f>[5]trip_summary_region!G826</f>
        <v>0.4189990952</v>
      </c>
      <c r="H826">
        <f>[5]trip_summary_region!H826</f>
        <v>1.42679882E-2</v>
      </c>
      <c r="I826" t="str">
        <f>[5]trip_summary_region!I826</f>
        <v>Motorcyclist</v>
      </c>
      <c r="J826" t="str">
        <f>[5]trip_summary_region!J826</f>
        <v>2037/38</v>
      </c>
    </row>
    <row r="827" spans="1:10" x14ac:dyDescent="0.25">
      <c r="A827" t="str">
        <f>[5]trip_summary_region!A827</f>
        <v>12 WEST COAST</v>
      </c>
      <c r="B827">
        <f>[5]trip_summary_region!B827</f>
        <v>5</v>
      </c>
      <c r="C827">
        <f>[5]trip_summary_region!C827</f>
        <v>2043</v>
      </c>
      <c r="D827">
        <f>[5]trip_summary_region!D827</f>
        <v>2</v>
      </c>
      <c r="E827">
        <f>[5]trip_summary_region!E827</f>
        <v>5</v>
      </c>
      <c r="F827">
        <f>[5]trip_summary_region!F827</f>
        <v>0.1033886827</v>
      </c>
      <c r="G827">
        <f>[5]trip_summary_region!G827</f>
        <v>0.44477333499999999</v>
      </c>
      <c r="H827">
        <f>[5]trip_summary_region!H827</f>
        <v>1.5176650200000001E-2</v>
      </c>
      <c r="I827" t="str">
        <f>[5]trip_summary_region!I827</f>
        <v>Motorcyclist</v>
      </c>
      <c r="J827" t="str">
        <f>[5]trip_summary_region!J827</f>
        <v>2042/43</v>
      </c>
    </row>
    <row r="828" spans="1:10" x14ac:dyDescent="0.25">
      <c r="A828" t="str">
        <f>[5]trip_summary_region!A828</f>
        <v>12 WEST COAST</v>
      </c>
      <c r="B828">
        <f>[5]trip_summary_region!B828</f>
        <v>7</v>
      </c>
      <c r="C828">
        <f>[5]trip_summary_region!C828</f>
        <v>2013</v>
      </c>
      <c r="D828">
        <f>[5]trip_summary_region!D828</f>
        <v>15</v>
      </c>
      <c r="E828">
        <f>[5]trip_summary_region!E828</f>
        <v>42</v>
      </c>
      <c r="F828">
        <f>[5]trip_summary_region!F828</f>
        <v>0.50805546800000001</v>
      </c>
      <c r="G828">
        <f>[5]trip_summary_region!G828</f>
        <v>6.0600083682000001</v>
      </c>
      <c r="H828">
        <f>[5]trip_summary_region!H828</f>
        <v>0.18249519829999999</v>
      </c>
      <c r="I828" t="str">
        <f>[5]trip_summary_region!I828</f>
        <v>Local Bus</v>
      </c>
      <c r="J828" t="str">
        <f>[5]trip_summary_region!J828</f>
        <v>2012/13</v>
      </c>
    </row>
    <row r="829" spans="1:10" x14ac:dyDescent="0.25">
      <c r="A829" t="str">
        <f>[5]trip_summary_region!A829</f>
        <v>12 WEST COAST</v>
      </c>
      <c r="B829">
        <f>[5]trip_summary_region!B829</f>
        <v>7</v>
      </c>
      <c r="C829">
        <f>[5]trip_summary_region!C829</f>
        <v>2018</v>
      </c>
      <c r="D829">
        <f>[5]trip_summary_region!D829</f>
        <v>15</v>
      </c>
      <c r="E829">
        <f>[5]trip_summary_region!E829</f>
        <v>42</v>
      </c>
      <c r="F829">
        <f>[5]trip_summary_region!F829</f>
        <v>0.4780004658</v>
      </c>
      <c r="G829">
        <f>[5]trip_summary_region!G829</f>
        <v>5.7075676608999997</v>
      </c>
      <c r="H829">
        <f>[5]trip_summary_region!H829</f>
        <v>0.1708121444</v>
      </c>
      <c r="I829" t="str">
        <f>[5]trip_summary_region!I829</f>
        <v>Local Bus</v>
      </c>
      <c r="J829" t="str">
        <f>[5]trip_summary_region!J829</f>
        <v>2017/18</v>
      </c>
    </row>
    <row r="830" spans="1:10" x14ac:dyDescent="0.25">
      <c r="A830" t="str">
        <f>[5]trip_summary_region!A830</f>
        <v>12 WEST COAST</v>
      </c>
      <c r="B830">
        <f>[5]trip_summary_region!B830</f>
        <v>7</v>
      </c>
      <c r="C830">
        <f>[5]trip_summary_region!C830</f>
        <v>2023</v>
      </c>
      <c r="D830">
        <f>[5]trip_summary_region!D830</f>
        <v>15</v>
      </c>
      <c r="E830">
        <f>[5]trip_summary_region!E830</f>
        <v>42</v>
      </c>
      <c r="F830">
        <f>[5]trip_summary_region!F830</f>
        <v>0.4300318273</v>
      </c>
      <c r="G830">
        <f>[5]trip_summary_region!G830</f>
        <v>5.1667210223</v>
      </c>
      <c r="H830">
        <f>[5]trip_summary_region!H830</f>
        <v>0.15341595820000001</v>
      </c>
      <c r="I830" t="str">
        <f>[5]trip_summary_region!I830</f>
        <v>Local Bus</v>
      </c>
      <c r="J830" t="str">
        <f>[5]trip_summary_region!J830</f>
        <v>2022/23</v>
      </c>
    </row>
    <row r="831" spans="1:10" x14ac:dyDescent="0.25">
      <c r="A831" t="str">
        <f>[5]trip_summary_region!A831</f>
        <v>12 WEST COAST</v>
      </c>
      <c r="B831">
        <f>[5]trip_summary_region!B831</f>
        <v>7</v>
      </c>
      <c r="C831">
        <f>[5]trip_summary_region!C831</f>
        <v>2028</v>
      </c>
      <c r="D831">
        <f>[5]trip_summary_region!D831</f>
        <v>15</v>
      </c>
      <c r="E831">
        <f>[5]trip_summary_region!E831</f>
        <v>42</v>
      </c>
      <c r="F831">
        <f>[5]trip_summary_region!F831</f>
        <v>0.40924305290000002</v>
      </c>
      <c r="G831">
        <f>[5]trip_summary_region!G831</f>
        <v>4.8212451188000003</v>
      </c>
      <c r="H831">
        <f>[5]trip_summary_region!H831</f>
        <v>0.14486248400000001</v>
      </c>
      <c r="I831" t="str">
        <f>[5]trip_summary_region!I831</f>
        <v>Local Bus</v>
      </c>
      <c r="J831" t="str">
        <f>[5]trip_summary_region!J831</f>
        <v>2027/28</v>
      </c>
    </row>
    <row r="832" spans="1:10" x14ac:dyDescent="0.25">
      <c r="A832" t="str">
        <f>[5]trip_summary_region!A832</f>
        <v>12 WEST COAST</v>
      </c>
      <c r="B832">
        <f>[5]trip_summary_region!B832</f>
        <v>7</v>
      </c>
      <c r="C832">
        <f>[5]trip_summary_region!C832</f>
        <v>2033</v>
      </c>
      <c r="D832">
        <f>[5]trip_summary_region!D832</f>
        <v>15</v>
      </c>
      <c r="E832">
        <f>[5]trip_summary_region!E832</f>
        <v>42</v>
      </c>
      <c r="F832">
        <f>[5]trip_summary_region!F832</f>
        <v>0.37875555150000001</v>
      </c>
      <c r="G832">
        <f>[5]trip_summary_region!G832</f>
        <v>4.4856052052999997</v>
      </c>
      <c r="H832">
        <f>[5]trip_summary_region!H832</f>
        <v>0.1344948923</v>
      </c>
      <c r="I832" t="str">
        <f>[5]trip_summary_region!I832</f>
        <v>Local Bus</v>
      </c>
      <c r="J832" t="str">
        <f>[5]trip_summary_region!J832</f>
        <v>2032/33</v>
      </c>
    </row>
    <row r="833" spans="1:10" x14ac:dyDescent="0.25">
      <c r="A833" t="str">
        <f>[5]trip_summary_region!A833</f>
        <v>12 WEST COAST</v>
      </c>
      <c r="B833">
        <f>[5]trip_summary_region!B833</f>
        <v>7</v>
      </c>
      <c r="C833">
        <f>[5]trip_summary_region!C833</f>
        <v>2038</v>
      </c>
      <c r="D833">
        <f>[5]trip_summary_region!D833</f>
        <v>15</v>
      </c>
      <c r="E833">
        <f>[5]trip_summary_region!E833</f>
        <v>42</v>
      </c>
      <c r="F833">
        <f>[5]trip_summary_region!F833</f>
        <v>0.34372816350000002</v>
      </c>
      <c r="G833">
        <f>[5]trip_summary_region!G833</f>
        <v>4.1877024437000001</v>
      </c>
      <c r="H833">
        <f>[5]trip_summary_region!H833</f>
        <v>0.1235634905</v>
      </c>
      <c r="I833" t="str">
        <f>[5]trip_summary_region!I833</f>
        <v>Local Bus</v>
      </c>
      <c r="J833" t="str">
        <f>[5]trip_summary_region!J833</f>
        <v>2037/38</v>
      </c>
    </row>
    <row r="834" spans="1:10" x14ac:dyDescent="0.25">
      <c r="A834" t="str">
        <f>[5]trip_summary_region!A834</f>
        <v>12 WEST COAST</v>
      </c>
      <c r="B834">
        <f>[5]trip_summary_region!B834</f>
        <v>7</v>
      </c>
      <c r="C834">
        <f>[5]trip_summary_region!C834</f>
        <v>2043</v>
      </c>
      <c r="D834">
        <f>[5]trip_summary_region!D834</f>
        <v>15</v>
      </c>
      <c r="E834">
        <f>[5]trip_summary_region!E834</f>
        <v>42</v>
      </c>
      <c r="F834">
        <f>[5]trip_summary_region!F834</f>
        <v>0.31013663540000003</v>
      </c>
      <c r="G834">
        <f>[5]trip_summary_region!G834</f>
        <v>3.9458011989999999</v>
      </c>
      <c r="H834">
        <f>[5]trip_summary_region!H834</f>
        <v>0.113677634</v>
      </c>
      <c r="I834" t="str">
        <f>[5]trip_summary_region!I834</f>
        <v>Local Bus</v>
      </c>
      <c r="J834" t="str">
        <f>[5]trip_summary_region!J834</f>
        <v>2042/43</v>
      </c>
    </row>
    <row r="835" spans="1:10" x14ac:dyDescent="0.25">
      <c r="A835" t="str">
        <f>[5]trip_summary_region!A835</f>
        <v>12 WEST COAST</v>
      </c>
      <c r="B835">
        <f>[5]trip_summary_region!B835</f>
        <v>9</v>
      </c>
      <c r="C835">
        <f>[5]trip_summary_region!C835</f>
        <v>2013</v>
      </c>
      <c r="D835">
        <f>[5]trip_summary_region!D835</f>
        <v>3</v>
      </c>
      <c r="E835">
        <f>[5]trip_summary_region!E835</f>
        <v>3</v>
      </c>
      <c r="F835">
        <f>[5]trip_summary_region!F835</f>
        <v>2.77012627E-2</v>
      </c>
      <c r="G835">
        <f>[5]trip_summary_region!G835</f>
        <v>0</v>
      </c>
      <c r="H835">
        <f>[5]trip_summary_region!H835</f>
        <v>3.6766106000000001E-3</v>
      </c>
      <c r="I835" t="str">
        <f>[5]trip_summary_region!I835</f>
        <v>Other Household Travel</v>
      </c>
      <c r="J835" t="str">
        <f>[5]trip_summary_region!J835</f>
        <v>2012/13</v>
      </c>
    </row>
    <row r="836" spans="1:10" x14ac:dyDescent="0.25">
      <c r="A836" t="str">
        <f>[5]trip_summary_region!A836</f>
        <v>12 WEST COAST</v>
      </c>
      <c r="B836">
        <f>[5]trip_summary_region!B836</f>
        <v>9</v>
      </c>
      <c r="C836">
        <f>[5]trip_summary_region!C836</f>
        <v>2018</v>
      </c>
      <c r="D836">
        <f>[5]trip_summary_region!D836</f>
        <v>3</v>
      </c>
      <c r="E836">
        <f>[5]trip_summary_region!E836</f>
        <v>3</v>
      </c>
      <c r="F836">
        <f>[5]trip_summary_region!F836</f>
        <v>2.6985750499999999E-2</v>
      </c>
      <c r="G836">
        <f>[5]trip_summary_region!G836</f>
        <v>0</v>
      </c>
      <c r="H836">
        <f>[5]trip_summary_region!H836</f>
        <v>3.5103360999999998E-3</v>
      </c>
      <c r="I836" t="str">
        <f>[5]trip_summary_region!I836</f>
        <v>Other Household Travel</v>
      </c>
      <c r="J836" t="str">
        <f>[5]trip_summary_region!J836</f>
        <v>2017/18</v>
      </c>
    </row>
    <row r="837" spans="1:10" x14ac:dyDescent="0.25">
      <c r="A837" t="str">
        <f>[5]trip_summary_region!A837</f>
        <v>12 WEST COAST</v>
      </c>
      <c r="B837">
        <f>[5]trip_summary_region!B837</f>
        <v>9</v>
      </c>
      <c r="C837">
        <f>[5]trip_summary_region!C837</f>
        <v>2023</v>
      </c>
      <c r="D837">
        <f>[5]trip_summary_region!D837</f>
        <v>3</v>
      </c>
      <c r="E837">
        <f>[5]trip_summary_region!E837</f>
        <v>3</v>
      </c>
      <c r="F837">
        <f>[5]trip_summary_region!F837</f>
        <v>2.5017010100000001E-2</v>
      </c>
      <c r="G837">
        <f>[5]trip_summary_region!G837</f>
        <v>0</v>
      </c>
      <c r="H837">
        <f>[5]trip_summary_region!H837</f>
        <v>3.2047709999999999E-3</v>
      </c>
      <c r="I837" t="str">
        <f>[5]trip_summary_region!I837</f>
        <v>Other Household Travel</v>
      </c>
      <c r="J837" t="str">
        <f>[5]trip_summary_region!J837</f>
        <v>2022/23</v>
      </c>
    </row>
    <row r="838" spans="1:10" x14ac:dyDescent="0.25">
      <c r="A838" t="str">
        <f>[5]trip_summary_region!A838</f>
        <v>12 WEST COAST</v>
      </c>
      <c r="B838">
        <f>[5]trip_summary_region!B838</f>
        <v>9</v>
      </c>
      <c r="C838">
        <f>[5]trip_summary_region!C838</f>
        <v>2028</v>
      </c>
      <c r="D838">
        <f>[5]trip_summary_region!D838</f>
        <v>3</v>
      </c>
      <c r="E838">
        <f>[5]trip_summary_region!E838</f>
        <v>3</v>
      </c>
      <c r="F838">
        <f>[5]trip_summary_region!F838</f>
        <v>2.1808722400000001E-2</v>
      </c>
      <c r="G838">
        <f>[5]trip_summary_region!G838</f>
        <v>0</v>
      </c>
      <c r="H838">
        <f>[5]trip_summary_region!H838</f>
        <v>2.7431955000000001E-3</v>
      </c>
      <c r="I838" t="str">
        <f>[5]trip_summary_region!I838</f>
        <v>Other Household Travel</v>
      </c>
      <c r="J838" t="str">
        <f>[5]trip_summary_region!J838</f>
        <v>2027/28</v>
      </c>
    </row>
    <row r="839" spans="1:10" x14ac:dyDescent="0.25">
      <c r="A839" t="str">
        <f>[5]trip_summary_region!A839</f>
        <v>12 WEST COAST</v>
      </c>
      <c r="B839">
        <f>[5]trip_summary_region!B839</f>
        <v>9</v>
      </c>
      <c r="C839">
        <f>[5]trip_summary_region!C839</f>
        <v>2033</v>
      </c>
      <c r="D839">
        <f>[5]trip_summary_region!D839</f>
        <v>3</v>
      </c>
      <c r="E839">
        <f>[5]trip_summary_region!E839</f>
        <v>3</v>
      </c>
      <c r="F839">
        <f>[5]trip_summary_region!F839</f>
        <v>1.9668801100000001E-2</v>
      </c>
      <c r="G839">
        <f>[5]trip_summary_region!G839</f>
        <v>0</v>
      </c>
      <c r="H839">
        <f>[5]trip_summary_region!H839</f>
        <v>2.4925037999999999E-3</v>
      </c>
      <c r="I839" t="str">
        <f>[5]trip_summary_region!I839</f>
        <v>Other Household Travel</v>
      </c>
      <c r="J839" t="str">
        <f>[5]trip_summary_region!J839</f>
        <v>2032/33</v>
      </c>
    </row>
    <row r="840" spans="1:10" x14ac:dyDescent="0.25">
      <c r="A840" t="str">
        <f>[5]trip_summary_region!A840</f>
        <v>12 WEST COAST</v>
      </c>
      <c r="B840">
        <f>[5]trip_summary_region!B840</f>
        <v>9</v>
      </c>
      <c r="C840">
        <f>[5]trip_summary_region!C840</f>
        <v>2038</v>
      </c>
      <c r="D840">
        <f>[5]trip_summary_region!D840</f>
        <v>3</v>
      </c>
      <c r="E840">
        <f>[5]trip_summary_region!E840</f>
        <v>3</v>
      </c>
      <c r="F840">
        <f>[5]trip_summary_region!F840</f>
        <v>1.9387709100000001E-2</v>
      </c>
      <c r="G840">
        <f>[5]trip_summary_region!G840</f>
        <v>0</v>
      </c>
      <c r="H840">
        <f>[5]trip_summary_region!H840</f>
        <v>2.5155822999999998E-3</v>
      </c>
      <c r="I840" t="str">
        <f>[5]trip_summary_region!I840</f>
        <v>Other Household Travel</v>
      </c>
      <c r="J840" t="str">
        <f>[5]trip_summary_region!J840</f>
        <v>2037/38</v>
      </c>
    </row>
    <row r="841" spans="1:10" x14ac:dyDescent="0.25">
      <c r="A841" t="str">
        <f>[5]trip_summary_region!A841</f>
        <v>12 WEST COAST</v>
      </c>
      <c r="B841">
        <f>[5]trip_summary_region!B841</f>
        <v>9</v>
      </c>
      <c r="C841">
        <f>[5]trip_summary_region!C841</f>
        <v>2043</v>
      </c>
      <c r="D841">
        <f>[5]trip_summary_region!D841</f>
        <v>3</v>
      </c>
      <c r="E841">
        <f>[5]trip_summary_region!E841</f>
        <v>3</v>
      </c>
      <c r="F841">
        <f>[5]trip_summary_region!F841</f>
        <v>1.8943876799999999E-2</v>
      </c>
      <c r="G841">
        <f>[5]trip_summary_region!G841</f>
        <v>0</v>
      </c>
      <c r="H841">
        <f>[5]trip_summary_region!H841</f>
        <v>2.5123369999999999E-3</v>
      </c>
      <c r="I841" t="str">
        <f>[5]trip_summary_region!I841</f>
        <v>Other Household Travel</v>
      </c>
      <c r="J841" t="str">
        <f>[5]trip_summary_region!J841</f>
        <v>2042/43</v>
      </c>
    </row>
    <row r="842" spans="1:10" x14ac:dyDescent="0.25">
      <c r="A842" t="str">
        <f>[5]trip_summary_region!A842</f>
        <v>12 WEST COAST</v>
      </c>
      <c r="B842">
        <f>[5]trip_summary_region!B842</f>
        <v>10</v>
      </c>
      <c r="C842">
        <f>[5]trip_summary_region!C842</f>
        <v>2013</v>
      </c>
      <c r="D842">
        <f>[5]trip_summary_region!D842</f>
        <v>4</v>
      </c>
      <c r="E842">
        <f>[5]trip_summary_region!E842</f>
        <v>8</v>
      </c>
      <c r="F842">
        <f>[5]trip_summary_region!F842</f>
        <v>0.10084271459999999</v>
      </c>
      <c r="G842">
        <f>[5]trip_summary_region!G842</f>
        <v>10.387194593</v>
      </c>
      <c r="H842">
        <f>[5]trip_summary_region!H842</f>
        <v>0.1870167032</v>
      </c>
      <c r="I842" t="str">
        <f>[5]trip_summary_region!I842</f>
        <v>Air/Non-Local PT</v>
      </c>
      <c r="J842" t="str">
        <f>[5]trip_summary_region!J842</f>
        <v>2012/13</v>
      </c>
    </row>
    <row r="843" spans="1:10" x14ac:dyDescent="0.25">
      <c r="A843" t="str">
        <f>[5]trip_summary_region!A843</f>
        <v>12 WEST COAST</v>
      </c>
      <c r="B843">
        <f>[5]trip_summary_region!B843</f>
        <v>10</v>
      </c>
      <c r="C843">
        <f>[5]trip_summary_region!C843</f>
        <v>2018</v>
      </c>
      <c r="D843">
        <f>[5]trip_summary_region!D843</f>
        <v>4</v>
      </c>
      <c r="E843">
        <f>[5]trip_summary_region!E843</f>
        <v>8</v>
      </c>
      <c r="F843">
        <f>[5]trip_summary_region!F843</f>
        <v>0.1072802224</v>
      </c>
      <c r="G843">
        <f>[5]trip_summary_region!G843</f>
        <v>10.913065719</v>
      </c>
      <c r="H843">
        <f>[5]trip_summary_region!H843</f>
        <v>0.1997039531</v>
      </c>
      <c r="I843" t="str">
        <f>[5]trip_summary_region!I843</f>
        <v>Air/Non-Local PT</v>
      </c>
      <c r="J843" t="str">
        <f>[5]trip_summary_region!J843</f>
        <v>2017/18</v>
      </c>
    </row>
    <row r="844" spans="1:10" x14ac:dyDescent="0.25">
      <c r="A844" t="str">
        <f>[5]trip_summary_region!A844</f>
        <v>12 WEST COAST</v>
      </c>
      <c r="B844">
        <f>[5]trip_summary_region!B844</f>
        <v>10</v>
      </c>
      <c r="C844">
        <f>[5]trip_summary_region!C844</f>
        <v>2023</v>
      </c>
      <c r="D844">
        <f>[5]trip_summary_region!D844</f>
        <v>4</v>
      </c>
      <c r="E844">
        <f>[5]trip_summary_region!E844</f>
        <v>8</v>
      </c>
      <c r="F844">
        <f>[5]trip_summary_region!F844</f>
        <v>0.10689401010000001</v>
      </c>
      <c r="G844">
        <f>[5]trip_summary_region!G844</f>
        <v>10.740368633999999</v>
      </c>
      <c r="H844">
        <f>[5]trip_summary_region!H844</f>
        <v>0.19971302939999999</v>
      </c>
      <c r="I844" t="str">
        <f>[5]trip_summary_region!I844</f>
        <v>Air/Non-Local PT</v>
      </c>
      <c r="J844" t="str">
        <f>[5]trip_summary_region!J844</f>
        <v>2022/23</v>
      </c>
    </row>
    <row r="845" spans="1:10" x14ac:dyDescent="0.25">
      <c r="A845" t="str">
        <f>[5]trip_summary_region!A845</f>
        <v>12 WEST COAST</v>
      </c>
      <c r="B845">
        <f>[5]trip_summary_region!B845</f>
        <v>10</v>
      </c>
      <c r="C845">
        <f>[5]trip_summary_region!C845</f>
        <v>2028</v>
      </c>
      <c r="D845">
        <f>[5]trip_summary_region!D845</f>
        <v>4</v>
      </c>
      <c r="E845">
        <f>[5]trip_summary_region!E845</f>
        <v>8</v>
      </c>
      <c r="F845">
        <f>[5]trip_summary_region!F845</f>
        <v>0.1013212436</v>
      </c>
      <c r="G845">
        <f>[5]trip_summary_region!G845</f>
        <v>9.9110779793999999</v>
      </c>
      <c r="H845">
        <f>[5]trip_summary_region!H845</f>
        <v>0.19077122939999999</v>
      </c>
      <c r="I845" t="str">
        <f>[5]trip_summary_region!I845</f>
        <v>Air/Non-Local PT</v>
      </c>
      <c r="J845" t="str">
        <f>[5]trip_summary_region!J845</f>
        <v>2027/28</v>
      </c>
    </row>
    <row r="846" spans="1:10" x14ac:dyDescent="0.25">
      <c r="A846" t="str">
        <f>[5]trip_summary_region!A846</f>
        <v>12 WEST COAST</v>
      </c>
      <c r="B846">
        <f>[5]trip_summary_region!B846</f>
        <v>10</v>
      </c>
      <c r="C846">
        <f>[5]trip_summary_region!C846</f>
        <v>2033</v>
      </c>
      <c r="D846">
        <f>[5]trip_summary_region!D846</f>
        <v>4</v>
      </c>
      <c r="E846">
        <f>[5]trip_summary_region!E846</f>
        <v>8</v>
      </c>
      <c r="F846">
        <f>[5]trip_summary_region!F846</f>
        <v>9.3593470999999998E-2</v>
      </c>
      <c r="G846">
        <f>[5]trip_summary_region!G846</f>
        <v>8.9943139670000001</v>
      </c>
      <c r="H846">
        <f>[5]trip_summary_region!H846</f>
        <v>0.1770988912</v>
      </c>
      <c r="I846" t="str">
        <f>[5]trip_summary_region!I846</f>
        <v>Air/Non-Local PT</v>
      </c>
      <c r="J846" t="str">
        <f>[5]trip_summary_region!J846</f>
        <v>2032/33</v>
      </c>
    </row>
    <row r="847" spans="1:10" x14ac:dyDescent="0.25">
      <c r="A847" t="str">
        <f>[5]trip_summary_region!A847</f>
        <v>12 WEST COAST</v>
      </c>
      <c r="B847">
        <f>[5]trip_summary_region!B847</f>
        <v>10</v>
      </c>
      <c r="C847">
        <f>[5]trip_summary_region!C847</f>
        <v>2038</v>
      </c>
      <c r="D847">
        <f>[5]trip_summary_region!D847</f>
        <v>4</v>
      </c>
      <c r="E847">
        <f>[5]trip_summary_region!E847</f>
        <v>8</v>
      </c>
      <c r="F847">
        <f>[5]trip_summary_region!F847</f>
        <v>9.0932409800000003E-2</v>
      </c>
      <c r="G847">
        <f>[5]trip_summary_region!G847</f>
        <v>8.6864565925000008</v>
      </c>
      <c r="H847">
        <f>[5]trip_summary_region!H847</f>
        <v>0.17234806929999999</v>
      </c>
      <c r="I847" t="str">
        <f>[5]trip_summary_region!I847</f>
        <v>Air/Non-Local PT</v>
      </c>
      <c r="J847" t="str">
        <f>[5]trip_summary_region!J847</f>
        <v>2037/38</v>
      </c>
    </row>
    <row r="848" spans="1:10" x14ac:dyDescent="0.25">
      <c r="A848" t="str">
        <f>[5]trip_summary_region!A848</f>
        <v>12 WEST COAST</v>
      </c>
      <c r="B848">
        <f>[5]trip_summary_region!B848</f>
        <v>10</v>
      </c>
      <c r="C848">
        <f>[5]trip_summary_region!C848</f>
        <v>2043</v>
      </c>
      <c r="D848">
        <f>[5]trip_summary_region!D848</f>
        <v>4</v>
      </c>
      <c r="E848">
        <f>[5]trip_summary_region!E848</f>
        <v>8</v>
      </c>
      <c r="F848">
        <f>[5]trip_summary_region!F848</f>
        <v>8.7466363300000002E-2</v>
      </c>
      <c r="G848">
        <f>[5]trip_summary_region!G848</f>
        <v>8.2978942915000005</v>
      </c>
      <c r="H848">
        <f>[5]trip_summary_region!H848</f>
        <v>0.16609230720000001</v>
      </c>
      <c r="I848" t="str">
        <f>[5]trip_summary_region!I848</f>
        <v>Air/Non-Local PT</v>
      </c>
      <c r="J848" t="str">
        <f>[5]trip_summary_region!J848</f>
        <v>2042/43</v>
      </c>
    </row>
    <row r="849" spans="1:10" x14ac:dyDescent="0.25">
      <c r="A849" t="str">
        <f>[5]trip_summary_region!A849</f>
        <v>12 WEST COAST</v>
      </c>
      <c r="B849">
        <f>[5]trip_summary_region!B849</f>
        <v>11</v>
      </c>
      <c r="C849">
        <f>[5]trip_summary_region!C849</f>
        <v>2013</v>
      </c>
      <c r="D849">
        <f>[5]trip_summary_region!D849</f>
        <v>9</v>
      </c>
      <c r="E849">
        <f>[5]trip_summary_region!E849</f>
        <v>44</v>
      </c>
      <c r="F849">
        <f>[5]trip_summary_region!F849</f>
        <v>0.57649160089999996</v>
      </c>
      <c r="G849">
        <f>[5]trip_summary_region!G849</f>
        <v>20.958164275000001</v>
      </c>
      <c r="H849">
        <f>[5]trip_summary_region!H849</f>
        <v>0.34686230169999999</v>
      </c>
      <c r="I849" t="str">
        <f>[5]trip_summary_region!I849</f>
        <v>Non-Household Travel</v>
      </c>
      <c r="J849" t="str">
        <f>[5]trip_summary_region!J849</f>
        <v>2012/13</v>
      </c>
    </row>
    <row r="850" spans="1:10" x14ac:dyDescent="0.25">
      <c r="A850" t="str">
        <f>[5]trip_summary_region!A850</f>
        <v>12 WEST COAST</v>
      </c>
      <c r="B850">
        <f>[5]trip_summary_region!B850</f>
        <v>11</v>
      </c>
      <c r="C850">
        <f>[5]trip_summary_region!C850</f>
        <v>2018</v>
      </c>
      <c r="D850">
        <f>[5]trip_summary_region!D850</f>
        <v>9</v>
      </c>
      <c r="E850">
        <f>[5]trip_summary_region!E850</f>
        <v>44</v>
      </c>
      <c r="F850">
        <f>[5]trip_summary_region!F850</f>
        <v>0.6091139941</v>
      </c>
      <c r="G850">
        <f>[5]trip_summary_region!G850</f>
        <v>21.937485677000002</v>
      </c>
      <c r="H850">
        <f>[5]trip_summary_region!H850</f>
        <v>0.36383033149999999</v>
      </c>
      <c r="I850" t="str">
        <f>[5]trip_summary_region!I850</f>
        <v>Non-Household Travel</v>
      </c>
      <c r="J850" t="str">
        <f>[5]trip_summary_region!J850</f>
        <v>2017/18</v>
      </c>
    </row>
    <row r="851" spans="1:10" x14ac:dyDescent="0.25">
      <c r="A851" t="str">
        <f>[5]trip_summary_region!A851</f>
        <v>12 WEST COAST</v>
      </c>
      <c r="B851">
        <f>[5]trip_summary_region!B851</f>
        <v>11</v>
      </c>
      <c r="C851">
        <f>[5]trip_summary_region!C851</f>
        <v>2023</v>
      </c>
      <c r="D851">
        <f>[5]trip_summary_region!D851</f>
        <v>9</v>
      </c>
      <c r="E851">
        <f>[5]trip_summary_region!E851</f>
        <v>44</v>
      </c>
      <c r="F851">
        <f>[5]trip_summary_region!F851</f>
        <v>0.58672225349999996</v>
      </c>
      <c r="G851">
        <f>[5]trip_summary_region!G851</f>
        <v>21.450941844999999</v>
      </c>
      <c r="H851">
        <f>[5]trip_summary_region!H851</f>
        <v>0.3559482699</v>
      </c>
      <c r="I851" t="str">
        <f>[5]trip_summary_region!I851</f>
        <v>Non-Household Travel</v>
      </c>
      <c r="J851" t="str">
        <f>[5]trip_summary_region!J851</f>
        <v>2022/23</v>
      </c>
    </row>
    <row r="852" spans="1:10" x14ac:dyDescent="0.25">
      <c r="A852" t="str">
        <f>[5]trip_summary_region!A852</f>
        <v>12 WEST COAST</v>
      </c>
      <c r="B852">
        <f>[5]trip_summary_region!B852</f>
        <v>11</v>
      </c>
      <c r="C852">
        <f>[5]trip_summary_region!C852</f>
        <v>2028</v>
      </c>
      <c r="D852">
        <f>[5]trip_summary_region!D852</f>
        <v>9</v>
      </c>
      <c r="E852">
        <f>[5]trip_summary_region!E852</f>
        <v>44</v>
      </c>
      <c r="F852">
        <f>[5]trip_summary_region!F852</f>
        <v>0.5880424192</v>
      </c>
      <c r="G852">
        <f>[5]trip_summary_region!G852</f>
        <v>21.165219260000001</v>
      </c>
      <c r="H852">
        <f>[5]trip_summary_region!H852</f>
        <v>0.35150454370000001</v>
      </c>
      <c r="I852" t="str">
        <f>[5]trip_summary_region!I852</f>
        <v>Non-Household Travel</v>
      </c>
      <c r="J852" t="str">
        <f>[5]trip_summary_region!J852</f>
        <v>2027/28</v>
      </c>
    </row>
    <row r="853" spans="1:10" x14ac:dyDescent="0.25">
      <c r="A853" t="str">
        <f>[5]trip_summary_region!A853</f>
        <v>12 WEST COAST</v>
      </c>
      <c r="B853">
        <f>[5]trip_summary_region!B853</f>
        <v>11</v>
      </c>
      <c r="C853">
        <f>[5]trip_summary_region!C853</f>
        <v>2033</v>
      </c>
      <c r="D853">
        <f>[5]trip_summary_region!D853</f>
        <v>9</v>
      </c>
      <c r="E853">
        <f>[5]trip_summary_region!E853</f>
        <v>44</v>
      </c>
      <c r="F853">
        <f>[5]trip_summary_region!F853</f>
        <v>0.57162476880000002</v>
      </c>
      <c r="G853">
        <f>[5]trip_summary_region!G853</f>
        <v>20.232531360999999</v>
      </c>
      <c r="H853">
        <f>[5]trip_summary_region!H853</f>
        <v>0.33652477520000001</v>
      </c>
      <c r="I853" t="str">
        <f>[5]trip_summary_region!I853</f>
        <v>Non-Household Travel</v>
      </c>
      <c r="J853" t="str">
        <f>[5]trip_summary_region!J853</f>
        <v>2032/33</v>
      </c>
    </row>
    <row r="854" spans="1:10" x14ac:dyDescent="0.25">
      <c r="A854" t="str">
        <f>[5]trip_summary_region!A854</f>
        <v>12 WEST COAST</v>
      </c>
      <c r="B854">
        <f>[5]trip_summary_region!B854</f>
        <v>11</v>
      </c>
      <c r="C854">
        <f>[5]trip_summary_region!C854</f>
        <v>2038</v>
      </c>
      <c r="D854">
        <f>[5]trip_summary_region!D854</f>
        <v>9</v>
      </c>
      <c r="E854">
        <f>[5]trip_summary_region!E854</f>
        <v>44</v>
      </c>
      <c r="F854">
        <f>[5]trip_summary_region!F854</f>
        <v>0.55645920010000005</v>
      </c>
      <c r="G854">
        <f>[5]trip_summary_region!G854</f>
        <v>19.469928998</v>
      </c>
      <c r="H854">
        <f>[5]trip_summary_region!H854</f>
        <v>0.32433173809999999</v>
      </c>
      <c r="I854" t="str">
        <f>[5]trip_summary_region!I854</f>
        <v>Non-Household Travel</v>
      </c>
      <c r="J854" t="str">
        <f>[5]trip_summary_region!J854</f>
        <v>2037/38</v>
      </c>
    </row>
    <row r="855" spans="1:10" x14ac:dyDescent="0.25">
      <c r="A855" t="str">
        <f>[5]trip_summary_region!A855</f>
        <v>12 WEST COAST</v>
      </c>
      <c r="B855">
        <f>[5]trip_summary_region!B855</f>
        <v>11</v>
      </c>
      <c r="C855">
        <f>[5]trip_summary_region!C855</f>
        <v>2043</v>
      </c>
      <c r="D855">
        <f>[5]trip_summary_region!D855</f>
        <v>9</v>
      </c>
      <c r="E855">
        <f>[5]trip_summary_region!E855</f>
        <v>44</v>
      </c>
      <c r="F855">
        <f>[5]trip_summary_region!F855</f>
        <v>0.53251747670000005</v>
      </c>
      <c r="G855">
        <f>[5]trip_summary_region!G855</f>
        <v>18.494143017999999</v>
      </c>
      <c r="H855">
        <f>[5]trip_summary_region!H855</f>
        <v>0.30863035859999999</v>
      </c>
      <c r="I855" t="str">
        <f>[5]trip_summary_region!I855</f>
        <v>Non-Household Travel</v>
      </c>
      <c r="J855" t="str">
        <f>[5]trip_summary_region!J855</f>
        <v>2042/43</v>
      </c>
    </row>
    <row r="856" spans="1:10" x14ac:dyDescent="0.25">
      <c r="A856" t="str">
        <f>[5]trip_summary_region!A856</f>
        <v>13 CANTERBURY</v>
      </c>
      <c r="B856">
        <f>[5]trip_summary_region!B856</f>
        <v>0</v>
      </c>
      <c r="C856">
        <f>[5]trip_summary_region!C856</f>
        <v>2013</v>
      </c>
      <c r="D856">
        <f>[5]trip_summary_region!D856</f>
        <v>2073</v>
      </c>
      <c r="E856">
        <f>[5]trip_summary_region!E856</f>
        <v>7645</v>
      </c>
      <c r="F856">
        <f>[5]trip_summary_region!F856</f>
        <v>131.04676542000001</v>
      </c>
      <c r="G856">
        <f>[5]trip_summary_region!G856</f>
        <v>113.37513976</v>
      </c>
      <c r="H856">
        <f>[5]trip_summary_region!H856</f>
        <v>27.07651954</v>
      </c>
      <c r="I856" t="str">
        <f>[5]trip_summary_region!I856</f>
        <v>Pedestrian</v>
      </c>
      <c r="J856" t="str">
        <f>[5]trip_summary_region!J856</f>
        <v>2012/13</v>
      </c>
    </row>
    <row r="857" spans="1:10" x14ac:dyDescent="0.25">
      <c r="A857" t="str">
        <f>[5]trip_summary_region!A857</f>
        <v>13 CANTERBURY</v>
      </c>
      <c r="B857">
        <f>[5]trip_summary_region!B857</f>
        <v>0</v>
      </c>
      <c r="C857">
        <f>[5]trip_summary_region!C857</f>
        <v>2018</v>
      </c>
      <c r="D857">
        <f>[5]trip_summary_region!D857</f>
        <v>2073</v>
      </c>
      <c r="E857">
        <f>[5]trip_summary_region!E857</f>
        <v>7645</v>
      </c>
      <c r="F857">
        <f>[5]trip_summary_region!F857</f>
        <v>137.62234237000001</v>
      </c>
      <c r="G857">
        <f>[5]trip_summary_region!G857</f>
        <v>118.90758648000001</v>
      </c>
      <c r="H857">
        <f>[5]trip_summary_region!H857</f>
        <v>28.254144254</v>
      </c>
      <c r="I857" t="str">
        <f>[5]trip_summary_region!I857</f>
        <v>Pedestrian</v>
      </c>
      <c r="J857" t="str">
        <f>[5]trip_summary_region!J857</f>
        <v>2017/18</v>
      </c>
    </row>
    <row r="858" spans="1:10" x14ac:dyDescent="0.25">
      <c r="A858" t="str">
        <f>[5]trip_summary_region!A858</f>
        <v>13 CANTERBURY</v>
      </c>
      <c r="B858">
        <f>[5]trip_summary_region!B858</f>
        <v>0</v>
      </c>
      <c r="C858">
        <f>[5]trip_summary_region!C858</f>
        <v>2023</v>
      </c>
      <c r="D858">
        <f>[5]trip_summary_region!D858</f>
        <v>2073</v>
      </c>
      <c r="E858">
        <f>[5]trip_summary_region!E858</f>
        <v>7645</v>
      </c>
      <c r="F858">
        <f>[5]trip_summary_region!F858</f>
        <v>139.85934610000001</v>
      </c>
      <c r="G858">
        <f>[5]trip_summary_region!G858</f>
        <v>119.99817864000001</v>
      </c>
      <c r="H858">
        <f>[5]trip_summary_region!H858</f>
        <v>28.463007369</v>
      </c>
      <c r="I858" t="str">
        <f>[5]trip_summary_region!I858</f>
        <v>Pedestrian</v>
      </c>
      <c r="J858" t="str">
        <f>[5]trip_summary_region!J858</f>
        <v>2022/23</v>
      </c>
    </row>
    <row r="859" spans="1:10" x14ac:dyDescent="0.25">
      <c r="A859" t="str">
        <f>[5]trip_summary_region!A859</f>
        <v>13 CANTERBURY</v>
      </c>
      <c r="B859">
        <f>[5]trip_summary_region!B859</f>
        <v>0</v>
      </c>
      <c r="C859">
        <f>[5]trip_summary_region!C859</f>
        <v>2028</v>
      </c>
      <c r="D859">
        <f>[5]trip_summary_region!D859</f>
        <v>2073</v>
      </c>
      <c r="E859">
        <f>[5]trip_summary_region!E859</f>
        <v>7645</v>
      </c>
      <c r="F859">
        <f>[5]trip_summary_region!F859</f>
        <v>141.32226632999999</v>
      </c>
      <c r="G859">
        <f>[5]trip_summary_region!G859</f>
        <v>120.58137821</v>
      </c>
      <c r="H859">
        <f>[5]trip_summary_region!H859</f>
        <v>28.51192416</v>
      </c>
      <c r="I859" t="str">
        <f>[5]trip_summary_region!I859</f>
        <v>Pedestrian</v>
      </c>
      <c r="J859" t="str">
        <f>[5]trip_summary_region!J859</f>
        <v>2027/28</v>
      </c>
    </row>
    <row r="860" spans="1:10" x14ac:dyDescent="0.25">
      <c r="A860" t="str">
        <f>[5]trip_summary_region!A860</f>
        <v>13 CANTERBURY</v>
      </c>
      <c r="B860">
        <f>[5]trip_summary_region!B860</f>
        <v>0</v>
      </c>
      <c r="C860">
        <f>[5]trip_summary_region!C860</f>
        <v>2033</v>
      </c>
      <c r="D860">
        <f>[5]trip_summary_region!D860</f>
        <v>2073</v>
      </c>
      <c r="E860">
        <f>[5]trip_summary_region!E860</f>
        <v>7645</v>
      </c>
      <c r="F860">
        <f>[5]trip_summary_region!F860</f>
        <v>140.92750760999999</v>
      </c>
      <c r="G860">
        <f>[5]trip_summary_region!G860</f>
        <v>119.55818336999999</v>
      </c>
      <c r="H860">
        <f>[5]trip_summary_region!H860</f>
        <v>28.247148519</v>
      </c>
      <c r="I860" t="str">
        <f>[5]trip_summary_region!I860</f>
        <v>Pedestrian</v>
      </c>
      <c r="J860" t="str">
        <f>[5]trip_summary_region!J860</f>
        <v>2032/33</v>
      </c>
    </row>
    <row r="861" spans="1:10" x14ac:dyDescent="0.25">
      <c r="A861" t="str">
        <f>[5]trip_summary_region!A861</f>
        <v>13 CANTERBURY</v>
      </c>
      <c r="B861">
        <f>[5]trip_summary_region!B861</f>
        <v>0</v>
      </c>
      <c r="C861">
        <f>[5]trip_summary_region!C861</f>
        <v>2038</v>
      </c>
      <c r="D861">
        <f>[5]trip_summary_region!D861</f>
        <v>2073</v>
      </c>
      <c r="E861">
        <f>[5]trip_summary_region!E861</f>
        <v>7645</v>
      </c>
      <c r="F861">
        <f>[5]trip_summary_region!F861</f>
        <v>139.69566753000001</v>
      </c>
      <c r="G861">
        <f>[5]trip_summary_region!G861</f>
        <v>117.95824456</v>
      </c>
      <c r="H861">
        <f>[5]trip_summary_region!H861</f>
        <v>27.789374018</v>
      </c>
      <c r="I861" t="str">
        <f>[5]trip_summary_region!I861</f>
        <v>Pedestrian</v>
      </c>
      <c r="J861" t="str">
        <f>[5]trip_summary_region!J861</f>
        <v>2037/38</v>
      </c>
    </row>
    <row r="862" spans="1:10" x14ac:dyDescent="0.25">
      <c r="A862" t="str">
        <f>[5]trip_summary_region!A862</f>
        <v>13 CANTERBURY</v>
      </c>
      <c r="B862">
        <f>[5]trip_summary_region!B862</f>
        <v>0</v>
      </c>
      <c r="C862">
        <f>[5]trip_summary_region!C862</f>
        <v>2043</v>
      </c>
      <c r="D862">
        <f>[5]trip_summary_region!D862</f>
        <v>2073</v>
      </c>
      <c r="E862">
        <f>[5]trip_summary_region!E862</f>
        <v>7645</v>
      </c>
      <c r="F862">
        <f>[5]trip_summary_region!F862</f>
        <v>138.14709187</v>
      </c>
      <c r="G862">
        <f>[5]trip_summary_region!G862</f>
        <v>116.13972198</v>
      </c>
      <c r="H862">
        <f>[5]trip_summary_region!H862</f>
        <v>27.290085767000001</v>
      </c>
      <c r="I862" t="str">
        <f>[5]trip_summary_region!I862</f>
        <v>Pedestrian</v>
      </c>
      <c r="J862" t="str">
        <f>[5]trip_summary_region!J862</f>
        <v>2042/43</v>
      </c>
    </row>
    <row r="863" spans="1:10" x14ac:dyDescent="0.25">
      <c r="A863" t="str">
        <f>[5]trip_summary_region!A863</f>
        <v>13 CANTERBURY</v>
      </c>
      <c r="B863">
        <f>[5]trip_summary_region!B863</f>
        <v>1</v>
      </c>
      <c r="C863">
        <f>[5]trip_summary_region!C863</f>
        <v>2013</v>
      </c>
      <c r="D863">
        <f>[5]trip_summary_region!D863</f>
        <v>335</v>
      </c>
      <c r="E863">
        <f>[5]trip_summary_region!E863</f>
        <v>1282</v>
      </c>
      <c r="F863">
        <f>[5]trip_summary_region!F863</f>
        <v>23.740018446000001</v>
      </c>
      <c r="G863">
        <f>[5]trip_summary_region!G863</f>
        <v>97.023488555</v>
      </c>
      <c r="H863">
        <f>[5]trip_summary_region!H863</f>
        <v>7.2445897615000003</v>
      </c>
      <c r="I863" t="str">
        <f>[5]trip_summary_region!I863</f>
        <v>Cyclist</v>
      </c>
      <c r="J863" t="str">
        <f>[5]trip_summary_region!J863</f>
        <v>2012/13</v>
      </c>
    </row>
    <row r="864" spans="1:10" x14ac:dyDescent="0.25">
      <c r="A864" t="str">
        <f>[5]trip_summary_region!A864</f>
        <v>13 CANTERBURY</v>
      </c>
      <c r="B864">
        <f>[5]trip_summary_region!B864</f>
        <v>1</v>
      </c>
      <c r="C864">
        <f>[5]trip_summary_region!C864</f>
        <v>2018</v>
      </c>
      <c r="D864">
        <f>[5]trip_summary_region!D864</f>
        <v>335</v>
      </c>
      <c r="E864">
        <f>[5]trip_summary_region!E864</f>
        <v>1282</v>
      </c>
      <c r="F864">
        <f>[5]trip_summary_region!F864</f>
        <v>25.417578553999999</v>
      </c>
      <c r="G864">
        <f>[5]trip_summary_region!G864</f>
        <v>106.46325953</v>
      </c>
      <c r="H864">
        <f>[5]trip_summary_region!H864</f>
        <v>7.8378756414000001</v>
      </c>
      <c r="I864" t="str">
        <f>[5]trip_summary_region!I864</f>
        <v>Cyclist</v>
      </c>
      <c r="J864" t="str">
        <f>[5]trip_summary_region!J864</f>
        <v>2017/18</v>
      </c>
    </row>
    <row r="865" spans="1:10" x14ac:dyDescent="0.25">
      <c r="A865" t="str">
        <f>[5]trip_summary_region!A865</f>
        <v>13 CANTERBURY</v>
      </c>
      <c r="B865">
        <f>[5]trip_summary_region!B865</f>
        <v>1</v>
      </c>
      <c r="C865">
        <f>[5]trip_summary_region!C865</f>
        <v>2023</v>
      </c>
      <c r="D865">
        <f>[5]trip_summary_region!D865</f>
        <v>335</v>
      </c>
      <c r="E865">
        <f>[5]trip_summary_region!E865</f>
        <v>1282</v>
      </c>
      <c r="F865">
        <f>[5]trip_summary_region!F865</f>
        <v>25.42587597</v>
      </c>
      <c r="G865">
        <f>[5]trip_summary_region!G865</f>
        <v>108.69247494</v>
      </c>
      <c r="H865">
        <f>[5]trip_summary_region!H865</f>
        <v>7.9296589745999997</v>
      </c>
      <c r="I865" t="str">
        <f>[5]trip_summary_region!I865</f>
        <v>Cyclist</v>
      </c>
      <c r="J865" t="str">
        <f>[5]trip_summary_region!J865</f>
        <v>2022/23</v>
      </c>
    </row>
    <row r="866" spans="1:10" x14ac:dyDescent="0.25">
      <c r="A866" t="str">
        <f>[5]trip_summary_region!A866</f>
        <v>13 CANTERBURY</v>
      </c>
      <c r="B866">
        <f>[5]trip_summary_region!B866</f>
        <v>1</v>
      </c>
      <c r="C866">
        <f>[5]trip_summary_region!C866</f>
        <v>2028</v>
      </c>
      <c r="D866">
        <f>[5]trip_summary_region!D866</f>
        <v>335</v>
      </c>
      <c r="E866">
        <f>[5]trip_summary_region!E866</f>
        <v>1282</v>
      </c>
      <c r="F866">
        <f>[5]trip_summary_region!F866</f>
        <v>25.220827229000001</v>
      </c>
      <c r="G866">
        <f>[5]trip_summary_region!G866</f>
        <v>109.40569431999999</v>
      </c>
      <c r="H866">
        <f>[5]trip_summary_region!H866</f>
        <v>7.9263498508000003</v>
      </c>
      <c r="I866" t="str">
        <f>[5]trip_summary_region!I866</f>
        <v>Cyclist</v>
      </c>
      <c r="J866" t="str">
        <f>[5]trip_summary_region!J866</f>
        <v>2027/28</v>
      </c>
    </row>
    <row r="867" spans="1:10" x14ac:dyDescent="0.25">
      <c r="A867" t="str">
        <f>[5]trip_summary_region!A867</f>
        <v>13 CANTERBURY</v>
      </c>
      <c r="B867">
        <f>[5]trip_summary_region!B867</f>
        <v>1</v>
      </c>
      <c r="C867">
        <f>[5]trip_summary_region!C867</f>
        <v>2033</v>
      </c>
      <c r="D867">
        <f>[5]trip_summary_region!D867</f>
        <v>335</v>
      </c>
      <c r="E867">
        <f>[5]trip_summary_region!E867</f>
        <v>1282</v>
      </c>
      <c r="F867">
        <f>[5]trip_summary_region!F867</f>
        <v>25.083951463999998</v>
      </c>
      <c r="G867">
        <f>[5]trip_summary_region!G867</f>
        <v>111.35267871000001</v>
      </c>
      <c r="H867">
        <f>[5]trip_summary_region!H867</f>
        <v>7.9811847995000003</v>
      </c>
      <c r="I867" t="str">
        <f>[5]trip_summary_region!I867</f>
        <v>Cyclist</v>
      </c>
      <c r="J867" t="str">
        <f>[5]trip_summary_region!J867</f>
        <v>2032/33</v>
      </c>
    </row>
    <row r="868" spans="1:10" x14ac:dyDescent="0.25">
      <c r="A868" t="str">
        <f>[5]trip_summary_region!A868</f>
        <v>13 CANTERBURY</v>
      </c>
      <c r="B868">
        <f>[5]trip_summary_region!B868</f>
        <v>1</v>
      </c>
      <c r="C868">
        <f>[5]trip_summary_region!C868</f>
        <v>2038</v>
      </c>
      <c r="D868">
        <f>[5]trip_summary_region!D868</f>
        <v>335</v>
      </c>
      <c r="E868">
        <f>[5]trip_summary_region!E868</f>
        <v>1282</v>
      </c>
      <c r="F868">
        <f>[5]trip_summary_region!F868</f>
        <v>24.806932477</v>
      </c>
      <c r="G868">
        <f>[5]trip_summary_region!G868</f>
        <v>114.47612672</v>
      </c>
      <c r="H868">
        <f>[5]trip_summary_region!H868</f>
        <v>8.0739824757999994</v>
      </c>
      <c r="I868" t="str">
        <f>[5]trip_summary_region!I868</f>
        <v>Cyclist</v>
      </c>
      <c r="J868" t="str">
        <f>[5]trip_summary_region!J868</f>
        <v>2037/38</v>
      </c>
    </row>
    <row r="869" spans="1:10" x14ac:dyDescent="0.25">
      <c r="A869" t="str">
        <f>[5]trip_summary_region!A869</f>
        <v>13 CANTERBURY</v>
      </c>
      <c r="B869">
        <f>[5]trip_summary_region!B869</f>
        <v>1</v>
      </c>
      <c r="C869">
        <f>[5]trip_summary_region!C869</f>
        <v>2043</v>
      </c>
      <c r="D869">
        <f>[5]trip_summary_region!D869</f>
        <v>335</v>
      </c>
      <c r="E869">
        <f>[5]trip_summary_region!E869</f>
        <v>1282</v>
      </c>
      <c r="F869">
        <f>[5]trip_summary_region!F869</f>
        <v>24.561853533000001</v>
      </c>
      <c r="G869">
        <f>[5]trip_summary_region!G869</f>
        <v>117.86646498</v>
      </c>
      <c r="H869">
        <f>[5]trip_summary_region!H869</f>
        <v>8.1826118609999998</v>
      </c>
      <c r="I869" t="str">
        <f>[5]trip_summary_region!I869</f>
        <v>Cyclist</v>
      </c>
      <c r="J869" t="str">
        <f>[5]trip_summary_region!J869</f>
        <v>2042/43</v>
      </c>
    </row>
    <row r="870" spans="1:10" x14ac:dyDescent="0.25">
      <c r="A870" t="str">
        <f>[5]trip_summary_region!A870</f>
        <v>13 CANTERBURY</v>
      </c>
      <c r="B870">
        <f>[5]trip_summary_region!B870</f>
        <v>2</v>
      </c>
      <c r="C870">
        <f>[5]trip_summary_region!C870</f>
        <v>2013</v>
      </c>
      <c r="D870">
        <f>[5]trip_summary_region!D870</f>
        <v>3326</v>
      </c>
      <c r="E870">
        <f>[5]trip_summary_region!E870</f>
        <v>23816</v>
      </c>
      <c r="F870">
        <f>[5]trip_summary_region!F870</f>
        <v>417.41567177000002</v>
      </c>
      <c r="G870">
        <f>[5]trip_summary_region!G870</f>
        <v>3777.041205</v>
      </c>
      <c r="H870">
        <f>[5]trip_summary_region!H870</f>
        <v>111.06814274</v>
      </c>
      <c r="I870" t="str">
        <f>[5]trip_summary_region!I870</f>
        <v>Light Vehicle Driver</v>
      </c>
      <c r="J870" t="str">
        <f>[5]trip_summary_region!J870</f>
        <v>2012/13</v>
      </c>
    </row>
    <row r="871" spans="1:10" x14ac:dyDescent="0.25">
      <c r="A871" t="str">
        <f>[5]trip_summary_region!A871</f>
        <v>13 CANTERBURY</v>
      </c>
      <c r="B871">
        <f>[5]trip_summary_region!B871</f>
        <v>2</v>
      </c>
      <c r="C871">
        <f>[5]trip_summary_region!C871</f>
        <v>2018</v>
      </c>
      <c r="D871">
        <f>[5]trip_summary_region!D871</f>
        <v>3326</v>
      </c>
      <c r="E871">
        <f>[5]trip_summary_region!E871</f>
        <v>23816</v>
      </c>
      <c r="F871">
        <f>[5]trip_summary_region!F871</f>
        <v>456.88618625999999</v>
      </c>
      <c r="G871">
        <f>[5]trip_summary_region!G871</f>
        <v>4183.1327351</v>
      </c>
      <c r="H871">
        <f>[5]trip_summary_region!H871</f>
        <v>122.72302619</v>
      </c>
      <c r="I871" t="str">
        <f>[5]trip_summary_region!I871</f>
        <v>Light Vehicle Driver</v>
      </c>
      <c r="J871" t="str">
        <f>[5]trip_summary_region!J871</f>
        <v>2017/18</v>
      </c>
    </row>
    <row r="872" spans="1:10" x14ac:dyDescent="0.25">
      <c r="A872" t="str">
        <f>[5]trip_summary_region!A872</f>
        <v>13 CANTERBURY</v>
      </c>
      <c r="B872">
        <f>[5]trip_summary_region!B872</f>
        <v>2</v>
      </c>
      <c r="C872">
        <f>[5]trip_summary_region!C872</f>
        <v>2023</v>
      </c>
      <c r="D872">
        <f>[5]trip_summary_region!D872</f>
        <v>3326</v>
      </c>
      <c r="E872">
        <f>[5]trip_summary_region!E872</f>
        <v>23816</v>
      </c>
      <c r="F872">
        <f>[5]trip_summary_region!F872</f>
        <v>476.23280511000002</v>
      </c>
      <c r="G872">
        <f>[5]trip_summary_region!G872</f>
        <v>4373.4417552000004</v>
      </c>
      <c r="H872">
        <f>[5]trip_summary_region!H872</f>
        <v>128.30051982000001</v>
      </c>
      <c r="I872" t="str">
        <f>[5]trip_summary_region!I872</f>
        <v>Light Vehicle Driver</v>
      </c>
      <c r="J872" t="str">
        <f>[5]trip_summary_region!J872</f>
        <v>2022/23</v>
      </c>
    </row>
    <row r="873" spans="1:10" x14ac:dyDescent="0.25">
      <c r="A873" t="str">
        <f>[5]trip_summary_region!A873</f>
        <v>13 CANTERBURY</v>
      </c>
      <c r="B873">
        <f>[5]trip_summary_region!B873</f>
        <v>2</v>
      </c>
      <c r="C873">
        <f>[5]trip_summary_region!C873</f>
        <v>2028</v>
      </c>
      <c r="D873">
        <f>[5]trip_summary_region!D873</f>
        <v>3326</v>
      </c>
      <c r="E873">
        <f>[5]trip_summary_region!E873</f>
        <v>23816</v>
      </c>
      <c r="F873">
        <f>[5]trip_summary_region!F873</f>
        <v>499.14627985999999</v>
      </c>
      <c r="G873">
        <f>[5]trip_summary_region!G873</f>
        <v>4590.1699712999998</v>
      </c>
      <c r="H873">
        <f>[5]trip_summary_region!H873</f>
        <v>134.54109561999999</v>
      </c>
      <c r="I873" t="str">
        <f>[5]trip_summary_region!I873</f>
        <v>Light Vehicle Driver</v>
      </c>
      <c r="J873" t="str">
        <f>[5]trip_summary_region!J873</f>
        <v>2027/28</v>
      </c>
    </row>
    <row r="874" spans="1:10" x14ac:dyDescent="0.25">
      <c r="A874" t="str">
        <f>[5]trip_summary_region!A874</f>
        <v>13 CANTERBURY</v>
      </c>
      <c r="B874">
        <f>[5]trip_summary_region!B874</f>
        <v>2</v>
      </c>
      <c r="C874">
        <f>[5]trip_summary_region!C874</f>
        <v>2033</v>
      </c>
      <c r="D874">
        <f>[5]trip_summary_region!D874</f>
        <v>3326</v>
      </c>
      <c r="E874">
        <f>[5]trip_summary_region!E874</f>
        <v>23816</v>
      </c>
      <c r="F874">
        <f>[5]trip_summary_region!F874</f>
        <v>519.51235643999996</v>
      </c>
      <c r="G874">
        <f>[5]trip_summary_region!G874</f>
        <v>4788.8704564999998</v>
      </c>
      <c r="H874">
        <f>[5]trip_summary_region!H874</f>
        <v>140.26407354</v>
      </c>
      <c r="I874" t="str">
        <f>[5]trip_summary_region!I874</f>
        <v>Light Vehicle Driver</v>
      </c>
      <c r="J874" t="str">
        <f>[5]trip_summary_region!J874</f>
        <v>2032/33</v>
      </c>
    </row>
    <row r="875" spans="1:10" x14ac:dyDescent="0.25">
      <c r="A875" t="str">
        <f>[5]trip_summary_region!A875</f>
        <v>13 CANTERBURY</v>
      </c>
      <c r="B875">
        <f>[5]trip_summary_region!B875</f>
        <v>2</v>
      </c>
      <c r="C875">
        <f>[5]trip_summary_region!C875</f>
        <v>2038</v>
      </c>
      <c r="D875">
        <f>[5]trip_summary_region!D875</f>
        <v>3326</v>
      </c>
      <c r="E875">
        <f>[5]trip_summary_region!E875</f>
        <v>23816</v>
      </c>
      <c r="F875">
        <f>[5]trip_summary_region!F875</f>
        <v>532.90488145999996</v>
      </c>
      <c r="G875">
        <f>[5]trip_summary_region!G875</f>
        <v>4927.6012693000002</v>
      </c>
      <c r="H875">
        <f>[5]trip_summary_region!H875</f>
        <v>144.25808574000001</v>
      </c>
      <c r="I875" t="str">
        <f>[5]trip_summary_region!I875</f>
        <v>Light Vehicle Driver</v>
      </c>
      <c r="J875" t="str">
        <f>[5]trip_summary_region!J875</f>
        <v>2037/38</v>
      </c>
    </row>
    <row r="876" spans="1:10" x14ac:dyDescent="0.25">
      <c r="A876" t="str">
        <f>[5]trip_summary_region!A876</f>
        <v>13 CANTERBURY</v>
      </c>
      <c r="B876">
        <f>[5]trip_summary_region!B876</f>
        <v>2</v>
      </c>
      <c r="C876">
        <f>[5]trip_summary_region!C876</f>
        <v>2043</v>
      </c>
      <c r="D876">
        <f>[5]trip_summary_region!D876</f>
        <v>3326</v>
      </c>
      <c r="E876">
        <f>[5]trip_summary_region!E876</f>
        <v>23816</v>
      </c>
      <c r="F876">
        <f>[5]trip_summary_region!F876</f>
        <v>544.09149822999996</v>
      </c>
      <c r="G876">
        <f>[5]trip_summary_region!G876</f>
        <v>5047.0858925000002</v>
      </c>
      <c r="H876">
        <f>[5]trip_summary_region!H876</f>
        <v>147.69919095</v>
      </c>
      <c r="I876" t="str">
        <f>[5]trip_summary_region!I876</f>
        <v>Light Vehicle Driver</v>
      </c>
      <c r="J876" t="str">
        <f>[5]trip_summary_region!J876</f>
        <v>2042/43</v>
      </c>
    </row>
    <row r="877" spans="1:10" x14ac:dyDescent="0.25">
      <c r="A877" t="str">
        <f>[5]trip_summary_region!A877</f>
        <v>13 CANTERBURY</v>
      </c>
      <c r="B877">
        <f>[5]trip_summary_region!B877</f>
        <v>3</v>
      </c>
      <c r="C877">
        <f>[5]trip_summary_region!C877</f>
        <v>2013</v>
      </c>
      <c r="D877">
        <f>[5]trip_summary_region!D877</f>
        <v>2416</v>
      </c>
      <c r="E877">
        <f>[5]trip_summary_region!E877</f>
        <v>11025</v>
      </c>
      <c r="F877">
        <f>[5]trip_summary_region!F877</f>
        <v>189.77500577999999</v>
      </c>
      <c r="G877">
        <f>[5]trip_summary_region!G877</f>
        <v>2033.7115475000001</v>
      </c>
      <c r="H877">
        <f>[5]trip_summary_region!H877</f>
        <v>53.544276449999998</v>
      </c>
      <c r="I877" t="str">
        <f>[5]trip_summary_region!I877</f>
        <v>Light Vehicle Passenger</v>
      </c>
      <c r="J877" t="str">
        <f>[5]trip_summary_region!J877</f>
        <v>2012/13</v>
      </c>
    </row>
    <row r="878" spans="1:10" x14ac:dyDescent="0.25">
      <c r="A878" t="str">
        <f>[5]trip_summary_region!A878</f>
        <v>13 CANTERBURY</v>
      </c>
      <c r="B878">
        <f>[5]trip_summary_region!B878</f>
        <v>3</v>
      </c>
      <c r="C878">
        <f>[5]trip_summary_region!C878</f>
        <v>2018</v>
      </c>
      <c r="D878">
        <f>[5]trip_summary_region!D878</f>
        <v>2416</v>
      </c>
      <c r="E878">
        <f>[5]trip_summary_region!E878</f>
        <v>11025</v>
      </c>
      <c r="F878">
        <f>[5]trip_summary_region!F878</f>
        <v>196.69660003000001</v>
      </c>
      <c r="G878">
        <f>[5]trip_summary_region!G878</f>
        <v>2140.1258689000001</v>
      </c>
      <c r="H878">
        <f>[5]trip_summary_region!H878</f>
        <v>56.016323798000002</v>
      </c>
      <c r="I878" t="str">
        <f>[5]trip_summary_region!I878</f>
        <v>Light Vehicle Passenger</v>
      </c>
      <c r="J878" t="str">
        <f>[5]trip_summary_region!J878</f>
        <v>2017/18</v>
      </c>
    </row>
    <row r="879" spans="1:10" x14ac:dyDescent="0.25">
      <c r="A879" t="str">
        <f>[5]trip_summary_region!A879</f>
        <v>13 CANTERBURY</v>
      </c>
      <c r="B879">
        <f>[5]trip_summary_region!B879</f>
        <v>3</v>
      </c>
      <c r="C879">
        <f>[5]trip_summary_region!C879</f>
        <v>2023</v>
      </c>
      <c r="D879">
        <f>[5]trip_summary_region!D879</f>
        <v>2416</v>
      </c>
      <c r="E879">
        <f>[5]trip_summary_region!E879</f>
        <v>11025</v>
      </c>
      <c r="F879">
        <f>[5]trip_summary_region!F879</f>
        <v>197.82385070000001</v>
      </c>
      <c r="G879">
        <f>[5]trip_summary_region!G879</f>
        <v>2176.4917810000002</v>
      </c>
      <c r="H879">
        <f>[5]trip_summary_region!H879</f>
        <v>56.70104044</v>
      </c>
      <c r="I879" t="str">
        <f>[5]trip_summary_region!I879</f>
        <v>Light Vehicle Passenger</v>
      </c>
      <c r="J879" t="str">
        <f>[5]trip_summary_region!J879</f>
        <v>2022/23</v>
      </c>
    </row>
    <row r="880" spans="1:10" x14ac:dyDescent="0.25">
      <c r="A880" t="str">
        <f>[5]trip_summary_region!A880</f>
        <v>13 CANTERBURY</v>
      </c>
      <c r="B880">
        <f>[5]trip_summary_region!B880</f>
        <v>3</v>
      </c>
      <c r="C880">
        <f>[5]trip_summary_region!C880</f>
        <v>2028</v>
      </c>
      <c r="D880">
        <f>[5]trip_summary_region!D880</f>
        <v>2416</v>
      </c>
      <c r="E880">
        <f>[5]trip_summary_region!E880</f>
        <v>11025</v>
      </c>
      <c r="F880">
        <f>[5]trip_summary_region!F880</f>
        <v>200.41244144000001</v>
      </c>
      <c r="G880">
        <f>[5]trip_summary_region!G880</f>
        <v>2237.9710503000001</v>
      </c>
      <c r="H880">
        <f>[5]trip_summary_region!H880</f>
        <v>57.862792802000001</v>
      </c>
      <c r="I880" t="str">
        <f>[5]trip_summary_region!I880</f>
        <v>Light Vehicle Passenger</v>
      </c>
      <c r="J880" t="str">
        <f>[5]trip_summary_region!J880</f>
        <v>2027/28</v>
      </c>
    </row>
    <row r="881" spans="1:10" x14ac:dyDescent="0.25">
      <c r="A881" t="str">
        <f>[5]trip_summary_region!A881</f>
        <v>13 CANTERBURY</v>
      </c>
      <c r="B881">
        <f>[5]trip_summary_region!B881</f>
        <v>3</v>
      </c>
      <c r="C881">
        <f>[5]trip_summary_region!C881</f>
        <v>2033</v>
      </c>
      <c r="D881">
        <f>[5]trip_summary_region!D881</f>
        <v>2416</v>
      </c>
      <c r="E881">
        <f>[5]trip_summary_region!E881</f>
        <v>11025</v>
      </c>
      <c r="F881">
        <f>[5]trip_summary_region!F881</f>
        <v>202.04019518000001</v>
      </c>
      <c r="G881">
        <f>[5]trip_summary_region!G881</f>
        <v>2286.4231782000002</v>
      </c>
      <c r="H881">
        <f>[5]trip_summary_region!H881</f>
        <v>58.729080967000002</v>
      </c>
      <c r="I881" t="str">
        <f>[5]trip_summary_region!I881</f>
        <v>Light Vehicle Passenger</v>
      </c>
      <c r="J881" t="str">
        <f>[5]trip_summary_region!J881</f>
        <v>2032/33</v>
      </c>
    </row>
    <row r="882" spans="1:10" x14ac:dyDescent="0.25">
      <c r="A882" t="str">
        <f>[5]trip_summary_region!A882</f>
        <v>13 CANTERBURY</v>
      </c>
      <c r="B882">
        <f>[5]trip_summary_region!B882</f>
        <v>3</v>
      </c>
      <c r="C882">
        <f>[5]trip_summary_region!C882</f>
        <v>2038</v>
      </c>
      <c r="D882">
        <f>[5]trip_summary_region!D882</f>
        <v>2416</v>
      </c>
      <c r="E882">
        <f>[5]trip_summary_region!E882</f>
        <v>11025</v>
      </c>
      <c r="F882">
        <f>[5]trip_summary_region!F882</f>
        <v>203.03009499999999</v>
      </c>
      <c r="G882">
        <f>[5]trip_summary_region!G882</f>
        <v>2323.0310897999998</v>
      </c>
      <c r="H882">
        <f>[5]trip_summary_region!H882</f>
        <v>59.387033621</v>
      </c>
      <c r="I882" t="str">
        <f>[5]trip_summary_region!I882</f>
        <v>Light Vehicle Passenger</v>
      </c>
      <c r="J882" t="str">
        <f>[5]trip_summary_region!J882</f>
        <v>2037/38</v>
      </c>
    </row>
    <row r="883" spans="1:10" x14ac:dyDescent="0.25">
      <c r="A883" t="str">
        <f>[5]trip_summary_region!A883</f>
        <v>13 CANTERBURY</v>
      </c>
      <c r="B883">
        <f>[5]trip_summary_region!B883</f>
        <v>3</v>
      </c>
      <c r="C883">
        <f>[5]trip_summary_region!C883</f>
        <v>2043</v>
      </c>
      <c r="D883">
        <f>[5]trip_summary_region!D883</f>
        <v>2416</v>
      </c>
      <c r="E883">
        <f>[5]trip_summary_region!E883</f>
        <v>11025</v>
      </c>
      <c r="F883">
        <f>[5]trip_summary_region!F883</f>
        <v>203.08168089</v>
      </c>
      <c r="G883">
        <f>[5]trip_summary_region!G883</f>
        <v>2349.2401129</v>
      </c>
      <c r="H883">
        <f>[5]trip_summary_region!H883</f>
        <v>59.785038673999999</v>
      </c>
      <c r="I883" t="str">
        <f>[5]trip_summary_region!I883</f>
        <v>Light Vehicle Passenger</v>
      </c>
      <c r="J883" t="str">
        <f>[5]trip_summary_region!J883</f>
        <v>2042/43</v>
      </c>
    </row>
    <row r="884" spans="1:10" x14ac:dyDescent="0.25">
      <c r="A884" t="str">
        <f>[5]trip_summary_region!A884</f>
        <v>13 CANTERBURY</v>
      </c>
      <c r="B884">
        <f>[5]trip_summary_region!B884</f>
        <v>4</v>
      </c>
      <c r="C884">
        <f>[5]trip_summary_region!C884</f>
        <v>2013</v>
      </c>
      <c r="D884">
        <f>[5]trip_summary_region!D884</f>
        <v>68</v>
      </c>
      <c r="E884">
        <f>[5]trip_summary_region!E884</f>
        <v>116</v>
      </c>
      <c r="F884">
        <f>[5]trip_summary_region!F884</f>
        <v>2.2446435044999999</v>
      </c>
      <c r="G884">
        <f>[5]trip_summary_region!G884</f>
        <v>16.530142167000001</v>
      </c>
      <c r="H884">
        <f>[5]trip_summary_region!H884</f>
        <v>0.86554787379999998</v>
      </c>
      <c r="I884" t="s">
        <v>116</v>
      </c>
      <c r="J884" t="str">
        <f>[5]trip_summary_region!J884</f>
        <v>2012/13</v>
      </c>
    </row>
    <row r="885" spans="1:10" x14ac:dyDescent="0.25">
      <c r="A885" t="str">
        <f>[5]trip_summary_region!A885</f>
        <v>13 CANTERBURY</v>
      </c>
      <c r="B885">
        <f>[5]trip_summary_region!B885</f>
        <v>4</v>
      </c>
      <c r="C885">
        <f>[5]trip_summary_region!C885</f>
        <v>2018</v>
      </c>
      <c r="D885">
        <f>[5]trip_summary_region!D885</f>
        <v>68</v>
      </c>
      <c r="E885">
        <f>[5]trip_summary_region!E885</f>
        <v>116</v>
      </c>
      <c r="F885">
        <f>[5]trip_summary_region!F885</f>
        <v>2.4513720858000001</v>
      </c>
      <c r="G885">
        <f>[5]trip_summary_region!G885</f>
        <v>18.72563229</v>
      </c>
      <c r="H885">
        <f>[5]trip_summary_region!H885</f>
        <v>0.95403280580000005</v>
      </c>
      <c r="I885" t="s">
        <v>116</v>
      </c>
      <c r="J885" t="str">
        <f>[5]trip_summary_region!J885</f>
        <v>2017/18</v>
      </c>
    </row>
    <row r="886" spans="1:10" x14ac:dyDescent="0.25">
      <c r="A886" t="str">
        <f>[5]trip_summary_region!A886</f>
        <v>13 CANTERBURY</v>
      </c>
      <c r="B886">
        <f>[5]trip_summary_region!B886</f>
        <v>4</v>
      </c>
      <c r="C886">
        <f>[5]trip_summary_region!C886</f>
        <v>2023</v>
      </c>
      <c r="D886">
        <f>[5]trip_summary_region!D886</f>
        <v>68</v>
      </c>
      <c r="E886">
        <f>[5]trip_summary_region!E886</f>
        <v>116</v>
      </c>
      <c r="F886">
        <f>[5]trip_summary_region!F886</f>
        <v>2.5487065212000002</v>
      </c>
      <c r="G886">
        <f>[5]trip_summary_region!G886</f>
        <v>19.857974495000001</v>
      </c>
      <c r="H886">
        <f>[5]trip_summary_region!H886</f>
        <v>0.99633355749999997</v>
      </c>
      <c r="I886" t="s">
        <v>116</v>
      </c>
      <c r="J886" t="str">
        <f>[5]trip_summary_region!J886</f>
        <v>2022/23</v>
      </c>
    </row>
    <row r="887" spans="1:10" x14ac:dyDescent="0.25">
      <c r="A887" t="str">
        <f>[5]trip_summary_region!A887</f>
        <v>13 CANTERBURY</v>
      </c>
      <c r="B887">
        <f>[5]trip_summary_region!B887</f>
        <v>4</v>
      </c>
      <c r="C887">
        <f>[5]trip_summary_region!C887</f>
        <v>2028</v>
      </c>
      <c r="D887">
        <f>[5]trip_summary_region!D887</f>
        <v>68</v>
      </c>
      <c r="E887">
        <f>[5]trip_summary_region!E887</f>
        <v>116</v>
      </c>
      <c r="F887">
        <f>[5]trip_summary_region!F887</f>
        <v>2.6171188869000002</v>
      </c>
      <c r="G887">
        <f>[5]trip_summary_region!G887</f>
        <v>20.595019342000001</v>
      </c>
      <c r="H887">
        <f>[5]trip_summary_region!H887</f>
        <v>1.0318682409</v>
      </c>
      <c r="I887" t="s">
        <v>116</v>
      </c>
      <c r="J887" t="str">
        <f>[5]trip_summary_region!J887</f>
        <v>2027/28</v>
      </c>
    </row>
    <row r="888" spans="1:10" x14ac:dyDescent="0.25">
      <c r="A888" t="str">
        <f>[5]trip_summary_region!A888</f>
        <v>13 CANTERBURY</v>
      </c>
      <c r="B888">
        <f>[5]trip_summary_region!B888</f>
        <v>4</v>
      </c>
      <c r="C888">
        <f>[5]trip_summary_region!C888</f>
        <v>2033</v>
      </c>
      <c r="D888">
        <f>[5]trip_summary_region!D888</f>
        <v>68</v>
      </c>
      <c r="E888">
        <f>[5]trip_summary_region!E888</f>
        <v>116</v>
      </c>
      <c r="F888">
        <f>[5]trip_summary_region!F888</f>
        <v>2.6804354780000001</v>
      </c>
      <c r="G888">
        <f>[5]trip_summary_region!G888</f>
        <v>21.343412953000001</v>
      </c>
      <c r="H888">
        <f>[5]trip_summary_region!H888</f>
        <v>1.0695799653</v>
      </c>
      <c r="I888" t="s">
        <v>116</v>
      </c>
      <c r="J888" t="str">
        <f>[5]trip_summary_region!J888</f>
        <v>2032/33</v>
      </c>
    </row>
    <row r="889" spans="1:10" x14ac:dyDescent="0.25">
      <c r="A889" t="str">
        <f>[5]trip_summary_region!A889</f>
        <v>13 CANTERBURY</v>
      </c>
      <c r="B889">
        <f>[5]trip_summary_region!B889</f>
        <v>4</v>
      </c>
      <c r="C889">
        <f>[5]trip_summary_region!C889</f>
        <v>2038</v>
      </c>
      <c r="D889">
        <f>[5]trip_summary_region!D889</f>
        <v>68</v>
      </c>
      <c r="E889">
        <f>[5]trip_summary_region!E889</f>
        <v>116</v>
      </c>
      <c r="F889">
        <f>[5]trip_summary_region!F889</f>
        <v>2.6883079357000002</v>
      </c>
      <c r="G889">
        <f>[5]trip_summary_region!G889</f>
        <v>21.799716954000001</v>
      </c>
      <c r="H889">
        <f>[5]trip_summary_region!H889</f>
        <v>1.0783943313</v>
      </c>
      <c r="I889" t="s">
        <v>116</v>
      </c>
      <c r="J889" t="str">
        <f>[5]trip_summary_region!J889</f>
        <v>2037/38</v>
      </c>
    </row>
    <row r="890" spans="1:10" x14ac:dyDescent="0.25">
      <c r="A890" t="str">
        <f>[5]trip_summary_region!A890</f>
        <v>13 CANTERBURY</v>
      </c>
      <c r="B890">
        <f>[5]trip_summary_region!B890</f>
        <v>4</v>
      </c>
      <c r="C890">
        <f>[5]trip_summary_region!C890</f>
        <v>2043</v>
      </c>
      <c r="D890">
        <f>[5]trip_summary_region!D890</f>
        <v>68</v>
      </c>
      <c r="E890">
        <f>[5]trip_summary_region!E890</f>
        <v>116</v>
      </c>
      <c r="F890">
        <f>[5]trip_summary_region!F890</f>
        <v>2.6795537845999999</v>
      </c>
      <c r="G890">
        <f>[5]trip_summary_region!G890</f>
        <v>22.132784133000001</v>
      </c>
      <c r="H890">
        <f>[5]trip_summary_region!H890</f>
        <v>1.0758449926</v>
      </c>
      <c r="I890" t="s">
        <v>116</v>
      </c>
      <c r="J890" t="str">
        <f>[5]trip_summary_region!J890</f>
        <v>2042/43</v>
      </c>
    </row>
    <row r="891" spans="1:10" x14ac:dyDescent="0.25">
      <c r="A891" t="str">
        <f>[5]trip_summary_region!A891</f>
        <v>13 CANTERBURY</v>
      </c>
      <c r="B891">
        <f>[5]trip_summary_region!B891</f>
        <v>5</v>
      </c>
      <c r="C891">
        <f>[5]trip_summary_region!C891</f>
        <v>2013</v>
      </c>
      <c r="D891">
        <f>[5]trip_summary_region!D891</f>
        <v>29</v>
      </c>
      <c r="E891">
        <f>[5]trip_summary_region!E891</f>
        <v>91</v>
      </c>
      <c r="F891">
        <f>[5]trip_summary_region!F891</f>
        <v>1.4451657518000001</v>
      </c>
      <c r="G891">
        <f>[5]trip_summary_region!G891</f>
        <v>12.048552727000001</v>
      </c>
      <c r="H891">
        <f>[5]trip_summary_region!H891</f>
        <v>0.39288238580000001</v>
      </c>
      <c r="I891" t="str">
        <f>[5]trip_summary_region!I891</f>
        <v>Motorcyclist</v>
      </c>
      <c r="J891" t="str">
        <f>[5]trip_summary_region!J891</f>
        <v>2012/13</v>
      </c>
    </row>
    <row r="892" spans="1:10" x14ac:dyDescent="0.25">
      <c r="A892" t="str">
        <f>[5]trip_summary_region!A892</f>
        <v>13 CANTERBURY</v>
      </c>
      <c r="B892">
        <f>[5]trip_summary_region!B892</f>
        <v>5</v>
      </c>
      <c r="C892">
        <f>[5]trip_summary_region!C892</f>
        <v>2018</v>
      </c>
      <c r="D892">
        <f>[5]trip_summary_region!D892</f>
        <v>29</v>
      </c>
      <c r="E892">
        <f>[5]trip_summary_region!E892</f>
        <v>91</v>
      </c>
      <c r="F892">
        <f>[5]trip_summary_region!F892</f>
        <v>1.5664429900000001</v>
      </c>
      <c r="G892">
        <f>[5]trip_summary_region!G892</f>
        <v>12.746930331</v>
      </c>
      <c r="H892">
        <f>[5]trip_summary_region!H892</f>
        <v>0.42296851670000002</v>
      </c>
      <c r="I892" t="str">
        <f>[5]trip_summary_region!I892</f>
        <v>Motorcyclist</v>
      </c>
      <c r="J892" t="str">
        <f>[5]trip_summary_region!J892</f>
        <v>2017/18</v>
      </c>
    </row>
    <row r="893" spans="1:10" x14ac:dyDescent="0.25">
      <c r="A893" t="str">
        <f>[5]trip_summary_region!A893</f>
        <v>13 CANTERBURY</v>
      </c>
      <c r="B893">
        <f>[5]trip_summary_region!B893</f>
        <v>5</v>
      </c>
      <c r="C893">
        <f>[5]trip_summary_region!C893</f>
        <v>2023</v>
      </c>
      <c r="D893">
        <f>[5]trip_summary_region!D893</f>
        <v>29</v>
      </c>
      <c r="E893">
        <f>[5]trip_summary_region!E893</f>
        <v>91</v>
      </c>
      <c r="F893">
        <f>[5]trip_summary_region!F893</f>
        <v>1.5804710229000001</v>
      </c>
      <c r="G893">
        <f>[5]trip_summary_region!G893</f>
        <v>12.75056536</v>
      </c>
      <c r="H893">
        <f>[5]trip_summary_region!H893</f>
        <v>0.4291402554</v>
      </c>
      <c r="I893" t="str">
        <f>[5]trip_summary_region!I893</f>
        <v>Motorcyclist</v>
      </c>
      <c r="J893" t="str">
        <f>[5]trip_summary_region!J893</f>
        <v>2022/23</v>
      </c>
    </row>
    <row r="894" spans="1:10" x14ac:dyDescent="0.25">
      <c r="A894" t="str">
        <f>[5]trip_summary_region!A894</f>
        <v>13 CANTERBURY</v>
      </c>
      <c r="B894">
        <f>[5]trip_summary_region!B894</f>
        <v>5</v>
      </c>
      <c r="C894">
        <f>[5]trip_summary_region!C894</f>
        <v>2028</v>
      </c>
      <c r="D894">
        <f>[5]trip_summary_region!D894</f>
        <v>29</v>
      </c>
      <c r="E894">
        <f>[5]trip_summary_region!E894</f>
        <v>91</v>
      </c>
      <c r="F894">
        <f>[5]trip_summary_region!F894</f>
        <v>1.5938945508</v>
      </c>
      <c r="G894">
        <f>[5]trip_summary_region!G894</f>
        <v>12.782206131000001</v>
      </c>
      <c r="H894">
        <f>[5]trip_summary_region!H894</f>
        <v>0.43696345250000002</v>
      </c>
      <c r="I894" t="str">
        <f>[5]trip_summary_region!I894</f>
        <v>Motorcyclist</v>
      </c>
      <c r="J894" t="str">
        <f>[5]trip_summary_region!J894</f>
        <v>2027/28</v>
      </c>
    </row>
    <row r="895" spans="1:10" x14ac:dyDescent="0.25">
      <c r="A895" t="str">
        <f>[5]trip_summary_region!A895</f>
        <v>13 CANTERBURY</v>
      </c>
      <c r="B895">
        <f>[5]trip_summary_region!B895</f>
        <v>5</v>
      </c>
      <c r="C895">
        <f>[5]trip_summary_region!C895</f>
        <v>2033</v>
      </c>
      <c r="D895">
        <f>[5]trip_summary_region!D895</f>
        <v>29</v>
      </c>
      <c r="E895">
        <f>[5]trip_summary_region!E895</f>
        <v>91</v>
      </c>
      <c r="F895">
        <f>[5]trip_summary_region!F895</f>
        <v>1.6165467195000001</v>
      </c>
      <c r="G895">
        <f>[5]trip_summary_region!G895</f>
        <v>13.153218643000001</v>
      </c>
      <c r="H895">
        <f>[5]trip_summary_region!H895</f>
        <v>0.45144591319999999</v>
      </c>
      <c r="I895" t="str">
        <f>[5]trip_summary_region!I895</f>
        <v>Motorcyclist</v>
      </c>
      <c r="J895" t="str">
        <f>[5]trip_summary_region!J895</f>
        <v>2032/33</v>
      </c>
    </row>
    <row r="896" spans="1:10" x14ac:dyDescent="0.25">
      <c r="A896" t="str">
        <f>[5]trip_summary_region!A896</f>
        <v>13 CANTERBURY</v>
      </c>
      <c r="B896">
        <f>[5]trip_summary_region!B896</f>
        <v>5</v>
      </c>
      <c r="C896">
        <f>[5]trip_summary_region!C896</f>
        <v>2038</v>
      </c>
      <c r="D896">
        <f>[5]trip_summary_region!D896</f>
        <v>29</v>
      </c>
      <c r="E896">
        <f>[5]trip_summary_region!E896</f>
        <v>91</v>
      </c>
      <c r="F896">
        <f>[5]trip_summary_region!F896</f>
        <v>1.67534143</v>
      </c>
      <c r="G896">
        <f>[5]trip_summary_region!G896</f>
        <v>13.865822413</v>
      </c>
      <c r="H896">
        <f>[5]trip_summary_region!H896</f>
        <v>0.47812873760000002</v>
      </c>
      <c r="I896" t="str">
        <f>[5]trip_summary_region!I896</f>
        <v>Motorcyclist</v>
      </c>
      <c r="J896" t="str">
        <f>[5]trip_summary_region!J896</f>
        <v>2037/38</v>
      </c>
    </row>
    <row r="897" spans="1:10" x14ac:dyDescent="0.25">
      <c r="A897" t="str">
        <f>[5]trip_summary_region!A897</f>
        <v>13 CANTERBURY</v>
      </c>
      <c r="B897">
        <f>[5]trip_summary_region!B897</f>
        <v>5</v>
      </c>
      <c r="C897">
        <f>[5]trip_summary_region!C897</f>
        <v>2043</v>
      </c>
      <c r="D897">
        <f>[5]trip_summary_region!D897</f>
        <v>29</v>
      </c>
      <c r="E897">
        <f>[5]trip_summary_region!E897</f>
        <v>91</v>
      </c>
      <c r="F897">
        <f>[5]trip_summary_region!F897</f>
        <v>1.7244187016000001</v>
      </c>
      <c r="G897">
        <f>[5]trip_summary_region!G897</f>
        <v>14.469892945</v>
      </c>
      <c r="H897">
        <f>[5]trip_summary_region!H897</f>
        <v>0.50235576410000005</v>
      </c>
      <c r="I897" t="str">
        <f>[5]trip_summary_region!I897</f>
        <v>Motorcyclist</v>
      </c>
      <c r="J897" t="str">
        <f>[5]trip_summary_region!J897</f>
        <v>2042/43</v>
      </c>
    </row>
    <row r="898" spans="1:10" x14ac:dyDescent="0.25">
      <c r="A898" t="str">
        <f>[5]trip_summary_region!A898</f>
        <v>13 CANTERBURY</v>
      </c>
      <c r="B898">
        <f>[5]trip_summary_region!B898</f>
        <v>6</v>
      </c>
      <c r="C898">
        <f>[5]trip_summary_region!C898</f>
        <v>2013</v>
      </c>
      <c r="D898">
        <f>[5]trip_summary_region!D898</f>
        <v>1</v>
      </c>
      <c r="E898">
        <f>[5]trip_summary_region!E898</f>
        <v>1</v>
      </c>
      <c r="F898">
        <f>[5]trip_summary_region!F898</f>
        <v>2.1901243099999999E-2</v>
      </c>
      <c r="G898">
        <f>[5]trip_summary_region!G898</f>
        <v>0</v>
      </c>
      <c r="H898">
        <f>[5]trip_summary_region!H898</f>
        <v>7.3004144E-3</v>
      </c>
      <c r="I898" t="str">
        <f>[5]trip_summary_region!I898</f>
        <v>Local Train</v>
      </c>
      <c r="J898" t="str">
        <f>[5]trip_summary_region!J898</f>
        <v>2012/13</v>
      </c>
    </row>
    <row r="899" spans="1:10" x14ac:dyDescent="0.25">
      <c r="A899" t="str">
        <f>[5]trip_summary_region!A899</f>
        <v>13 CANTERBURY</v>
      </c>
      <c r="B899">
        <f>[5]trip_summary_region!B899</f>
        <v>6</v>
      </c>
      <c r="C899">
        <f>[5]trip_summary_region!C899</f>
        <v>2018</v>
      </c>
      <c r="D899">
        <f>[5]trip_summary_region!D899</f>
        <v>1</v>
      </c>
      <c r="E899">
        <f>[5]trip_summary_region!E899</f>
        <v>1</v>
      </c>
      <c r="F899">
        <f>[5]trip_summary_region!F899</f>
        <v>2.1881727399999999E-2</v>
      </c>
      <c r="G899">
        <f>[5]trip_summary_region!G899</f>
        <v>0</v>
      </c>
      <c r="H899">
        <f>[5]trip_summary_region!H899</f>
        <v>7.2939090999999999E-3</v>
      </c>
      <c r="I899" t="str">
        <f>[5]trip_summary_region!I899</f>
        <v>Local Train</v>
      </c>
      <c r="J899" t="str">
        <f>[5]trip_summary_region!J899</f>
        <v>2017/18</v>
      </c>
    </row>
    <row r="900" spans="1:10" x14ac:dyDescent="0.25">
      <c r="A900" t="str">
        <f>[5]trip_summary_region!A900</f>
        <v>13 CANTERBURY</v>
      </c>
      <c r="B900">
        <f>[5]trip_summary_region!B900</f>
        <v>6</v>
      </c>
      <c r="C900">
        <f>[5]trip_summary_region!C900</f>
        <v>2023</v>
      </c>
      <c r="D900">
        <f>[5]trip_summary_region!D900</f>
        <v>1</v>
      </c>
      <c r="E900">
        <f>[5]trip_summary_region!E900</f>
        <v>1</v>
      </c>
      <c r="F900">
        <f>[5]trip_summary_region!F900</f>
        <v>1.8407240299999999E-2</v>
      </c>
      <c r="G900">
        <f>[5]trip_summary_region!G900</f>
        <v>0</v>
      </c>
      <c r="H900">
        <f>[5]trip_summary_region!H900</f>
        <v>6.1357468000000004E-3</v>
      </c>
      <c r="I900" t="str">
        <f>[5]trip_summary_region!I900</f>
        <v>Local Train</v>
      </c>
      <c r="J900" t="str">
        <f>[5]trip_summary_region!J900</f>
        <v>2022/23</v>
      </c>
    </row>
    <row r="901" spans="1:10" x14ac:dyDescent="0.25">
      <c r="A901" t="str">
        <f>[5]trip_summary_region!A901</f>
        <v>13 CANTERBURY</v>
      </c>
      <c r="B901">
        <f>[5]trip_summary_region!B901</f>
        <v>6</v>
      </c>
      <c r="C901">
        <f>[5]trip_summary_region!C901</f>
        <v>2028</v>
      </c>
      <c r="D901">
        <f>[5]trip_summary_region!D901</f>
        <v>1</v>
      </c>
      <c r="E901">
        <f>[5]trip_summary_region!E901</f>
        <v>1</v>
      </c>
      <c r="F901">
        <f>[5]trip_summary_region!F901</f>
        <v>1.69883797E-2</v>
      </c>
      <c r="G901">
        <f>[5]trip_summary_region!G901</f>
        <v>0</v>
      </c>
      <c r="H901">
        <f>[5]trip_summary_region!H901</f>
        <v>5.6627932000000002E-3</v>
      </c>
      <c r="I901" t="str">
        <f>[5]trip_summary_region!I901</f>
        <v>Local Train</v>
      </c>
      <c r="J901" t="str">
        <f>[5]trip_summary_region!J901</f>
        <v>2027/28</v>
      </c>
    </row>
    <row r="902" spans="1:10" x14ac:dyDescent="0.25">
      <c r="A902" t="str">
        <f>[5]trip_summary_region!A902</f>
        <v>13 CANTERBURY</v>
      </c>
      <c r="B902">
        <f>[5]trip_summary_region!B902</f>
        <v>6</v>
      </c>
      <c r="C902">
        <f>[5]trip_summary_region!C902</f>
        <v>2033</v>
      </c>
      <c r="D902">
        <f>[5]trip_summary_region!D902</f>
        <v>1</v>
      </c>
      <c r="E902">
        <f>[5]trip_summary_region!E902</f>
        <v>1</v>
      </c>
      <c r="F902">
        <f>[5]trip_summary_region!F902</f>
        <v>1.5993343199999999E-2</v>
      </c>
      <c r="G902">
        <f>[5]trip_summary_region!G902</f>
        <v>0</v>
      </c>
      <c r="H902">
        <f>[5]trip_summary_region!H902</f>
        <v>5.3311143999999998E-3</v>
      </c>
      <c r="I902" t="str">
        <f>[5]trip_summary_region!I902</f>
        <v>Local Train</v>
      </c>
      <c r="J902" t="str">
        <f>[5]trip_summary_region!J902</f>
        <v>2032/33</v>
      </c>
    </row>
    <row r="903" spans="1:10" x14ac:dyDescent="0.25">
      <c r="A903" t="str">
        <f>[5]trip_summary_region!A903</f>
        <v>13 CANTERBURY</v>
      </c>
      <c r="B903">
        <f>[5]trip_summary_region!B903</f>
        <v>6</v>
      </c>
      <c r="C903">
        <f>[5]trip_summary_region!C903</f>
        <v>2038</v>
      </c>
      <c r="D903">
        <f>[5]trip_summary_region!D903</f>
        <v>1</v>
      </c>
      <c r="E903">
        <f>[5]trip_summary_region!E903</f>
        <v>1</v>
      </c>
      <c r="F903">
        <f>[5]trip_summary_region!F903</f>
        <v>1.33864925E-2</v>
      </c>
      <c r="G903">
        <f>[5]trip_summary_region!G903</f>
        <v>0</v>
      </c>
      <c r="H903">
        <f>[5]trip_summary_region!H903</f>
        <v>4.4621642000000003E-3</v>
      </c>
      <c r="I903" t="str">
        <f>[5]trip_summary_region!I903</f>
        <v>Local Train</v>
      </c>
      <c r="J903" t="str">
        <f>[5]trip_summary_region!J903</f>
        <v>2037/38</v>
      </c>
    </row>
    <row r="904" spans="1:10" x14ac:dyDescent="0.25">
      <c r="A904" t="str">
        <f>[5]trip_summary_region!A904</f>
        <v>13 CANTERBURY</v>
      </c>
      <c r="B904">
        <f>[5]trip_summary_region!B904</f>
        <v>6</v>
      </c>
      <c r="C904">
        <f>[5]trip_summary_region!C904</f>
        <v>2043</v>
      </c>
      <c r="D904">
        <f>[5]trip_summary_region!D904</f>
        <v>1</v>
      </c>
      <c r="E904">
        <f>[5]trip_summary_region!E904</f>
        <v>1</v>
      </c>
      <c r="F904">
        <f>[5]trip_summary_region!F904</f>
        <v>1.09840489E-2</v>
      </c>
      <c r="G904">
        <f>[5]trip_summary_region!G904</f>
        <v>0</v>
      </c>
      <c r="H904">
        <f>[5]trip_summary_region!H904</f>
        <v>3.6613496000000001E-3</v>
      </c>
      <c r="I904" t="str">
        <f>[5]trip_summary_region!I904</f>
        <v>Local Train</v>
      </c>
      <c r="J904" t="str">
        <f>[5]trip_summary_region!J904</f>
        <v>2042/43</v>
      </c>
    </row>
    <row r="905" spans="1:10" x14ac:dyDescent="0.25">
      <c r="A905" t="str">
        <f>[5]trip_summary_region!A905</f>
        <v>13 CANTERBURY</v>
      </c>
      <c r="B905">
        <f>[5]trip_summary_region!B905</f>
        <v>7</v>
      </c>
      <c r="C905">
        <f>[5]trip_summary_region!C905</f>
        <v>2013</v>
      </c>
      <c r="D905">
        <f>[5]trip_summary_region!D905</f>
        <v>384</v>
      </c>
      <c r="E905">
        <f>[5]trip_summary_region!E905</f>
        <v>1120</v>
      </c>
      <c r="F905">
        <f>[5]trip_summary_region!F905</f>
        <v>20.502079716000001</v>
      </c>
      <c r="G905">
        <f>[5]trip_summary_region!G905</f>
        <v>174.53993166999999</v>
      </c>
      <c r="H905">
        <f>[5]trip_summary_region!H905</f>
        <v>7.9805750329</v>
      </c>
      <c r="I905" t="str">
        <f>[5]trip_summary_region!I905</f>
        <v>Local Bus</v>
      </c>
      <c r="J905" t="str">
        <f>[5]trip_summary_region!J905</f>
        <v>2012/13</v>
      </c>
    </row>
    <row r="906" spans="1:10" x14ac:dyDescent="0.25">
      <c r="A906" t="str">
        <f>[5]trip_summary_region!A906</f>
        <v>13 CANTERBURY</v>
      </c>
      <c r="B906">
        <f>[5]trip_summary_region!B906</f>
        <v>7</v>
      </c>
      <c r="C906">
        <f>[5]trip_summary_region!C906</f>
        <v>2018</v>
      </c>
      <c r="D906">
        <f>[5]trip_summary_region!D906</f>
        <v>384</v>
      </c>
      <c r="E906">
        <f>[5]trip_summary_region!E906</f>
        <v>1120</v>
      </c>
      <c r="F906">
        <f>[5]trip_summary_region!F906</f>
        <v>20.614719994000001</v>
      </c>
      <c r="G906">
        <f>[5]trip_summary_region!G906</f>
        <v>175.21324804</v>
      </c>
      <c r="H906">
        <f>[5]trip_summary_region!H906</f>
        <v>8.0130594146000007</v>
      </c>
      <c r="I906" t="str">
        <f>[5]trip_summary_region!I906</f>
        <v>Local Bus</v>
      </c>
      <c r="J906" t="str">
        <f>[5]trip_summary_region!J906</f>
        <v>2017/18</v>
      </c>
    </row>
    <row r="907" spans="1:10" x14ac:dyDescent="0.25">
      <c r="A907" t="str">
        <f>[5]trip_summary_region!A907</f>
        <v>13 CANTERBURY</v>
      </c>
      <c r="B907">
        <f>[5]trip_summary_region!B907</f>
        <v>7</v>
      </c>
      <c r="C907">
        <f>[5]trip_summary_region!C907</f>
        <v>2023</v>
      </c>
      <c r="D907">
        <f>[5]trip_summary_region!D907</f>
        <v>384</v>
      </c>
      <c r="E907">
        <f>[5]trip_summary_region!E907</f>
        <v>1120</v>
      </c>
      <c r="F907">
        <f>[5]trip_summary_region!F907</f>
        <v>20.193307146999999</v>
      </c>
      <c r="G907">
        <f>[5]trip_summary_region!G907</f>
        <v>170.81122178000001</v>
      </c>
      <c r="H907">
        <f>[5]trip_summary_region!H907</f>
        <v>7.8205246438999998</v>
      </c>
      <c r="I907" t="str">
        <f>[5]trip_summary_region!I907</f>
        <v>Local Bus</v>
      </c>
      <c r="J907" t="str">
        <f>[5]trip_summary_region!J907</f>
        <v>2022/23</v>
      </c>
    </row>
    <row r="908" spans="1:10" x14ac:dyDescent="0.25">
      <c r="A908" t="str">
        <f>[5]trip_summary_region!A908</f>
        <v>13 CANTERBURY</v>
      </c>
      <c r="B908">
        <f>[5]trip_summary_region!B908</f>
        <v>7</v>
      </c>
      <c r="C908">
        <f>[5]trip_summary_region!C908</f>
        <v>2028</v>
      </c>
      <c r="D908">
        <f>[5]trip_summary_region!D908</f>
        <v>384</v>
      </c>
      <c r="E908">
        <f>[5]trip_summary_region!E908</f>
        <v>1120</v>
      </c>
      <c r="F908">
        <f>[5]trip_summary_region!F908</f>
        <v>19.779883885</v>
      </c>
      <c r="G908">
        <f>[5]trip_summary_region!G908</f>
        <v>168.83753199</v>
      </c>
      <c r="H908">
        <f>[5]trip_summary_region!H908</f>
        <v>7.6642940755</v>
      </c>
      <c r="I908" t="str">
        <f>[5]trip_summary_region!I908</f>
        <v>Local Bus</v>
      </c>
      <c r="J908" t="str">
        <f>[5]trip_summary_region!J908</f>
        <v>2027/28</v>
      </c>
    </row>
    <row r="909" spans="1:10" x14ac:dyDescent="0.25">
      <c r="A909" t="str">
        <f>[5]trip_summary_region!A909</f>
        <v>13 CANTERBURY</v>
      </c>
      <c r="B909">
        <f>[5]trip_summary_region!B909</f>
        <v>7</v>
      </c>
      <c r="C909">
        <f>[5]trip_summary_region!C909</f>
        <v>2033</v>
      </c>
      <c r="D909">
        <f>[5]trip_summary_region!D909</f>
        <v>384</v>
      </c>
      <c r="E909">
        <f>[5]trip_summary_region!E909</f>
        <v>1120</v>
      </c>
      <c r="F909">
        <f>[5]trip_summary_region!F909</f>
        <v>18.941076702</v>
      </c>
      <c r="G909">
        <f>[5]trip_summary_region!G909</f>
        <v>163.14112513000001</v>
      </c>
      <c r="H909">
        <f>[5]trip_summary_region!H909</f>
        <v>7.3520729450999998</v>
      </c>
      <c r="I909" t="str">
        <f>[5]trip_summary_region!I909</f>
        <v>Local Bus</v>
      </c>
      <c r="J909" t="str">
        <f>[5]trip_summary_region!J909</f>
        <v>2032/33</v>
      </c>
    </row>
    <row r="910" spans="1:10" x14ac:dyDescent="0.25">
      <c r="A910" t="str">
        <f>[5]trip_summary_region!A910</f>
        <v>13 CANTERBURY</v>
      </c>
      <c r="B910">
        <f>[5]trip_summary_region!B910</f>
        <v>7</v>
      </c>
      <c r="C910">
        <f>[5]trip_summary_region!C910</f>
        <v>2038</v>
      </c>
      <c r="D910">
        <f>[5]trip_summary_region!D910</f>
        <v>384</v>
      </c>
      <c r="E910">
        <f>[5]trip_summary_region!E910</f>
        <v>1120</v>
      </c>
      <c r="F910">
        <f>[5]trip_summary_region!F910</f>
        <v>18.141836940000001</v>
      </c>
      <c r="G910">
        <f>[5]trip_summary_region!G910</f>
        <v>157.35525977</v>
      </c>
      <c r="H910">
        <f>[5]trip_summary_region!H910</f>
        <v>7.0564301036000003</v>
      </c>
      <c r="I910" t="str">
        <f>[5]trip_summary_region!I910</f>
        <v>Local Bus</v>
      </c>
      <c r="J910" t="str">
        <f>[5]trip_summary_region!J910</f>
        <v>2037/38</v>
      </c>
    </row>
    <row r="911" spans="1:10" x14ac:dyDescent="0.25">
      <c r="A911" t="str">
        <f>[5]trip_summary_region!A911</f>
        <v>13 CANTERBURY</v>
      </c>
      <c r="B911">
        <f>[5]trip_summary_region!B911</f>
        <v>7</v>
      </c>
      <c r="C911">
        <f>[5]trip_summary_region!C911</f>
        <v>2043</v>
      </c>
      <c r="D911">
        <f>[5]trip_summary_region!D911</f>
        <v>384</v>
      </c>
      <c r="E911">
        <f>[5]trip_summary_region!E911</f>
        <v>1120</v>
      </c>
      <c r="F911">
        <f>[5]trip_summary_region!F911</f>
        <v>17.313158362999999</v>
      </c>
      <c r="G911">
        <f>[5]trip_summary_region!G911</f>
        <v>151.17563518</v>
      </c>
      <c r="H911">
        <f>[5]trip_summary_region!H911</f>
        <v>6.7467374597000003</v>
      </c>
      <c r="I911" t="str">
        <f>[5]trip_summary_region!I911</f>
        <v>Local Bus</v>
      </c>
      <c r="J911" t="str">
        <f>[5]trip_summary_region!J911</f>
        <v>2042/43</v>
      </c>
    </row>
    <row r="912" spans="1:10" x14ac:dyDescent="0.25">
      <c r="A912" t="str">
        <f>[5]trip_summary_region!A912</f>
        <v>13 CANTERBURY</v>
      </c>
      <c r="B912">
        <f>[5]trip_summary_region!B912</f>
        <v>9</v>
      </c>
      <c r="C912">
        <f>[5]trip_summary_region!C912</f>
        <v>2013</v>
      </c>
      <c r="D912">
        <f>[5]trip_summary_region!D912</f>
        <v>31</v>
      </c>
      <c r="E912">
        <f>[5]trip_summary_region!E912</f>
        <v>81</v>
      </c>
      <c r="F912">
        <f>[5]trip_summary_region!F912</f>
        <v>1.5386198845000001</v>
      </c>
      <c r="G912">
        <f>[5]trip_summary_region!G912</f>
        <v>0</v>
      </c>
      <c r="H912">
        <f>[5]trip_summary_region!H912</f>
        <v>0.91635513570000005</v>
      </c>
      <c r="I912" t="str">
        <f>[5]trip_summary_region!I912</f>
        <v>Other Household Travel</v>
      </c>
      <c r="J912" t="str">
        <f>[5]trip_summary_region!J912</f>
        <v>2012/13</v>
      </c>
    </row>
    <row r="913" spans="1:10" x14ac:dyDescent="0.25">
      <c r="A913" t="str">
        <f>[5]trip_summary_region!A913</f>
        <v>13 CANTERBURY</v>
      </c>
      <c r="B913">
        <f>[5]trip_summary_region!B913</f>
        <v>9</v>
      </c>
      <c r="C913">
        <f>[5]trip_summary_region!C913</f>
        <v>2018</v>
      </c>
      <c r="D913">
        <f>[5]trip_summary_region!D913</f>
        <v>31</v>
      </c>
      <c r="E913">
        <f>[5]trip_summary_region!E913</f>
        <v>81</v>
      </c>
      <c r="F913">
        <f>[5]trip_summary_region!F913</f>
        <v>1.6897531055999999</v>
      </c>
      <c r="G913">
        <f>[5]trip_summary_region!G913</f>
        <v>0</v>
      </c>
      <c r="H913">
        <f>[5]trip_summary_region!H913</f>
        <v>0.97577669160000002</v>
      </c>
      <c r="I913" t="str">
        <f>[5]trip_summary_region!I913</f>
        <v>Other Household Travel</v>
      </c>
      <c r="J913" t="str">
        <f>[5]trip_summary_region!J913</f>
        <v>2017/18</v>
      </c>
    </row>
    <row r="914" spans="1:10" x14ac:dyDescent="0.25">
      <c r="A914" t="str">
        <f>[5]trip_summary_region!A914</f>
        <v>13 CANTERBURY</v>
      </c>
      <c r="B914">
        <f>[5]trip_summary_region!B914</f>
        <v>9</v>
      </c>
      <c r="C914">
        <f>[5]trip_summary_region!C914</f>
        <v>2023</v>
      </c>
      <c r="D914">
        <f>[5]trip_summary_region!D914</f>
        <v>31</v>
      </c>
      <c r="E914">
        <f>[5]trip_summary_region!E914</f>
        <v>81</v>
      </c>
      <c r="F914">
        <f>[5]trip_summary_region!F914</f>
        <v>1.8567256129</v>
      </c>
      <c r="G914">
        <f>[5]trip_summary_region!G914</f>
        <v>0</v>
      </c>
      <c r="H914">
        <f>[5]trip_summary_region!H914</f>
        <v>1.0437420708</v>
      </c>
      <c r="I914" t="str">
        <f>[5]trip_summary_region!I914</f>
        <v>Other Household Travel</v>
      </c>
      <c r="J914" t="str">
        <f>[5]trip_summary_region!J914</f>
        <v>2022/23</v>
      </c>
    </row>
    <row r="915" spans="1:10" x14ac:dyDescent="0.25">
      <c r="A915" t="str">
        <f>[5]trip_summary_region!A915</f>
        <v>13 CANTERBURY</v>
      </c>
      <c r="B915">
        <f>[5]trip_summary_region!B915</f>
        <v>9</v>
      </c>
      <c r="C915">
        <f>[5]trip_summary_region!C915</f>
        <v>2028</v>
      </c>
      <c r="D915">
        <f>[5]trip_summary_region!D915</f>
        <v>31</v>
      </c>
      <c r="E915">
        <f>[5]trip_summary_region!E915</f>
        <v>81</v>
      </c>
      <c r="F915">
        <f>[5]trip_summary_region!F915</f>
        <v>2.0062104758000001</v>
      </c>
      <c r="G915">
        <f>[5]trip_summary_region!G915</f>
        <v>0</v>
      </c>
      <c r="H915">
        <f>[5]trip_summary_region!H915</f>
        <v>1.1187183241</v>
      </c>
      <c r="I915" t="str">
        <f>[5]trip_summary_region!I915</f>
        <v>Other Household Travel</v>
      </c>
      <c r="J915" t="str">
        <f>[5]trip_summary_region!J915</f>
        <v>2027/28</v>
      </c>
    </row>
    <row r="916" spans="1:10" x14ac:dyDescent="0.25">
      <c r="A916" t="str">
        <f>[5]trip_summary_region!A916</f>
        <v>13 CANTERBURY</v>
      </c>
      <c r="B916">
        <f>[5]trip_summary_region!B916</f>
        <v>9</v>
      </c>
      <c r="C916">
        <f>[5]trip_summary_region!C916</f>
        <v>2033</v>
      </c>
      <c r="D916">
        <f>[5]trip_summary_region!D916</f>
        <v>31</v>
      </c>
      <c r="E916">
        <f>[5]trip_summary_region!E916</f>
        <v>81</v>
      </c>
      <c r="F916">
        <f>[5]trip_summary_region!F916</f>
        <v>2.0963955068</v>
      </c>
      <c r="G916">
        <f>[5]trip_summary_region!G916</f>
        <v>0</v>
      </c>
      <c r="H916">
        <f>[5]trip_summary_region!H916</f>
        <v>1.1602123471000001</v>
      </c>
      <c r="I916" t="str">
        <f>[5]trip_summary_region!I916</f>
        <v>Other Household Travel</v>
      </c>
      <c r="J916" t="str">
        <f>[5]trip_summary_region!J916</f>
        <v>2032/33</v>
      </c>
    </row>
    <row r="917" spans="1:10" x14ac:dyDescent="0.25">
      <c r="A917" t="str">
        <f>[5]trip_summary_region!A917</f>
        <v>13 CANTERBURY</v>
      </c>
      <c r="B917">
        <f>[5]trip_summary_region!B917</f>
        <v>9</v>
      </c>
      <c r="C917">
        <f>[5]trip_summary_region!C917</f>
        <v>2038</v>
      </c>
      <c r="D917">
        <f>[5]trip_summary_region!D917</f>
        <v>31</v>
      </c>
      <c r="E917">
        <f>[5]trip_summary_region!E917</f>
        <v>81</v>
      </c>
      <c r="F917">
        <f>[5]trip_summary_region!F917</f>
        <v>2.1285409460000002</v>
      </c>
      <c r="G917">
        <f>[5]trip_summary_region!G917</f>
        <v>0</v>
      </c>
      <c r="H917">
        <f>[5]trip_summary_region!H917</f>
        <v>1.1771374241000001</v>
      </c>
      <c r="I917" t="str">
        <f>[5]trip_summary_region!I917</f>
        <v>Other Household Travel</v>
      </c>
      <c r="J917" t="str">
        <f>[5]trip_summary_region!J917</f>
        <v>2037/38</v>
      </c>
    </row>
    <row r="918" spans="1:10" x14ac:dyDescent="0.25">
      <c r="A918" t="str">
        <f>[5]trip_summary_region!A918</f>
        <v>13 CANTERBURY</v>
      </c>
      <c r="B918">
        <f>[5]trip_summary_region!B918</f>
        <v>9</v>
      </c>
      <c r="C918">
        <f>[5]trip_summary_region!C918</f>
        <v>2043</v>
      </c>
      <c r="D918">
        <f>[5]trip_summary_region!D918</f>
        <v>31</v>
      </c>
      <c r="E918">
        <f>[5]trip_summary_region!E918</f>
        <v>81</v>
      </c>
      <c r="F918">
        <f>[5]trip_summary_region!F918</f>
        <v>2.1084795025999998</v>
      </c>
      <c r="G918">
        <f>[5]trip_summary_region!G918</f>
        <v>0</v>
      </c>
      <c r="H918">
        <f>[5]trip_summary_region!H918</f>
        <v>1.1728690889</v>
      </c>
      <c r="I918" t="str">
        <f>[5]trip_summary_region!I918</f>
        <v>Other Household Travel</v>
      </c>
      <c r="J918" t="str">
        <f>[5]trip_summary_region!J918</f>
        <v>2042/43</v>
      </c>
    </row>
    <row r="919" spans="1:10" x14ac:dyDescent="0.25">
      <c r="A919" t="str">
        <f>[5]trip_summary_region!A919</f>
        <v>13 CANTERBURY</v>
      </c>
      <c r="B919">
        <f>[5]trip_summary_region!B919</f>
        <v>10</v>
      </c>
      <c r="C919">
        <f>[5]trip_summary_region!C919</f>
        <v>2013</v>
      </c>
      <c r="D919">
        <f>[5]trip_summary_region!D919</f>
        <v>99</v>
      </c>
      <c r="E919">
        <f>[5]trip_summary_region!E919</f>
        <v>124</v>
      </c>
      <c r="F919">
        <f>[5]trip_summary_region!F919</f>
        <v>2.4822614922000001</v>
      </c>
      <c r="G919">
        <f>[5]trip_summary_region!G919</f>
        <v>66.176348546</v>
      </c>
      <c r="H919">
        <f>[5]trip_summary_region!H919</f>
        <v>3.9785271960999999</v>
      </c>
      <c r="I919" t="str">
        <f>[5]trip_summary_region!I919</f>
        <v>Air/Non-Local PT</v>
      </c>
      <c r="J919" t="str">
        <f>[5]trip_summary_region!J919</f>
        <v>2012/13</v>
      </c>
    </row>
    <row r="920" spans="1:10" x14ac:dyDescent="0.25">
      <c r="A920" t="str">
        <f>[5]trip_summary_region!A920</f>
        <v>13 CANTERBURY</v>
      </c>
      <c r="B920">
        <f>[5]trip_summary_region!B920</f>
        <v>10</v>
      </c>
      <c r="C920">
        <f>[5]trip_summary_region!C920</f>
        <v>2018</v>
      </c>
      <c r="D920">
        <f>[5]trip_summary_region!D920</f>
        <v>99</v>
      </c>
      <c r="E920">
        <f>[5]trip_summary_region!E920</f>
        <v>124</v>
      </c>
      <c r="F920">
        <f>[5]trip_summary_region!F920</f>
        <v>2.7763950482999999</v>
      </c>
      <c r="G920">
        <f>[5]trip_summary_region!G920</f>
        <v>71.103550307000006</v>
      </c>
      <c r="H920">
        <f>[5]trip_summary_region!H920</f>
        <v>4.5704752997</v>
      </c>
      <c r="I920" t="str">
        <f>[5]trip_summary_region!I920</f>
        <v>Air/Non-Local PT</v>
      </c>
      <c r="J920" t="str">
        <f>[5]trip_summary_region!J920</f>
        <v>2017/18</v>
      </c>
    </row>
    <row r="921" spans="1:10" x14ac:dyDescent="0.25">
      <c r="A921" t="str">
        <f>[5]trip_summary_region!A921</f>
        <v>13 CANTERBURY</v>
      </c>
      <c r="B921">
        <f>[5]trip_summary_region!B921</f>
        <v>10</v>
      </c>
      <c r="C921">
        <f>[5]trip_summary_region!C921</f>
        <v>2023</v>
      </c>
      <c r="D921">
        <f>[5]trip_summary_region!D921</f>
        <v>99</v>
      </c>
      <c r="E921">
        <f>[5]trip_summary_region!E921</f>
        <v>124</v>
      </c>
      <c r="F921">
        <f>[5]trip_summary_region!F921</f>
        <v>2.9152517161999998</v>
      </c>
      <c r="G921">
        <f>[5]trip_summary_region!G921</f>
        <v>70.658913655999996</v>
      </c>
      <c r="H921">
        <f>[5]trip_summary_region!H921</f>
        <v>4.8341272755000002</v>
      </c>
      <c r="I921" t="str">
        <f>[5]trip_summary_region!I921</f>
        <v>Air/Non-Local PT</v>
      </c>
      <c r="J921" t="str">
        <f>[5]trip_summary_region!J921</f>
        <v>2022/23</v>
      </c>
    </row>
    <row r="922" spans="1:10" x14ac:dyDescent="0.25">
      <c r="A922" t="str">
        <f>[5]trip_summary_region!A922</f>
        <v>13 CANTERBURY</v>
      </c>
      <c r="B922">
        <f>[5]trip_summary_region!B922</f>
        <v>10</v>
      </c>
      <c r="C922">
        <f>[5]trip_summary_region!C922</f>
        <v>2028</v>
      </c>
      <c r="D922">
        <f>[5]trip_summary_region!D922</f>
        <v>99</v>
      </c>
      <c r="E922">
        <f>[5]trip_summary_region!E922</f>
        <v>124</v>
      </c>
      <c r="F922">
        <f>[5]trip_summary_region!F922</f>
        <v>3.0960389497</v>
      </c>
      <c r="G922">
        <f>[5]trip_summary_region!G922</f>
        <v>75.016132448999997</v>
      </c>
      <c r="H922">
        <f>[5]trip_summary_region!H922</f>
        <v>5.2008171137000003</v>
      </c>
      <c r="I922" t="str">
        <f>[5]trip_summary_region!I922</f>
        <v>Air/Non-Local PT</v>
      </c>
      <c r="J922" t="str">
        <f>[5]trip_summary_region!J922</f>
        <v>2027/28</v>
      </c>
    </row>
    <row r="923" spans="1:10" x14ac:dyDescent="0.25">
      <c r="A923" t="str">
        <f>[5]trip_summary_region!A923</f>
        <v>13 CANTERBURY</v>
      </c>
      <c r="B923">
        <f>[5]trip_summary_region!B923</f>
        <v>10</v>
      </c>
      <c r="C923">
        <f>[5]trip_summary_region!C923</f>
        <v>2033</v>
      </c>
      <c r="D923">
        <f>[5]trip_summary_region!D923</f>
        <v>99</v>
      </c>
      <c r="E923">
        <f>[5]trip_summary_region!E923</f>
        <v>124</v>
      </c>
      <c r="F923">
        <f>[5]trip_summary_region!F923</f>
        <v>3.2628613519999998</v>
      </c>
      <c r="G923">
        <f>[5]trip_summary_region!G923</f>
        <v>82.028600042999997</v>
      </c>
      <c r="H923">
        <f>[5]trip_summary_region!H923</f>
        <v>5.5655830109000002</v>
      </c>
      <c r="I923" t="str">
        <f>[5]trip_summary_region!I923</f>
        <v>Air/Non-Local PT</v>
      </c>
      <c r="J923" t="str">
        <f>[5]trip_summary_region!J923</f>
        <v>2032/33</v>
      </c>
    </row>
    <row r="924" spans="1:10" x14ac:dyDescent="0.25">
      <c r="A924" t="str">
        <f>[5]trip_summary_region!A924</f>
        <v>13 CANTERBURY</v>
      </c>
      <c r="B924">
        <f>[5]trip_summary_region!B924</f>
        <v>10</v>
      </c>
      <c r="C924">
        <f>[5]trip_summary_region!C924</f>
        <v>2038</v>
      </c>
      <c r="D924">
        <f>[5]trip_summary_region!D924</f>
        <v>99</v>
      </c>
      <c r="E924">
        <f>[5]trip_summary_region!E924</f>
        <v>124</v>
      </c>
      <c r="F924">
        <f>[5]trip_summary_region!F924</f>
        <v>3.3637961617999999</v>
      </c>
      <c r="G924">
        <f>[5]trip_summary_region!G924</f>
        <v>84.896670338999996</v>
      </c>
      <c r="H924">
        <f>[5]trip_summary_region!H924</f>
        <v>5.6982492954000001</v>
      </c>
      <c r="I924" t="str">
        <f>[5]trip_summary_region!I924</f>
        <v>Air/Non-Local PT</v>
      </c>
      <c r="J924" t="str">
        <f>[5]trip_summary_region!J924</f>
        <v>2037/38</v>
      </c>
    </row>
    <row r="925" spans="1:10" x14ac:dyDescent="0.25">
      <c r="A925" t="str">
        <f>[5]trip_summary_region!A925</f>
        <v>13 CANTERBURY</v>
      </c>
      <c r="B925">
        <f>[5]trip_summary_region!B925</f>
        <v>10</v>
      </c>
      <c r="C925">
        <f>[5]trip_summary_region!C925</f>
        <v>2043</v>
      </c>
      <c r="D925">
        <f>[5]trip_summary_region!D925</f>
        <v>99</v>
      </c>
      <c r="E925">
        <f>[5]trip_summary_region!E925</f>
        <v>124</v>
      </c>
      <c r="F925">
        <f>[5]trip_summary_region!F925</f>
        <v>3.4459022863</v>
      </c>
      <c r="G925">
        <f>[5]trip_summary_region!G925</f>
        <v>86.644394516000006</v>
      </c>
      <c r="H925">
        <f>[5]trip_summary_region!H925</f>
        <v>5.7932757348999999</v>
      </c>
      <c r="I925" t="str">
        <f>[5]trip_summary_region!I925</f>
        <v>Air/Non-Local PT</v>
      </c>
      <c r="J925" t="str">
        <f>[5]trip_summary_region!J925</f>
        <v>2042/43</v>
      </c>
    </row>
    <row r="926" spans="1:10" x14ac:dyDescent="0.25">
      <c r="A926" t="str">
        <f>[5]trip_summary_region!A926</f>
        <v>13 CANTERBURY</v>
      </c>
      <c r="B926">
        <f>[5]trip_summary_region!B926</f>
        <v>11</v>
      </c>
      <c r="C926">
        <f>[5]trip_summary_region!C926</f>
        <v>2013</v>
      </c>
      <c r="D926">
        <f>[5]trip_summary_region!D926</f>
        <v>113</v>
      </c>
      <c r="E926">
        <f>[5]trip_summary_region!E926</f>
        <v>551</v>
      </c>
      <c r="F926">
        <f>[5]trip_summary_region!F926</f>
        <v>9.2459779483000002</v>
      </c>
      <c r="G926">
        <f>[5]trip_summary_region!G926</f>
        <v>114.47945472000001</v>
      </c>
      <c r="H926">
        <f>[5]trip_summary_region!H926</f>
        <v>3.3743770355999998</v>
      </c>
      <c r="I926" t="str">
        <f>[5]trip_summary_region!I926</f>
        <v>Non-Household Travel</v>
      </c>
      <c r="J926" t="str">
        <f>[5]trip_summary_region!J926</f>
        <v>2012/13</v>
      </c>
    </row>
    <row r="927" spans="1:10" x14ac:dyDescent="0.25">
      <c r="A927" t="str">
        <f>[5]trip_summary_region!A927</f>
        <v>13 CANTERBURY</v>
      </c>
      <c r="B927">
        <f>[5]trip_summary_region!B927</f>
        <v>11</v>
      </c>
      <c r="C927">
        <f>[5]trip_summary_region!C927</f>
        <v>2018</v>
      </c>
      <c r="D927">
        <f>[5]trip_summary_region!D927</f>
        <v>113</v>
      </c>
      <c r="E927">
        <f>[5]trip_summary_region!E927</f>
        <v>551</v>
      </c>
      <c r="F927">
        <f>[5]trip_summary_region!F927</f>
        <v>9.9690298085000002</v>
      </c>
      <c r="G927">
        <f>[5]trip_summary_region!G927</f>
        <v>126.20786013999999</v>
      </c>
      <c r="H927">
        <f>[5]trip_summary_region!H927</f>
        <v>3.7201628727</v>
      </c>
      <c r="I927" t="str">
        <f>[5]trip_summary_region!I927</f>
        <v>Non-Household Travel</v>
      </c>
      <c r="J927" t="str">
        <f>[5]trip_summary_region!J927</f>
        <v>2017/18</v>
      </c>
    </row>
    <row r="928" spans="1:10" x14ac:dyDescent="0.25">
      <c r="A928" t="str">
        <f>[5]trip_summary_region!A928</f>
        <v>13 CANTERBURY</v>
      </c>
      <c r="B928">
        <f>[5]trip_summary_region!B928</f>
        <v>11</v>
      </c>
      <c r="C928">
        <f>[5]trip_summary_region!C928</f>
        <v>2023</v>
      </c>
      <c r="D928">
        <f>[5]trip_summary_region!D928</f>
        <v>113</v>
      </c>
      <c r="E928">
        <f>[5]trip_summary_region!E928</f>
        <v>551</v>
      </c>
      <c r="F928">
        <f>[5]trip_summary_region!F928</f>
        <v>10.121657722</v>
      </c>
      <c r="G928">
        <f>[5]trip_summary_region!G928</f>
        <v>130.85807643000001</v>
      </c>
      <c r="H928">
        <f>[5]trip_summary_region!H928</f>
        <v>3.8539138186000002</v>
      </c>
      <c r="I928" t="str">
        <f>[5]trip_summary_region!I928</f>
        <v>Non-Household Travel</v>
      </c>
      <c r="J928" t="str">
        <f>[5]trip_summary_region!J928</f>
        <v>2022/23</v>
      </c>
    </row>
    <row r="929" spans="1:10" x14ac:dyDescent="0.25">
      <c r="A929" t="str">
        <f>[5]trip_summary_region!A929</f>
        <v>13 CANTERBURY</v>
      </c>
      <c r="B929">
        <f>[5]trip_summary_region!B929</f>
        <v>11</v>
      </c>
      <c r="C929">
        <f>[5]trip_summary_region!C929</f>
        <v>2028</v>
      </c>
      <c r="D929">
        <f>[5]trip_summary_region!D929</f>
        <v>113</v>
      </c>
      <c r="E929">
        <f>[5]trip_summary_region!E929</f>
        <v>551</v>
      </c>
      <c r="F929">
        <f>[5]trip_summary_region!F929</f>
        <v>10.417695482999999</v>
      </c>
      <c r="G929">
        <f>[5]trip_summary_region!G929</f>
        <v>138.24982621999999</v>
      </c>
      <c r="H929">
        <f>[5]trip_summary_region!H929</f>
        <v>4.06060759</v>
      </c>
      <c r="I929" t="str">
        <f>[5]trip_summary_region!I929</f>
        <v>Non-Household Travel</v>
      </c>
      <c r="J929" t="str">
        <f>[5]trip_summary_region!J929</f>
        <v>2027/28</v>
      </c>
    </row>
    <row r="930" spans="1:10" x14ac:dyDescent="0.25">
      <c r="A930" t="str">
        <f>[5]trip_summary_region!A930</f>
        <v>13 CANTERBURY</v>
      </c>
      <c r="B930">
        <f>[5]trip_summary_region!B930</f>
        <v>11</v>
      </c>
      <c r="C930">
        <f>[5]trip_summary_region!C930</f>
        <v>2033</v>
      </c>
      <c r="D930">
        <f>[5]trip_summary_region!D930</f>
        <v>113</v>
      </c>
      <c r="E930">
        <f>[5]trip_summary_region!E930</f>
        <v>551</v>
      </c>
      <c r="F930">
        <f>[5]trip_summary_region!F930</f>
        <v>10.78737789</v>
      </c>
      <c r="G930">
        <f>[5]trip_summary_region!G930</f>
        <v>144.71955052999999</v>
      </c>
      <c r="H930">
        <f>[5]trip_summary_region!H930</f>
        <v>4.2654470114</v>
      </c>
      <c r="I930" t="str">
        <f>[5]trip_summary_region!I930</f>
        <v>Non-Household Travel</v>
      </c>
      <c r="J930" t="str">
        <f>[5]trip_summary_region!J930</f>
        <v>2032/33</v>
      </c>
    </row>
    <row r="931" spans="1:10" x14ac:dyDescent="0.25">
      <c r="A931" t="str">
        <f>[5]trip_summary_region!A931</f>
        <v>13 CANTERBURY</v>
      </c>
      <c r="B931">
        <f>[5]trip_summary_region!B931</f>
        <v>11</v>
      </c>
      <c r="C931">
        <f>[5]trip_summary_region!C931</f>
        <v>2038</v>
      </c>
      <c r="D931">
        <f>[5]trip_summary_region!D931</f>
        <v>113</v>
      </c>
      <c r="E931">
        <f>[5]trip_summary_region!E931</f>
        <v>551</v>
      </c>
      <c r="F931">
        <f>[5]trip_summary_region!F931</f>
        <v>11.180019143000001</v>
      </c>
      <c r="G931">
        <f>[5]trip_summary_region!G931</f>
        <v>148.72936612000001</v>
      </c>
      <c r="H931">
        <f>[5]trip_summary_region!H931</f>
        <v>4.3860615726000001</v>
      </c>
      <c r="I931" t="str">
        <f>[5]trip_summary_region!I931</f>
        <v>Non-Household Travel</v>
      </c>
      <c r="J931" t="str">
        <f>[5]trip_summary_region!J931</f>
        <v>2037/38</v>
      </c>
    </row>
    <row r="932" spans="1:10" x14ac:dyDescent="0.25">
      <c r="A932" t="str">
        <f>[5]trip_summary_region!A932</f>
        <v>13 CANTERBURY</v>
      </c>
      <c r="B932">
        <f>[5]trip_summary_region!B932</f>
        <v>11</v>
      </c>
      <c r="C932">
        <f>[5]trip_summary_region!C932</f>
        <v>2043</v>
      </c>
      <c r="D932">
        <f>[5]trip_summary_region!D932</f>
        <v>113</v>
      </c>
      <c r="E932">
        <f>[5]trip_summary_region!E932</f>
        <v>551</v>
      </c>
      <c r="F932">
        <f>[5]trip_summary_region!F932</f>
        <v>11.549569371</v>
      </c>
      <c r="G932">
        <f>[5]trip_summary_region!G932</f>
        <v>152.1044259</v>
      </c>
      <c r="H932">
        <f>[5]trip_summary_region!H932</f>
        <v>4.4900681496999999</v>
      </c>
      <c r="I932" t="str">
        <f>[5]trip_summary_region!I932</f>
        <v>Non-Household Travel</v>
      </c>
      <c r="J932" t="str">
        <f>[5]trip_summary_region!J932</f>
        <v>2042/43</v>
      </c>
    </row>
    <row r="933" spans="1:10" x14ac:dyDescent="0.25">
      <c r="A933" t="str">
        <f>[5]trip_summary_region!A933</f>
        <v>14 OTAGO</v>
      </c>
      <c r="B933">
        <f>[5]trip_summary_region!B933</f>
        <v>0</v>
      </c>
      <c r="C933">
        <f>[5]trip_summary_region!C933</f>
        <v>2013</v>
      </c>
      <c r="D933">
        <f>[5]trip_summary_region!D933</f>
        <v>545</v>
      </c>
      <c r="E933">
        <f>[5]trip_summary_region!E933</f>
        <v>2150</v>
      </c>
      <c r="F933">
        <f>[5]trip_summary_region!F933</f>
        <v>58.261736425999999</v>
      </c>
      <c r="G933">
        <f>[5]trip_summary_region!G933</f>
        <v>45.829100335</v>
      </c>
      <c r="H933">
        <f>[5]trip_summary_region!H933</f>
        <v>11.651603939999999</v>
      </c>
      <c r="I933" t="str">
        <f>[5]trip_summary_region!I933</f>
        <v>Pedestrian</v>
      </c>
      <c r="J933" t="str">
        <f>[5]trip_summary_region!J933</f>
        <v>2012/13</v>
      </c>
    </row>
    <row r="934" spans="1:10" x14ac:dyDescent="0.25">
      <c r="A934" t="str">
        <f>[5]trip_summary_region!A934</f>
        <v>14 OTAGO</v>
      </c>
      <c r="B934">
        <f>[5]trip_summary_region!B934</f>
        <v>0</v>
      </c>
      <c r="C934">
        <f>[5]trip_summary_region!C934</f>
        <v>2018</v>
      </c>
      <c r="D934">
        <f>[5]trip_summary_region!D934</f>
        <v>545</v>
      </c>
      <c r="E934">
        <f>[5]trip_summary_region!E934</f>
        <v>2150</v>
      </c>
      <c r="F934">
        <f>[5]trip_summary_region!F934</f>
        <v>58.399550069</v>
      </c>
      <c r="G934">
        <f>[5]trip_summary_region!G934</f>
        <v>45.555986341999997</v>
      </c>
      <c r="H934">
        <f>[5]trip_summary_region!H934</f>
        <v>11.758384660000001</v>
      </c>
      <c r="I934" t="str">
        <f>[5]trip_summary_region!I934</f>
        <v>Pedestrian</v>
      </c>
      <c r="J934" t="str">
        <f>[5]trip_summary_region!J934</f>
        <v>2017/18</v>
      </c>
    </row>
    <row r="935" spans="1:10" x14ac:dyDescent="0.25">
      <c r="A935" t="str">
        <f>[5]trip_summary_region!A935</f>
        <v>14 OTAGO</v>
      </c>
      <c r="B935">
        <f>[5]trip_summary_region!B935</f>
        <v>0</v>
      </c>
      <c r="C935">
        <f>[5]trip_summary_region!C935</f>
        <v>2023</v>
      </c>
      <c r="D935">
        <f>[5]trip_summary_region!D935</f>
        <v>545</v>
      </c>
      <c r="E935">
        <f>[5]trip_summary_region!E935</f>
        <v>2150</v>
      </c>
      <c r="F935">
        <f>[5]trip_summary_region!F935</f>
        <v>57.869853607000003</v>
      </c>
      <c r="G935">
        <f>[5]trip_summary_region!G935</f>
        <v>44.845336727000003</v>
      </c>
      <c r="H935">
        <f>[5]trip_summary_region!H935</f>
        <v>11.7176154</v>
      </c>
      <c r="I935" t="str">
        <f>[5]trip_summary_region!I935</f>
        <v>Pedestrian</v>
      </c>
      <c r="J935" t="str">
        <f>[5]trip_summary_region!J935</f>
        <v>2022/23</v>
      </c>
    </row>
    <row r="936" spans="1:10" x14ac:dyDescent="0.25">
      <c r="A936" t="str">
        <f>[5]trip_summary_region!A936</f>
        <v>14 OTAGO</v>
      </c>
      <c r="B936">
        <f>[5]trip_summary_region!B936</f>
        <v>0</v>
      </c>
      <c r="C936">
        <f>[5]trip_summary_region!C936</f>
        <v>2028</v>
      </c>
      <c r="D936">
        <f>[5]trip_summary_region!D936</f>
        <v>545</v>
      </c>
      <c r="E936">
        <f>[5]trip_summary_region!E936</f>
        <v>2150</v>
      </c>
      <c r="F936">
        <f>[5]trip_summary_region!F936</f>
        <v>57.315406877000001</v>
      </c>
      <c r="G936">
        <f>[5]trip_summary_region!G936</f>
        <v>44.129299181</v>
      </c>
      <c r="H936">
        <f>[5]trip_summary_region!H936</f>
        <v>11.697498669</v>
      </c>
      <c r="I936" t="str">
        <f>[5]trip_summary_region!I936</f>
        <v>Pedestrian</v>
      </c>
      <c r="J936" t="str">
        <f>[5]trip_summary_region!J936</f>
        <v>2027/28</v>
      </c>
    </row>
    <row r="937" spans="1:10" x14ac:dyDescent="0.25">
      <c r="A937" t="str">
        <f>[5]trip_summary_region!A937</f>
        <v>14 OTAGO</v>
      </c>
      <c r="B937">
        <f>[5]trip_summary_region!B937</f>
        <v>0</v>
      </c>
      <c r="C937">
        <f>[5]trip_summary_region!C937</f>
        <v>2033</v>
      </c>
      <c r="D937">
        <f>[5]trip_summary_region!D937</f>
        <v>545</v>
      </c>
      <c r="E937">
        <f>[5]trip_summary_region!E937</f>
        <v>2150</v>
      </c>
      <c r="F937">
        <f>[5]trip_summary_region!F937</f>
        <v>56.647576256000001</v>
      </c>
      <c r="G937">
        <f>[5]trip_summary_region!G937</f>
        <v>43.299871373000002</v>
      </c>
      <c r="H937">
        <f>[5]trip_summary_region!H937</f>
        <v>11.631373774</v>
      </c>
      <c r="I937" t="str">
        <f>[5]trip_summary_region!I937</f>
        <v>Pedestrian</v>
      </c>
      <c r="J937" t="str">
        <f>[5]trip_summary_region!J937</f>
        <v>2032/33</v>
      </c>
    </row>
    <row r="938" spans="1:10" x14ac:dyDescent="0.25">
      <c r="A938" t="str">
        <f>[5]trip_summary_region!A938</f>
        <v>14 OTAGO</v>
      </c>
      <c r="B938">
        <f>[5]trip_summary_region!B938</f>
        <v>0</v>
      </c>
      <c r="C938">
        <f>[5]trip_summary_region!C938</f>
        <v>2038</v>
      </c>
      <c r="D938">
        <f>[5]trip_summary_region!D938</f>
        <v>545</v>
      </c>
      <c r="E938">
        <f>[5]trip_summary_region!E938</f>
        <v>2150</v>
      </c>
      <c r="F938">
        <f>[5]trip_summary_region!F938</f>
        <v>55.296365457</v>
      </c>
      <c r="G938">
        <f>[5]trip_summary_region!G938</f>
        <v>42.289980018000001</v>
      </c>
      <c r="H938">
        <f>[5]trip_summary_region!H938</f>
        <v>11.484434583000001</v>
      </c>
      <c r="I938" t="str">
        <f>[5]trip_summary_region!I938</f>
        <v>Pedestrian</v>
      </c>
      <c r="J938" t="str">
        <f>[5]trip_summary_region!J938</f>
        <v>2037/38</v>
      </c>
    </row>
    <row r="939" spans="1:10" x14ac:dyDescent="0.25">
      <c r="A939" t="str">
        <f>[5]trip_summary_region!A939</f>
        <v>14 OTAGO</v>
      </c>
      <c r="B939">
        <f>[5]trip_summary_region!B939</f>
        <v>0</v>
      </c>
      <c r="C939">
        <f>[5]trip_summary_region!C939</f>
        <v>2043</v>
      </c>
      <c r="D939">
        <f>[5]trip_summary_region!D939</f>
        <v>545</v>
      </c>
      <c r="E939">
        <f>[5]trip_summary_region!E939</f>
        <v>2150</v>
      </c>
      <c r="F939">
        <f>[5]trip_summary_region!F939</f>
        <v>54.010862269999997</v>
      </c>
      <c r="G939">
        <f>[5]trip_summary_region!G939</f>
        <v>41.397382225999998</v>
      </c>
      <c r="H939">
        <f>[5]trip_summary_region!H939</f>
        <v>11.361074028999999</v>
      </c>
      <c r="I939" t="str">
        <f>[5]trip_summary_region!I939</f>
        <v>Pedestrian</v>
      </c>
      <c r="J939" t="str">
        <f>[5]trip_summary_region!J939</f>
        <v>2042/43</v>
      </c>
    </row>
    <row r="940" spans="1:10" x14ac:dyDescent="0.25">
      <c r="A940" t="str">
        <f>[5]trip_summary_region!A940</f>
        <v>14 OTAGO</v>
      </c>
      <c r="B940">
        <f>[5]trip_summary_region!B940</f>
        <v>1</v>
      </c>
      <c r="C940">
        <f>[5]trip_summary_region!C940</f>
        <v>2013</v>
      </c>
      <c r="D940">
        <f>[5]trip_summary_region!D940</f>
        <v>52</v>
      </c>
      <c r="E940">
        <f>[5]trip_summary_region!E940</f>
        <v>151</v>
      </c>
      <c r="F940">
        <f>[5]trip_summary_region!F940</f>
        <v>4.5847179276999999</v>
      </c>
      <c r="G940">
        <f>[5]trip_summary_region!G940</f>
        <v>16.325352069000001</v>
      </c>
      <c r="H940">
        <f>[5]trip_summary_region!H940</f>
        <v>1.6089304994</v>
      </c>
      <c r="I940" t="str">
        <f>[5]trip_summary_region!I940</f>
        <v>Cyclist</v>
      </c>
      <c r="J940" t="str">
        <f>[5]trip_summary_region!J940</f>
        <v>2012/13</v>
      </c>
    </row>
    <row r="941" spans="1:10" x14ac:dyDescent="0.25">
      <c r="A941" t="str">
        <f>[5]trip_summary_region!A941</f>
        <v>14 OTAGO</v>
      </c>
      <c r="B941">
        <f>[5]trip_summary_region!B941</f>
        <v>1</v>
      </c>
      <c r="C941">
        <f>[5]trip_summary_region!C941</f>
        <v>2018</v>
      </c>
      <c r="D941">
        <f>[5]trip_summary_region!D941</f>
        <v>52</v>
      </c>
      <c r="E941">
        <f>[5]trip_summary_region!E941</f>
        <v>151</v>
      </c>
      <c r="F941">
        <f>[5]trip_summary_region!F941</f>
        <v>4.6756519179999998</v>
      </c>
      <c r="G941">
        <f>[5]trip_summary_region!G941</f>
        <v>17.73033062</v>
      </c>
      <c r="H941">
        <f>[5]trip_summary_region!H941</f>
        <v>1.7152031285</v>
      </c>
      <c r="I941" t="str">
        <f>[5]trip_summary_region!I941</f>
        <v>Cyclist</v>
      </c>
      <c r="J941" t="str">
        <f>[5]trip_summary_region!J941</f>
        <v>2017/18</v>
      </c>
    </row>
    <row r="942" spans="1:10" x14ac:dyDescent="0.25">
      <c r="A942" t="str">
        <f>[5]trip_summary_region!A942</f>
        <v>14 OTAGO</v>
      </c>
      <c r="B942">
        <f>[5]trip_summary_region!B942</f>
        <v>1</v>
      </c>
      <c r="C942">
        <f>[5]trip_summary_region!C942</f>
        <v>2023</v>
      </c>
      <c r="D942">
        <f>[5]trip_summary_region!D942</f>
        <v>52</v>
      </c>
      <c r="E942">
        <f>[5]trip_summary_region!E942</f>
        <v>151</v>
      </c>
      <c r="F942">
        <f>[5]trip_summary_region!F942</f>
        <v>4.6405959529</v>
      </c>
      <c r="G942">
        <f>[5]trip_summary_region!G942</f>
        <v>18.489044850999999</v>
      </c>
      <c r="H942">
        <f>[5]trip_summary_region!H942</f>
        <v>1.7643427628999999</v>
      </c>
      <c r="I942" t="str">
        <f>[5]trip_summary_region!I942</f>
        <v>Cyclist</v>
      </c>
      <c r="J942" t="str">
        <f>[5]trip_summary_region!J942</f>
        <v>2022/23</v>
      </c>
    </row>
    <row r="943" spans="1:10" x14ac:dyDescent="0.25">
      <c r="A943" t="str">
        <f>[5]trip_summary_region!A943</f>
        <v>14 OTAGO</v>
      </c>
      <c r="B943">
        <f>[5]trip_summary_region!B943</f>
        <v>1</v>
      </c>
      <c r="C943">
        <f>[5]trip_summary_region!C943</f>
        <v>2028</v>
      </c>
      <c r="D943">
        <f>[5]trip_summary_region!D943</f>
        <v>52</v>
      </c>
      <c r="E943">
        <f>[5]trip_summary_region!E943</f>
        <v>151</v>
      </c>
      <c r="F943">
        <f>[5]trip_summary_region!F943</f>
        <v>4.4864427367999999</v>
      </c>
      <c r="G943">
        <f>[5]trip_summary_region!G943</f>
        <v>18.720691483</v>
      </c>
      <c r="H943">
        <f>[5]trip_summary_region!H943</f>
        <v>1.7522984483999999</v>
      </c>
      <c r="I943" t="str">
        <f>[5]trip_summary_region!I943</f>
        <v>Cyclist</v>
      </c>
      <c r="J943" t="str">
        <f>[5]trip_summary_region!J943</f>
        <v>2027/28</v>
      </c>
    </row>
    <row r="944" spans="1:10" x14ac:dyDescent="0.25">
      <c r="A944" t="str">
        <f>[5]trip_summary_region!A944</f>
        <v>14 OTAGO</v>
      </c>
      <c r="B944">
        <f>[5]trip_summary_region!B944</f>
        <v>1</v>
      </c>
      <c r="C944">
        <f>[5]trip_summary_region!C944</f>
        <v>2033</v>
      </c>
      <c r="D944">
        <f>[5]trip_summary_region!D944</f>
        <v>52</v>
      </c>
      <c r="E944">
        <f>[5]trip_summary_region!E944</f>
        <v>151</v>
      </c>
      <c r="F944">
        <f>[5]trip_summary_region!F944</f>
        <v>4.4104717837000003</v>
      </c>
      <c r="G944">
        <f>[5]trip_summary_region!G944</f>
        <v>18.83940153</v>
      </c>
      <c r="H944">
        <f>[5]trip_summary_region!H944</f>
        <v>1.7488423435</v>
      </c>
      <c r="I944" t="str">
        <f>[5]trip_summary_region!I944</f>
        <v>Cyclist</v>
      </c>
      <c r="J944" t="str">
        <f>[5]trip_summary_region!J944</f>
        <v>2032/33</v>
      </c>
    </row>
    <row r="945" spans="1:10" x14ac:dyDescent="0.25">
      <c r="A945" t="str">
        <f>[5]trip_summary_region!A945</f>
        <v>14 OTAGO</v>
      </c>
      <c r="B945">
        <f>[5]trip_summary_region!B945</f>
        <v>1</v>
      </c>
      <c r="C945">
        <f>[5]trip_summary_region!C945</f>
        <v>2038</v>
      </c>
      <c r="D945">
        <f>[5]trip_summary_region!D945</f>
        <v>52</v>
      </c>
      <c r="E945">
        <f>[5]trip_summary_region!E945</f>
        <v>151</v>
      </c>
      <c r="F945">
        <f>[5]trip_summary_region!F945</f>
        <v>4.3822035199</v>
      </c>
      <c r="G945">
        <f>[5]trip_summary_region!G945</f>
        <v>19.006347539</v>
      </c>
      <c r="H945">
        <f>[5]trip_summary_region!H945</f>
        <v>1.7659083202000001</v>
      </c>
      <c r="I945" t="str">
        <f>[5]trip_summary_region!I945</f>
        <v>Cyclist</v>
      </c>
      <c r="J945" t="str">
        <f>[5]trip_summary_region!J945</f>
        <v>2037/38</v>
      </c>
    </row>
    <row r="946" spans="1:10" x14ac:dyDescent="0.25">
      <c r="A946" t="str">
        <f>[5]trip_summary_region!A946</f>
        <v>14 OTAGO</v>
      </c>
      <c r="B946">
        <f>[5]trip_summary_region!B946</f>
        <v>1</v>
      </c>
      <c r="C946">
        <f>[5]trip_summary_region!C946</f>
        <v>2043</v>
      </c>
      <c r="D946">
        <f>[5]trip_summary_region!D946</f>
        <v>52</v>
      </c>
      <c r="E946">
        <f>[5]trip_summary_region!E946</f>
        <v>151</v>
      </c>
      <c r="F946">
        <f>[5]trip_summary_region!F946</f>
        <v>4.3313108607000004</v>
      </c>
      <c r="G946">
        <f>[5]trip_summary_region!G946</f>
        <v>19.095822775999999</v>
      </c>
      <c r="H946">
        <f>[5]trip_summary_region!H946</f>
        <v>1.778792095</v>
      </c>
      <c r="I946" t="str">
        <f>[5]trip_summary_region!I946</f>
        <v>Cyclist</v>
      </c>
      <c r="J946" t="str">
        <f>[5]trip_summary_region!J946</f>
        <v>2042/43</v>
      </c>
    </row>
    <row r="947" spans="1:10" x14ac:dyDescent="0.25">
      <c r="A947" t="str">
        <f>[5]trip_summary_region!A947</f>
        <v>14 OTAGO</v>
      </c>
      <c r="B947">
        <f>[5]trip_summary_region!B947</f>
        <v>2</v>
      </c>
      <c r="C947">
        <f>[5]trip_summary_region!C947</f>
        <v>2013</v>
      </c>
      <c r="D947">
        <f>[5]trip_summary_region!D947</f>
        <v>734</v>
      </c>
      <c r="E947">
        <f>[5]trip_summary_region!E947</f>
        <v>5488</v>
      </c>
      <c r="F947">
        <f>[5]trip_summary_region!F947</f>
        <v>150.49144967999999</v>
      </c>
      <c r="G947">
        <f>[5]trip_summary_region!G947</f>
        <v>1192.1699989000001</v>
      </c>
      <c r="H947">
        <f>[5]trip_summary_region!H947</f>
        <v>32.522387277</v>
      </c>
      <c r="I947" t="str">
        <f>[5]trip_summary_region!I947</f>
        <v>Light Vehicle Driver</v>
      </c>
      <c r="J947" t="str">
        <f>[5]trip_summary_region!J947</f>
        <v>2012/13</v>
      </c>
    </row>
    <row r="948" spans="1:10" x14ac:dyDescent="0.25">
      <c r="A948" t="str">
        <f>[5]trip_summary_region!A948</f>
        <v>14 OTAGO</v>
      </c>
      <c r="B948">
        <f>[5]trip_summary_region!B948</f>
        <v>2</v>
      </c>
      <c r="C948">
        <f>[5]trip_summary_region!C948</f>
        <v>2018</v>
      </c>
      <c r="D948">
        <f>[5]trip_summary_region!D948</f>
        <v>734</v>
      </c>
      <c r="E948">
        <f>[5]trip_summary_region!E948</f>
        <v>5488</v>
      </c>
      <c r="F948">
        <f>[5]trip_summary_region!F948</f>
        <v>154.06958877</v>
      </c>
      <c r="G948">
        <f>[5]trip_summary_region!G948</f>
        <v>1255.9525262</v>
      </c>
      <c r="H948">
        <f>[5]trip_summary_region!H948</f>
        <v>33.859180950999999</v>
      </c>
      <c r="I948" t="str">
        <f>[5]trip_summary_region!I948</f>
        <v>Light Vehicle Driver</v>
      </c>
      <c r="J948" t="str">
        <f>[5]trip_summary_region!J948</f>
        <v>2017/18</v>
      </c>
    </row>
    <row r="949" spans="1:10" x14ac:dyDescent="0.25">
      <c r="A949" t="str">
        <f>[5]trip_summary_region!A949</f>
        <v>14 OTAGO</v>
      </c>
      <c r="B949">
        <f>[5]trip_summary_region!B949</f>
        <v>2</v>
      </c>
      <c r="C949">
        <f>[5]trip_summary_region!C949</f>
        <v>2023</v>
      </c>
      <c r="D949">
        <f>[5]trip_summary_region!D949</f>
        <v>734</v>
      </c>
      <c r="E949">
        <f>[5]trip_summary_region!E949</f>
        <v>5488</v>
      </c>
      <c r="F949">
        <f>[5]trip_summary_region!F949</f>
        <v>156.14662668</v>
      </c>
      <c r="G949">
        <f>[5]trip_summary_region!G949</f>
        <v>1299.6365043000001</v>
      </c>
      <c r="H949">
        <f>[5]trip_summary_region!H949</f>
        <v>34.711763513000001</v>
      </c>
      <c r="I949" t="str">
        <f>[5]trip_summary_region!I949</f>
        <v>Light Vehicle Driver</v>
      </c>
      <c r="J949" t="str">
        <f>[5]trip_summary_region!J949</f>
        <v>2022/23</v>
      </c>
    </row>
    <row r="950" spans="1:10" x14ac:dyDescent="0.25">
      <c r="A950" t="str">
        <f>[5]trip_summary_region!A950</f>
        <v>14 OTAGO</v>
      </c>
      <c r="B950">
        <f>[5]trip_summary_region!B950</f>
        <v>2</v>
      </c>
      <c r="C950">
        <f>[5]trip_summary_region!C950</f>
        <v>2028</v>
      </c>
      <c r="D950">
        <f>[5]trip_summary_region!D950</f>
        <v>734</v>
      </c>
      <c r="E950">
        <f>[5]trip_summary_region!E950</f>
        <v>5488</v>
      </c>
      <c r="F950">
        <f>[5]trip_summary_region!F950</f>
        <v>160.54822317</v>
      </c>
      <c r="G950">
        <f>[5]trip_summary_region!G950</f>
        <v>1354.9764213000001</v>
      </c>
      <c r="H950">
        <f>[5]trip_summary_region!H950</f>
        <v>35.963697607999997</v>
      </c>
      <c r="I950" t="str">
        <f>[5]trip_summary_region!I950</f>
        <v>Light Vehicle Driver</v>
      </c>
      <c r="J950" t="str">
        <f>[5]trip_summary_region!J950</f>
        <v>2027/28</v>
      </c>
    </row>
    <row r="951" spans="1:10" x14ac:dyDescent="0.25">
      <c r="A951" t="str">
        <f>[5]trip_summary_region!A951</f>
        <v>14 OTAGO</v>
      </c>
      <c r="B951">
        <f>[5]trip_summary_region!B951</f>
        <v>2</v>
      </c>
      <c r="C951">
        <f>[5]trip_summary_region!C951</f>
        <v>2033</v>
      </c>
      <c r="D951">
        <f>[5]trip_summary_region!D951</f>
        <v>734</v>
      </c>
      <c r="E951">
        <f>[5]trip_summary_region!E951</f>
        <v>5488</v>
      </c>
      <c r="F951">
        <f>[5]trip_summary_region!F951</f>
        <v>163.89833879</v>
      </c>
      <c r="G951">
        <f>[5]trip_summary_region!G951</f>
        <v>1407.6386468999999</v>
      </c>
      <c r="H951">
        <f>[5]trip_summary_region!H951</f>
        <v>37.045879835999997</v>
      </c>
      <c r="I951" t="str">
        <f>[5]trip_summary_region!I951</f>
        <v>Light Vehicle Driver</v>
      </c>
      <c r="J951" t="str">
        <f>[5]trip_summary_region!J951</f>
        <v>2032/33</v>
      </c>
    </row>
    <row r="952" spans="1:10" x14ac:dyDescent="0.25">
      <c r="A952" t="str">
        <f>[5]trip_summary_region!A952</f>
        <v>14 OTAGO</v>
      </c>
      <c r="B952">
        <f>[5]trip_summary_region!B952</f>
        <v>2</v>
      </c>
      <c r="C952">
        <f>[5]trip_summary_region!C952</f>
        <v>2038</v>
      </c>
      <c r="D952">
        <f>[5]trip_summary_region!D952</f>
        <v>734</v>
      </c>
      <c r="E952">
        <f>[5]trip_summary_region!E952</f>
        <v>5488</v>
      </c>
      <c r="F952">
        <f>[5]trip_summary_region!F952</f>
        <v>163.97062295999999</v>
      </c>
      <c r="G952">
        <f>[5]trip_summary_region!G952</f>
        <v>1451.5562854</v>
      </c>
      <c r="H952">
        <f>[5]trip_summary_region!H952</f>
        <v>37.670587916999999</v>
      </c>
      <c r="I952" t="str">
        <f>[5]trip_summary_region!I952</f>
        <v>Light Vehicle Driver</v>
      </c>
      <c r="J952" t="str">
        <f>[5]trip_summary_region!J952</f>
        <v>2037/38</v>
      </c>
    </row>
    <row r="953" spans="1:10" x14ac:dyDescent="0.25">
      <c r="A953" t="str">
        <f>[5]trip_summary_region!A953</f>
        <v>14 OTAGO</v>
      </c>
      <c r="B953">
        <f>[5]trip_summary_region!B953</f>
        <v>2</v>
      </c>
      <c r="C953">
        <f>[5]trip_summary_region!C953</f>
        <v>2043</v>
      </c>
      <c r="D953">
        <f>[5]trip_summary_region!D953</f>
        <v>734</v>
      </c>
      <c r="E953">
        <f>[5]trip_summary_region!E953</f>
        <v>5488</v>
      </c>
      <c r="F953">
        <f>[5]trip_summary_region!F953</f>
        <v>163.47485639000001</v>
      </c>
      <c r="G953">
        <f>[5]trip_summary_region!G953</f>
        <v>1495.7831358000001</v>
      </c>
      <c r="H953">
        <f>[5]trip_summary_region!H953</f>
        <v>38.216697154999999</v>
      </c>
      <c r="I953" t="str">
        <f>[5]trip_summary_region!I953</f>
        <v>Light Vehicle Driver</v>
      </c>
      <c r="J953" t="str">
        <f>[5]trip_summary_region!J953</f>
        <v>2042/43</v>
      </c>
    </row>
    <row r="954" spans="1:10" x14ac:dyDescent="0.25">
      <c r="A954" t="str">
        <f>[5]trip_summary_region!A954</f>
        <v>14 OTAGO</v>
      </c>
      <c r="B954">
        <f>[5]trip_summary_region!B954</f>
        <v>3</v>
      </c>
      <c r="C954">
        <f>[5]trip_summary_region!C954</f>
        <v>2013</v>
      </c>
      <c r="D954">
        <f>[5]trip_summary_region!D954</f>
        <v>543</v>
      </c>
      <c r="E954">
        <f>[5]trip_summary_region!E954</f>
        <v>2595</v>
      </c>
      <c r="F954">
        <f>[5]trip_summary_region!F954</f>
        <v>71.232164202000007</v>
      </c>
      <c r="G954">
        <f>[5]trip_summary_region!G954</f>
        <v>849.31688999999994</v>
      </c>
      <c r="H954">
        <f>[5]trip_summary_region!H954</f>
        <v>19.901766343999999</v>
      </c>
      <c r="I954" t="str">
        <f>[5]trip_summary_region!I954</f>
        <v>Light Vehicle Passenger</v>
      </c>
      <c r="J954" t="str">
        <f>[5]trip_summary_region!J954</f>
        <v>2012/13</v>
      </c>
    </row>
    <row r="955" spans="1:10" x14ac:dyDescent="0.25">
      <c r="A955" t="str">
        <f>[5]trip_summary_region!A955</f>
        <v>14 OTAGO</v>
      </c>
      <c r="B955">
        <f>[5]trip_summary_region!B955</f>
        <v>3</v>
      </c>
      <c r="C955">
        <f>[5]trip_summary_region!C955</f>
        <v>2018</v>
      </c>
      <c r="D955">
        <f>[5]trip_summary_region!D955</f>
        <v>543</v>
      </c>
      <c r="E955">
        <f>[5]trip_summary_region!E955</f>
        <v>2595</v>
      </c>
      <c r="F955">
        <f>[5]trip_summary_region!F955</f>
        <v>70.097743003000005</v>
      </c>
      <c r="G955">
        <f>[5]trip_summary_region!G955</f>
        <v>861.75878091000004</v>
      </c>
      <c r="H955">
        <f>[5]trip_summary_region!H955</f>
        <v>19.987106318999999</v>
      </c>
      <c r="I955" t="str">
        <f>[5]trip_summary_region!I955</f>
        <v>Light Vehicle Passenger</v>
      </c>
      <c r="J955" t="str">
        <f>[5]trip_summary_region!J955</f>
        <v>2017/18</v>
      </c>
    </row>
    <row r="956" spans="1:10" x14ac:dyDescent="0.25">
      <c r="A956" t="str">
        <f>[5]trip_summary_region!A956</f>
        <v>14 OTAGO</v>
      </c>
      <c r="B956">
        <f>[5]trip_summary_region!B956</f>
        <v>3</v>
      </c>
      <c r="C956">
        <f>[5]trip_summary_region!C956</f>
        <v>2023</v>
      </c>
      <c r="D956">
        <f>[5]trip_summary_region!D956</f>
        <v>543</v>
      </c>
      <c r="E956">
        <f>[5]trip_summary_region!E956</f>
        <v>2595</v>
      </c>
      <c r="F956">
        <f>[5]trip_summary_region!F956</f>
        <v>68.808064856000001</v>
      </c>
      <c r="G956">
        <f>[5]trip_summary_region!G956</f>
        <v>861.43878566000001</v>
      </c>
      <c r="H956">
        <f>[5]trip_summary_region!H956</f>
        <v>19.851116201</v>
      </c>
      <c r="I956" t="str">
        <f>[5]trip_summary_region!I956</f>
        <v>Light Vehicle Passenger</v>
      </c>
      <c r="J956" t="str">
        <f>[5]trip_summary_region!J956</f>
        <v>2022/23</v>
      </c>
    </row>
    <row r="957" spans="1:10" x14ac:dyDescent="0.25">
      <c r="A957" t="str">
        <f>[5]trip_summary_region!A957</f>
        <v>14 OTAGO</v>
      </c>
      <c r="B957">
        <f>[5]trip_summary_region!B957</f>
        <v>3</v>
      </c>
      <c r="C957">
        <f>[5]trip_summary_region!C957</f>
        <v>2028</v>
      </c>
      <c r="D957">
        <f>[5]trip_summary_region!D957</f>
        <v>543</v>
      </c>
      <c r="E957">
        <f>[5]trip_summary_region!E957</f>
        <v>2595</v>
      </c>
      <c r="F957">
        <f>[5]trip_summary_region!F957</f>
        <v>67.709549449999997</v>
      </c>
      <c r="G957">
        <f>[5]trip_summary_region!G957</f>
        <v>868.68491769000002</v>
      </c>
      <c r="H957">
        <f>[5]trip_summary_region!H957</f>
        <v>19.839399728</v>
      </c>
      <c r="I957" t="str">
        <f>[5]trip_summary_region!I957</f>
        <v>Light Vehicle Passenger</v>
      </c>
      <c r="J957" t="str">
        <f>[5]trip_summary_region!J957</f>
        <v>2027/28</v>
      </c>
    </row>
    <row r="958" spans="1:10" x14ac:dyDescent="0.25">
      <c r="A958" t="str">
        <f>[5]trip_summary_region!A958</f>
        <v>14 OTAGO</v>
      </c>
      <c r="B958">
        <f>[5]trip_summary_region!B958</f>
        <v>3</v>
      </c>
      <c r="C958">
        <f>[5]trip_summary_region!C958</f>
        <v>2033</v>
      </c>
      <c r="D958">
        <f>[5]trip_summary_region!D958</f>
        <v>543</v>
      </c>
      <c r="E958">
        <f>[5]trip_summary_region!E958</f>
        <v>2595</v>
      </c>
      <c r="F958">
        <f>[5]trip_summary_region!F958</f>
        <v>66.792101639999998</v>
      </c>
      <c r="G958">
        <f>[5]trip_summary_region!G958</f>
        <v>864.24702822999996</v>
      </c>
      <c r="H958">
        <f>[5]trip_summary_region!H958</f>
        <v>19.627047925999999</v>
      </c>
      <c r="I958" t="str">
        <f>[5]trip_summary_region!I958</f>
        <v>Light Vehicle Passenger</v>
      </c>
      <c r="J958" t="str">
        <f>[5]trip_summary_region!J958</f>
        <v>2032/33</v>
      </c>
    </row>
    <row r="959" spans="1:10" x14ac:dyDescent="0.25">
      <c r="A959" t="str">
        <f>[5]trip_summary_region!A959</f>
        <v>14 OTAGO</v>
      </c>
      <c r="B959">
        <f>[5]trip_summary_region!B959</f>
        <v>3</v>
      </c>
      <c r="C959">
        <f>[5]trip_summary_region!C959</f>
        <v>2038</v>
      </c>
      <c r="D959">
        <f>[5]trip_summary_region!D959</f>
        <v>543</v>
      </c>
      <c r="E959">
        <f>[5]trip_summary_region!E959</f>
        <v>2595</v>
      </c>
      <c r="F959">
        <f>[5]trip_summary_region!F959</f>
        <v>65.273197816999996</v>
      </c>
      <c r="G959">
        <f>[5]trip_summary_region!G959</f>
        <v>861.11575968</v>
      </c>
      <c r="H959">
        <f>[5]trip_summary_region!H959</f>
        <v>19.457236610999999</v>
      </c>
      <c r="I959" t="str">
        <f>[5]trip_summary_region!I959</f>
        <v>Light Vehicle Passenger</v>
      </c>
      <c r="J959" t="str">
        <f>[5]trip_summary_region!J959</f>
        <v>2037/38</v>
      </c>
    </row>
    <row r="960" spans="1:10" x14ac:dyDescent="0.25">
      <c r="A960" t="str">
        <f>[5]trip_summary_region!A960</f>
        <v>14 OTAGO</v>
      </c>
      <c r="B960">
        <f>[5]trip_summary_region!B960</f>
        <v>3</v>
      </c>
      <c r="C960">
        <f>[5]trip_summary_region!C960</f>
        <v>2043</v>
      </c>
      <c r="D960">
        <f>[5]trip_summary_region!D960</f>
        <v>543</v>
      </c>
      <c r="E960">
        <f>[5]trip_summary_region!E960</f>
        <v>2595</v>
      </c>
      <c r="F960">
        <f>[5]trip_summary_region!F960</f>
        <v>63.584000590000002</v>
      </c>
      <c r="G960">
        <f>[5]trip_summary_region!G960</f>
        <v>857.34534384000006</v>
      </c>
      <c r="H960">
        <f>[5]trip_summary_region!H960</f>
        <v>19.256775448999999</v>
      </c>
      <c r="I960" t="str">
        <f>[5]trip_summary_region!I960</f>
        <v>Light Vehicle Passenger</v>
      </c>
      <c r="J960" t="str">
        <f>[5]trip_summary_region!J960</f>
        <v>2042/43</v>
      </c>
    </row>
    <row r="961" spans="1:10" x14ac:dyDescent="0.25">
      <c r="A961" t="str">
        <f>[5]trip_summary_region!A961</f>
        <v>14 OTAGO</v>
      </c>
      <c r="B961">
        <f>[5]trip_summary_region!B961</f>
        <v>4</v>
      </c>
      <c r="C961">
        <f>[5]trip_summary_region!C961</f>
        <v>2013</v>
      </c>
      <c r="D961">
        <f>[5]trip_summary_region!D961</f>
        <v>21</v>
      </c>
      <c r="E961">
        <f>[5]trip_summary_region!E961</f>
        <v>36</v>
      </c>
      <c r="F961">
        <f>[5]trip_summary_region!F961</f>
        <v>0.85820748670000002</v>
      </c>
      <c r="G961">
        <f>[5]trip_summary_region!G961</f>
        <v>7.2892681777000004</v>
      </c>
      <c r="H961">
        <f>[5]trip_summary_region!H961</f>
        <v>0.23496676969999999</v>
      </c>
      <c r="I961" t="s">
        <v>116</v>
      </c>
      <c r="J961" t="str">
        <f>[5]trip_summary_region!J961</f>
        <v>2012/13</v>
      </c>
    </row>
    <row r="962" spans="1:10" x14ac:dyDescent="0.25">
      <c r="A962" t="str">
        <f>[5]trip_summary_region!A962</f>
        <v>14 OTAGO</v>
      </c>
      <c r="B962">
        <f>[5]trip_summary_region!B962</f>
        <v>4</v>
      </c>
      <c r="C962">
        <f>[5]trip_summary_region!C962</f>
        <v>2018</v>
      </c>
      <c r="D962">
        <f>[5]trip_summary_region!D962</f>
        <v>21</v>
      </c>
      <c r="E962">
        <f>[5]trip_summary_region!E962</f>
        <v>36</v>
      </c>
      <c r="F962">
        <f>[5]trip_summary_region!F962</f>
        <v>0.84517777959999996</v>
      </c>
      <c r="G962">
        <f>[5]trip_summary_region!G962</f>
        <v>7.1614835343000003</v>
      </c>
      <c r="H962">
        <f>[5]trip_summary_region!H962</f>
        <v>0.232872627</v>
      </c>
      <c r="I962" t="s">
        <v>116</v>
      </c>
      <c r="J962" t="str">
        <f>[5]trip_summary_region!J962</f>
        <v>2017/18</v>
      </c>
    </row>
    <row r="963" spans="1:10" x14ac:dyDescent="0.25">
      <c r="A963" t="str">
        <f>[5]trip_summary_region!A963</f>
        <v>14 OTAGO</v>
      </c>
      <c r="B963">
        <f>[5]trip_summary_region!B963</f>
        <v>4</v>
      </c>
      <c r="C963">
        <f>[5]trip_summary_region!C963</f>
        <v>2023</v>
      </c>
      <c r="D963">
        <f>[5]trip_summary_region!D963</f>
        <v>21</v>
      </c>
      <c r="E963">
        <f>[5]trip_summary_region!E963</f>
        <v>36</v>
      </c>
      <c r="F963">
        <f>[5]trip_summary_region!F963</f>
        <v>0.8174161311</v>
      </c>
      <c r="G963">
        <f>[5]trip_summary_region!G963</f>
        <v>7.1263790611999998</v>
      </c>
      <c r="H963">
        <f>[5]trip_summary_region!H963</f>
        <v>0.2338044655</v>
      </c>
      <c r="I963" t="s">
        <v>116</v>
      </c>
      <c r="J963" t="str">
        <f>[5]trip_summary_region!J963</f>
        <v>2022/23</v>
      </c>
    </row>
    <row r="964" spans="1:10" x14ac:dyDescent="0.25">
      <c r="A964" t="str">
        <f>[5]trip_summary_region!A964</f>
        <v>14 OTAGO</v>
      </c>
      <c r="B964">
        <f>[5]trip_summary_region!B964</f>
        <v>4</v>
      </c>
      <c r="C964">
        <f>[5]trip_summary_region!C964</f>
        <v>2028</v>
      </c>
      <c r="D964">
        <f>[5]trip_summary_region!D964</f>
        <v>21</v>
      </c>
      <c r="E964">
        <f>[5]trip_summary_region!E964</f>
        <v>36</v>
      </c>
      <c r="F964">
        <f>[5]trip_summary_region!F964</f>
        <v>0.80638240490000002</v>
      </c>
      <c r="G964">
        <f>[5]trip_summary_region!G964</f>
        <v>7.0656179358999998</v>
      </c>
      <c r="H964">
        <f>[5]trip_summary_region!H964</f>
        <v>0.23332802480000001</v>
      </c>
      <c r="I964" t="s">
        <v>116</v>
      </c>
      <c r="J964" t="str">
        <f>[5]trip_summary_region!J964</f>
        <v>2027/28</v>
      </c>
    </row>
    <row r="965" spans="1:10" x14ac:dyDescent="0.25">
      <c r="A965" t="str">
        <f>[5]trip_summary_region!A965</f>
        <v>14 OTAGO</v>
      </c>
      <c r="B965">
        <f>[5]trip_summary_region!B965</f>
        <v>4</v>
      </c>
      <c r="C965">
        <f>[5]trip_summary_region!C965</f>
        <v>2033</v>
      </c>
      <c r="D965">
        <f>[5]trip_summary_region!D965</f>
        <v>21</v>
      </c>
      <c r="E965">
        <f>[5]trip_summary_region!E965</f>
        <v>36</v>
      </c>
      <c r="F965">
        <f>[5]trip_summary_region!F965</f>
        <v>0.80308993309999999</v>
      </c>
      <c r="G965">
        <f>[5]trip_summary_region!G965</f>
        <v>7.0499637358999996</v>
      </c>
      <c r="H965">
        <f>[5]trip_summary_region!H965</f>
        <v>0.23336042800000001</v>
      </c>
      <c r="I965" t="s">
        <v>116</v>
      </c>
      <c r="J965" t="str">
        <f>[5]trip_summary_region!J965</f>
        <v>2032/33</v>
      </c>
    </row>
    <row r="966" spans="1:10" x14ac:dyDescent="0.25">
      <c r="A966" t="str">
        <f>[5]trip_summary_region!A966</f>
        <v>14 OTAGO</v>
      </c>
      <c r="B966">
        <f>[5]trip_summary_region!B966</f>
        <v>4</v>
      </c>
      <c r="C966">
        <f>[5]trip_summary_region!C966</f>
        <v>2038</v>
      </c>
      <c r="D966">
        <f>[5]trip_summary_region!D966</f>
        <v>21</v>
      </c>
      <c r="E966">
        <f>[5]trip_summary_region!E966</f>
        <v>36</v>
      </c>
      <c r="F966">
        <f>[5]trip_summary_region!F966</f>
        <v>0.75440099650000003</v>
      </c>
      <c r="G966">
        <f>[5]trip_summary_region!G966</f>
        <v>6.6551843886000004</v>
      </c>
      <c r="H966">
        <f>[5]trip_summary_region!H966</f>
        <v>0.22102028979999999</v>
      </c>
      <c r="I966" t="s">
        <v>116</v>
      </c>
      <c r="J966" t="str">
        <f>[5]trip_summary_region!J966</f>
        <v>2037/38</v>
      </c>
    </row>
    <row r="967" spans="1:10" x14ac:dyDescent="0.25">
      <c r="A967" t="str">
        <f>[5]trip_summary_region!A967</f>
        <v>14 OTAGO</v>
      </c>
      <c r="B967">
        <f>[5]trip_summary_region!B967</f>
        <v>4</v>
      </c>
      <c r="C967">
        <f>[5]trip_summary_region!C967</f>
        <v>2043</v>
      </c>
      <c r="D967">
        <f>[5]trip_summary_region!D967</f>
        <v>21</v>
      </c>
      <c r="E967">
        <f>[5]trip_summary_region!E967</f>
        <v>36</v>
      </c>
      <c r="F967">
        <f>[5]trip_summary_region!F967</f>
        <v>0.70172077150000001</v>
      </c>
      <c r="G967">
        <f>[5]trip_summary_region!G967</f>
        <v>6.2107039427000004</v>
      </c>
      <c r="H967">
        <f>[5]trip_summary_region!H967</f>
        <v>0.2065213052</v>
      </c>
      <c r="I967" t="s">
        <v>116</v>
      </c>
      <c r="J967" t="str">
        <f>[5]trip_summary_region!J967</f>
        <v>2042/43</v>
      </c>
    </row>
    <row r="968" spans="1:10" x14ac:dyDescent="0.25">
      <c r="A968" t="str">
        <f>[5]trip_summary_region!A968</f>
        <v>14 OTAGO</v>
      </c>
      <c r="B968">
        <f>[5]trip_summary_region!B968</f>
        <v>5</v>
      </c>
      <c r="C968">
        <f>[5]trip_summary_region!C968</f>
        <v>2013</v>
      </c>
      <c r="D968">
        <f>[5]trip_summary_region!D968</f>
        <v>12</v>
      </c>
      <c r="E968">
        <f>[5]trip_summary_region!E968</f>
        <v>57</v>
      </c>
      <c r="F968">
        <f>[5]trip_summary_region!F968</f>
        <v>2.0937246197000001</v>
      </c>
      <c r="G968">
        <f>[5]trip_summary_region!G968</f>
        <v>18.503357486999999</v>
      </c>
      <c r="H968">
        <f>[5]trip_summary_region!H968</f>
        <v>0.42545310469999997</v>
      </c>
      <c r="I968" t="str">
        <f>[5]trip_summary_region!I968</f>
        <v>Motorcyclist</v>
      </c>
      <c r="J968" t="str">
        <f>[5]trip_summary_region!J968</f>
        <v>2012/13</v>
      </c>
    </row>
    <row r="969" spans="1:10" x14ac:dyDescent="0.25">
      <c r="A969" t="str">
        <f>[5]trip_summary_region!A969</f>
        <v>14 OTAGO</v>
      </c>
      <c r="B969">
        <f>[5]trip_summary_region!B969</f>
        <v>5</v>
      </c>
      <c r="C969">
        <f>[5]trip_summary_region!C969</f>
        <v>2018</v>
      </c>
      <c r="D969">
        <f>[5]trip_summary_region!D969</f>
        <v>12</v>
      </c>
      <c r="E969">
        <f>[5]trip_summary_region!E969</f>
        <v>57</v>
      </c>
      <c r="F969">
        <f>[5]trip_summary_region!F969</f>
        <v>2.1317228518000002</v>
      </c>
      <c r="G969">
        <f>[5]trip_summary_region!G969</f>
        <v>20.029179084999999</v>
      </c>
      <c r="H969">
        <f>[5]trip_summary_region!H969</f>
        <v>0.4483653239</v>
      </c>
      <c r="I969" t="str">
        <f>[5]trip_summary_region!I969</f>
        <v>Motorcyclist</v>
      </c>
      <c r="J969" t="str">
        <f>[5]trip_summary_region!J969</f>
        <v>2017/18</v>
      </c>
    </row>
    <row r="970" spans="1:10" x14ac:dyDescent="0.25">
      <c r="A970" t="str">
        <f>[5]trip_summary_region!A970</f>
        <v>14 OTAGO</v>
      </c>
      <c r="B970">
        <f>[5]trip_summary_region!B970</f>
        <v>5</v>
      </c>
      <c r="C970">
        <f>[5]trip_summary_region!C970</f>
        <v>2023</v>
      </c>
      <c r="D970">
        <f>[5]trip_summary_region!D970</f>
        <v>12</v>
      </c>
      <c r="E970">
        <f>[5]trip_summary_region!E970</f>
        <v>57</v>
      </c>
      <c r="F970">
        <f>[5]trip_summary_region!F970</f>
        <v>2.0779205309000002</v>
      </c>
      <c r="G970">
        <f>[5]trip_summary_region!G970</f>
        <v>20.810711333</v>
      </c>
      <c r="H970">
        <f>[5]trip_summary_region!H970</f>
        <v>0.45441215769999999</v>
      </c>
      <c r="I970" t="str">
        <f>[5]trip_summary_region!I970</f>
        <v>Motorcyclist</v>
      </c>
      <c r="J970" t="str">
        <f>[5]trip_summary_region!J970</f>
        <v>2022/23</v>
      </c>
    </row>
    <row r="971" spans="1:10" x14ac:dyDescent="0.25">
      <c r="A971" t="str">
        <f>[5]trip_summary_region!A971</f>
        <v>14 OTAGO</v>
      </c>
      <c r="B971">
        <f>[5]trip_summary_region!B971</f>
        <v>5</v>
      </c>
      <c r="C971">
        <f>[5]trip_summary_region!C971</f>
        <v>2028</v>
      </c>
      <c r="D971">
        <f>[5]trip_summary_region!D971</f>
        <v>12</v>
      </c>
      <c r="E971">
        <f>[5]trip_summary_region!E971</f>
        <v>57</v>
      </c>
      <c r="F971">
        <f>[5]trip_summary_region!F971</f>
        <v>2.0121532861000002</v>
      </c>
      <c r="G971">
        <f>[5]trip_summary_region!G971</f>
        <v>21.738464022999999</v>
      </c>
      <c r="H971">
        <f>[5]trip_summary_region!H971</f>
        <v>0.46299173389999998</v>
      </c>
      <c r="I971" t="str">
        <f>[5]trip_summary_region!I971</f>
        <v>Motorcyclist</v>
      </c>
      <c r="J971" t="str">
        <f>[5]trip_summary_region!J971</f>
        <v>2027/28</v>
      </c>
    </row>
    <row r="972" spans="1:10" x14ac:dyDescent="0.25">
      <c r="A972" t="str">
        <f>[5]trip_summary_region!A972</f>
        <v>14 OTAGO</v>
      </c>
      <c r="B972">
        <f>[5]trip_summary_region!B972</f>
        <v>5</v>
      </c>
      <c r="C972">
        <f>[5]trip_summary_region!C972</f>
        <v>2033</v>
      </c>
      <c r="D972">
        <f>[5]trip_summary_region!D972</f>
        <v>12</v>
      </c>
      <c r="E972">
        <f>[5]trip_summary_region!E972</f>
        <v>57</v>
      </c>
      <c r="F972">
        <f>[5]trip_summary_region!F972</f>
        <v>1.8890060949</v>
      </c>
      <c r="G972">
        <f>[5]trip_summary_region!G972</f>
        <v>22.027541693</v>
      </c>
      <c r="H972">
        <f>[5]trip_summary_region!H972</f>
        <v>0.46033657350000001</v>
      </c>
      <c r="I972" t="str">
        <f>[5]trip_summary_region!I972</f>
        <v>Motorcyclist</v>
      </c>
      <c r="J972" t="str">
        <f>[5]trip_summary_region!J972</f>
        <v>2032/33</v>
      </c>
    </row>
    <row r="973" spans="1:10" x14ac:dyDescent="0.25">
      <c r="A973" t="str">
        <f>[5]trip_summary_region!A973</f>
        <v>14 OTAGO</v>
      </c>
      <c r="B973">
        <f>[5]trip_summary_region!B973</f>
        <v>5</v>
      </c>
      <c r="C973">
        <f>[5]trip_summary_region!C973</f>
        <v>2038</v>
      </c>
      <c r="D973">
        <f>[5]trip_summary_region!D973</f>
        <v>12</v>
      </c>
      <c r="E973">
        <f>[5]trip_summary_region!E973</f>
        <v>57</v>
      </c>
      <c r="F973">
        <f>[5]trip_summary_region!F973</f>
        <v>1.7327841992999999</v>
      </c>
      <c r="G973">
        <f>[5]trip_summary_region!G973</f>
        <v>21.545078026999999</v>
      </c>
      <c r="H973">
        <f>[5]trip_summary_region!H973</f>
        <v>0.44490873279999998</v>
      </c>
      <c r="I973" t="str">
        <f>[5]trip_summary_region!I973</f>
        <v>Motorcyclist</v>
      </c>
      <c r="J973" t="str">
        <f>[5]trip_summary_region!J973</f>
        <v>2037/38</v>
      </c>
    </row>
    <row r="974" spans="1:10" x14ac:dyDescent="0.25">
      <c r="A974" t="str">
        <f>[5]trip_summary_region!A974</f>
        <v>14 OTAGO</v>
      </c>
      <c r="B974">
        <f>[5]trip_summary_region!B974</f>
        <v>5</v>
      </c>
      <c r="C974">
        <f>[5]trip_summary_region!C974</f>
        <v>2043</v>
      </c>
      <c r="D974">
        <f>[5]trip_summary_region!D974</f>
        <v>12</v>
      </c>
      <c r="E974">
        <f>[5]trip_summary_region!E974</f>
        <v>57</v>
      </c>
      <c r="F974">
        <f>[5]trip_summary_region!F974</f>
        <v>1.5760467905</v>
      </c>
      <c r="G974">
        <f>[5]trip_summary_region!G974</f>
        <v>20.945182564</v>
      </c>
      <c r="H974">
        <f>[5]trip_summary_region!H974</f>
        <v>0.42725955630000001</v>
      </c>
      <c r="I974" t="str">
        <f>[5]trip_summary_region!I974</f>
        <v>Motorcyclist</v>
      </c>
      <c r="J974" t="str">
        <f>[5]trip_summary_region!J974</f>
        <v>2042/43</v>
      </c>
    </row>
    <row r="975" spans="1:10" x14ac:dyDescent="0.25">
      <c r="A975" t="str">
        <f>[5]trip_summary_region!A975</f>
        <v>14 OTAGO</v>
      </c>
      <c r="B975">
        <f>[5]trip_summary_region!B975</f>
        <v>7</v>
      </c>
      <c r="C975">
        <f>[5]trip_summary_region!C975</f>
        <v>2013</v>
      </c>
      <c r="D975">
        <f>[5]trip_summary_region!D975</f>
        <v>70</v>
      </c>
      <c r="E975">
        <f>[5]trip_summary_region!E975</f>
        <v>148</v>
      </c>
      <c r="F975">
        <f>[5]trip_summary_region!F975</f>
        <v>4.2627057848999996</v>
      </c>
      <c r="G975">
        <f>[5]trip_summary_region!G975</f>
        <v>27.157477096000001</v>
      </c>
      <c r="H975">
        <f>[5]trip_summary_region!H975</f>
        <v>1.347401772</v>
      </c>
      <c r="I975" t="str">
        <f>[5]trip_summary_region!I975</f>
        <v>Local Bus</v>
      </c>
      <c r="J975" t="str">
        <f>[5]trip_summary_region!J975</f>
        <v>2012/13</v>
      </c>
    </row>
    <row r="976" spans="1:10" x14ac:dyDescent="0.25">
      <c r="A976" t="str">
        <f>[5]trip_summary_region!A976</f>
        <v>14 OTAGO</v>
      </c>
      <c r="B976">
        <f>[5]trip_summary_region!B976</f>
        <v>7</v>
      </c>
      <c r="C976">
        <f>[5]trip_summary_region!C976</f>
        <v>2018</v>
      </c>
      <c r="D976">
        <f>[5]trip_summary_region!D976</f>
        <v>70</v>
      </c>
      <c r="E976">
        <f>[5]trip_summary_region!E976</f>
        <v>148</v>
      </c>
      <c r="F976">
        <f>[5]trip_summary_region!F976</f>
        <v>4.0484617910000003</v>
      </c>
      <c r="G976">
        <f>[5]trip_summary_region!G976</f>
        <v>26.640789095999999</v>
      </c>
      <c r="H976">
        <f>[5]trip_summary_region!H976</f>
        <v>1.2900961945</v>
      </c>
      <c r="I976" t="str">
        <f>[5]trip_summary_region!I976</f>
        <v>Local Bus</v>
      </c>
      <c r="J976" t="str">
        <f>[5]trip_summary_region!J976</f>
        <v>2017/18</v>
      </c>
    </row>
    <row r="977" spans="1:10" x14ac:dyDescent="0.25">
      <c r="A977" t="str">
        <f>[5]trip_summary_region!A977</f>
        <v>14 OTAGO</v>
      </c>
      <c r="B977">
        <f>[5]trip_summary_region!B977</f>
        <v>7</v>
      </c>
      <c r="C977">
        <f>[5]trip_summary_region!C977</f>
        <v>2023</v>
      </c>
      <c r="D977">
        <f>[5]trip_summary_region!D977</f>
        <v>70</v>
      </c>
      <c r="E977">
        <f>[5]trip_summary_region!E977</f>
        <v>148</v>
      </c>
      <c r="F977">
        <f>[5]trip_summary_region!F977</f>
        <v>3.8607801174</v>
      </c>
      <c r="G977">
        <f>[5]trip_summary_region!G977</f>
        <v>26.226807336</v>
      </c>
      <c r="H977">
        <f>[5]trip_summary_region!H977</f>
        <v>1.2436842792</v>
      </c>
      <c r="I977" t="str">
        <f>[5]trip_summary_region!I977</f>
        <v>Local Bus</v>
      </c>
      <c r="J977" t="str">
        <f>[5]trip_summary_region!J977</f>
        <v>2022/23</v>
      </c>
    </row>
    <row r="978" spans="1:10" x14ac:dyDescent="0.25">
      <c r="A978" t="str">
        <f>[5]trip_summary_region!A978</f>
        <v>14 OTAGO</v>
      </c>
      <c r="B978">
        <f>[5]trip_summary_region!B978</f>
        <v>7</v>
      </c>
      <c r="C978">
        <f>[5]trip_summary_region!C978</f>
        <v>2028</v>
      </c>
      <c r="D978">
        <f>[5]trip_summary_region!D978</f>
        <v>70</v>
      </c>
      <c r="E978">
        <f>[5]trip_summary_region!E978</f>
        <v>148</v>
      </c>
      <c r="F978">
        <f>[5]trip_summary_region!F978</f>
        <v>3.6869357593999998</v>
      </c>
      <c r="G978">
        <f>[5]trip_summary_region!G978</f>
        <v>25.534304313</v>
      </c>
      <c r="H978">
        <f>[5]trip_summary_region!H978</f>
        <v>1.1903317034000001</v>
      </c>
      <c r="I978" t="str">
        <f>[5]trip_summary_region!I978</f>
        <v>Local Bus</v>
      </c>
      <c r="J978" t="str">
        <f>[5]trip_summary_region!J978</f>
        <v>2027/28</v>
      </c>
    </row>
    <row r="979" spans="1:10" x14ac:dyDescent="0.25">
      <c r="A979" t="str">
        <f>[5]trip_summary_region!A979</f>
        <v>14 OTAGO</v>
      </c>
      <c r="B979">
        <f>[5]trip_summary_region!B979</f>
        <v>7</v>
      </c>
      <c r="C979">
        <f>[5]trip_summary_region!C979</f>
        <v>2033</v>
      </c>
      <c r="D979">
        <f>[5]trip_summary_region!D979</f>
        <v>70</v>
      </c>
      <c r="E979">
        <f>[5]trip_summary_region!E979</f>
        <v>148</v>
      </c>
      <c r="F979">
        <f>[5]trip_summary_region!F979</f>
        <v>3.5434761765</v>
      </c>
      <c r="G979">
        <f>[5]trip_summary_region!G979</f>
        <v>24.690783295999999</v>
      </c>
      <c r="H979">
        <f>[5]trip_summary_region!H979</f>
        <v>1.1413124115</v>
      </c>
      <c r="I979" t="str">
        <f>[5]trip_summary_region!I979</f>
        <v>Local Bus</v>
      </c>
      <c r="J979" t="str">
        <f>[5]trip_summary_region!J979</f>
        <v>2032/33</v>
      </c>
    </row>
    <row r="980" spans="1:10" x14ac:dyDescent="0.25">
      <c r="A980" t="str">
        <f>[5]trip_summary_region!A980</f>
        <v>14 OTAGO</v>
      </c>
      <c r="B980">
        <f>[5]trip_summary_region!B980</f>
        <v>7</v>
      </c>
      <c r="C980">
        <f>[5]trip_summary_region!C980</f>
        <v>2038</v>
      </c>
      <c r="D980">
        <f>[5]trip_summary_region!D980</f>
        <v>70</v>
      </c>
      <c r="E980">
        <f>[5]trip_summary_region!E980</f>
        <v>148</v>
      </c>
      <c r="F980">
        <f>[5]trip_summary_region!F980</f>
        <v>3.3237590398000001</v>
      </c>
      <c r="G980">
        <f>[5]trip_summary_region!G980</f>
        <v>23.186410860999999</v>
      </c>
      <c r="H980">
        <f>[5]trip_summary_region!H980</f>
        <v>1.0718506929</v>
      </c>
      <c r="I980" t="str">
        <f>[5]trip_summary_region!I980</f>
        <v>Local Bus</v>
      </c>
      <c r="J980" t="str">
        <f>[5]trip_summary_region!J980</f>
        <v>2037/38</v>
      </c>
    </row>
    <row r="981" spans="1:10" x14ac:dyDescent="0.25">
      <c r="A981" t="str">
        <f>[5]trip_summary_region!A981</f>
        <v>14 OTAGO</v>
      </c>
      <c r="B981">
        <f>[5]trip_summary_region!B981</f>
        <v>7</v>
      </c>
      <c r="C981">
        <f>[5]trip_summary_region!C981</f>
        <v>2043</v>
      </c>
      <c r="D981">
        <f>[5]trip_summary_region!D981</f>
        <v>70</v>
      </c>
      <c r="E981">
        <f>[5]trip_summary_region!E981</f>
        <v>148</v>
      </c>
      <c r="F981">
        <f>[5]trip_summary_region!F981</f>
        <v>3.1055821776000001</v>
      </c>
      <c r="G981">
        <f>[5]trip_summary_region!G981</f>
        <v>21.680179902999999</v>
      </c>
      <c r="H981">
        <f>[5]trip_summary_region!H981</f>
        <v>1.0035783852</v>
      </c>
      <c r="I981" t="str">
        <f>[5]trip_summary_region!I981</f>
        <v>Local Bus</v>
      </c>
      <c r="J981" t="str">
        <f>[5]trip_summary_region!J981</f>
        <v>2042/43</v>
      </c>
    </row>
    <row r="982" spans="1:10" x14ac:dyDescent="0.25">
      <c r="A982" t="str">
        <f>[5]trip_summary_region!A982</f>
        <v>14 OTAGO</v>
      </c>
      <c r="B982">
        <f>[5]trip_summary_region!B982</f>
        <v>9</v>
      </c>
      <c r="C982">
        <f>[5]trip_summary_region!C982</f>
        <v>2013</v>
      </c>
      <c r="D982">
        <f>[5]trip_summary_region!D982</f>
        <v>11</v>
      </c>
      <c r="E982">
        <f>[5]trip_summary_region!E982</f>
        <v>38</v>
      </c>
      <c r="F982">
        <f>[5]trip_summary_region!F982</f>
        <v>0.77539158779999995</v>
      </c>
      <c r="G982">
        <f>[5]trip_summary_region!G982</f>
        <v>0</v>
      </c>
      <c r="H982">
        <f>[5]trip_summary_region!H982</f>
        <v>0.25154479130000001</v>
      </c>
      <c r="I982" t="str">
        <f>[5]trip_summary_region!I982</f>
        <v>Other Household Travel</v>
      </c>
      <c r="J982" t="str">
        <f>[5]trip_summary_region!J982</f>
        <v>2012/13</v>
      </c>
    </row>
    <row r="983" spans="1:10" x14ac:dyDescent="0.25">
      <c r="A983" t="str">
        <f>[5]trip_summary_region!A983</f>
        <v>14 OTAGO</v>
      </c>
      <c r="B983">
        <f>[5]trip_summary_region!B983</f>
        <v>9</v>
      </c>
      <c r="C983">
        <f>[5]trip_summary_region!C983</f>
        <v>2018</v>
      </c>
      <c r="D983">
        <f>[5]trip_summary_region!D983</f>
        <v>11</v>
      </c>
      <c r="E983">
        <f>[5]trip_summary_region!E983</f>
        <v>38</v>
      </c>
      <c r="F983">
        <f>[5]trip_summary_region!F983</f>
        <v>0.80259287879999996</v>
      </c>
      <c r="G983">
        <f>[5]trip_summary_region!G983</f>
        <v>0</v>
      </c>
      <c r="H983">
        <f>[5]trip_summary_region!H983</f>
        <v>0.2702658382</v>
      </c>
      <c r="I983" t="str">
        <f>[5]trip_summary_region!I983</f>
        <v>Other Household Travel</v>
      </c>
      <c r="J983" t="str">
        <f>[5]trip_summary_region!J983</f>
        <v>2017/18</v>
      </c>
    </row>
    <row r="984" spans="1:10" x14ac:dyDescent="0.25">
      <c r="A984" t="str">
        <f>[5]trip_summary_region!A984</f>
        <v>14 OTAGO</v>
      </c>
      <c r="B984">
        <f>[5]trip_summary_region!B984</f>
        <v>9</v>
      </c>
      <c r="C984">
        <f>[5]trip_summary_region!C984</f>
        <v>2023</v>
      </c>
      <c r="D984">
        <f>[5]trip_summary_region!D984</f>
        <v>11</v>
      </c>
      <c r="E984">
        <f>[5]trip_summary_region!E984</f>
        <v>38</v>
      </c>
      <c r="F984">
        <f>[5]trip_summary_region!F984</f>
        <v>0.82863269260000005</v>
      </c>
      <c r="G984">
        <f>[5]trip_summary_region!G984</f>
        <v>0</v>
      </c>
      <c r="H984">
        <f>[5]trip_summary_region!H984</f>
        <v>0.28511958729999998</v>
      </c>
      <c r="I984" t="str">
        <f>[5]trip_summary_region!I984</f>
        <v>Other Household Travel</v>
      </c>
      <c r="J984" t="str">
        <f>[5]trip_summary_region!J984</f>
        <v>2022/23</v>
      </c>
    </row>
    <row r="985" spans="1:10" x14ac:dyDescent="0.25">
      <c r="A985" t="str">
        <f>[5]trip_summary_region!A985</f>
        <v>14 OTAGO</v>
      </c>
      <c r="B985">
        <f>[5]trip_summary_region!B985</f>
        <v>9</v>
      </c>
      <c r="C985">
        <f>[5]trip_summary_region!C985</f>
        <v>2028</v>
      </c>
      <c r="D985">
        <f>[5]trip_summary_region!D985</f>
        <v>11</v>
      </c>
      <c r="E985">
        <f>[5]trip_summary_region!E985</f>
        <v>38</v>
      </c>
      <c r="F985">
        <f>[5]trip_summary_region!F985</f>
        <v>0.80969802790000001</v>
      </c>
      <c r="G985">
        <f>[5]trip_summary_region!G985</f>
        <v>0</v>
      </c>
      <c r="H985">
        <f>[5]trip_summary_region!H985</f>
        <v>0.28830048559999999</v>
      </c>
      <c r="I985" t="str">
        <f>[5]trip_summary_region!I985</f>
        <v>Other Household Travel</v>
      </c>
      <c r="J985" t="str">
        <f>[5]trip_summary_region!J985</f>
        <v>2027/28</v>
      </c>
    </row>
    <row r="986" spans="1:10" x14ac:dyDescent="0.25">
      <c r="A986" t="str">
        <f>[5]trip_summary_region!A986</f>
        <v>14 OTAGO</v>
      </c>
      <c r="B986">
        <f>[5]trip_summary_region!B986</f>
        <v>9</v>
      </c>
      <c r="C986">
        <f>[5]trip_summary_region!C986</f>
        <v>2033</v>
      </c>
      <c r="D986">
        <f>[5]trip_summary_region!D986</f>
        <v>11</v>
      </c>
      <c r="E986">
        <f>[5]trip_summary_region!E986</f>
        <v>38</v>
      </c>
      <c r="F986">
        <f>[5]trip_summary_region!F986</f>
        <v>0.76624665739999998</v>
      </c>
      <c r="G986">
        <f>[5]trip_summary_region!G986</f>
        <v>0</v>
      </c>
      <c r="H986">
        <f>[5]trip_summary_region!H986</f>
        <v>0.2854091117</v>
      </c>
      <c r="I986" t="str">
        <f>[5]trip_summary_region!I986</f>
        <v>Other Household Travel</v>
      </c>
      <c r="J986" t="str">
        <f>[5]trip_summary_region!J986</f>
        <v>2032/33</v>
      </c>
    </row>
    <row r="987" spans="1:10" x14ac:dyDescent="0.25">
      <c r="A987" t="str">
        <f>[5]trip_summary_region!A987</f>
        <v>14 OTAGO</v>
      </c>
      <c r="B987">
        <f>[5]trip_summary_region!B987</f>
        <v>9</v>
      </c>
      <c r="C987">
        <f>[5]trip_summary_region!C987</f>
        <v>2038</v>
      </c>
      <c r="D987">
        <f>[5]trip_summary_region!D987</f>
        <v>11</v>
      </c>
      <c r="E987">
        <f>[5]trip_summary_region!E987</f>
        <v>38</v>
      </c>
      <c r="F987">
        <f>[5]trip_summary_region!F987</f>
        <v>0.71957924100000004</v>
      </c>
      <c r="G987">
        <f>[5]trip_summary_region!G987</f>
        <v>0</v>
      </c>
      <c r="H987">
        <f>[5]trip_summary_region!H987</f>
        <v>0.28457323940000001</v>
      </c>
      <c r="I987" t="str">
        <f>[5]trip_summary_region!I987</f>
        <v>Other Household Travel</v>
      </c>
      <c r="J987" t="str">
        <f>[5]trip_summary_region!J987</f>
        <v>2037/38</v>
      </c>
    </row>
    <row r="988" spans="1:10" x14ac:dyDescent="0.25">
      <c r="A988" t="str">
        <f>[5]trip_summary_region!A988</f>
        <v>14 OTAGO</v>
      </c>
      <c r="B988">
        <f>[5]trip_summary_region!B988</f>
        <v>9</v>
      </c>
      <c r="C988">
        <f>[5]trip_summary_region!C988</f>
        <v>2043</v>
      </c>
      <c r="D988">
        <f>[5]trip_summary_region!D988</f>
        <v>11</v>
      </c>
      <c r="E988">
        <f>[5]trip_summary_region!E988</f>
        <v>38</v>
      </c>
      <c r="F988">
        <f>[5]trip_summary_region!F988</f>
        <v>0.68044632699999996</v>
      </c>
      <c r="G988">
        <f>[5]trip_summary_region!G988</f>
        <v>0</v>
      </c>
      <c r="H988">
        <f>[5]trip_summary_region!H988</f>
        <v>0.28645659080000002</v>
      </c>
      <c r="I988" t="str">
        <f>[5]trip_summary_region!I988</f>
        <v>Other Household Travel</v>
      </c>
      <c r="J988" t="str">
        <f>[5]trip_summary_region!J988</f>
        <v>2042/43</v>
      </c>
    </row>
    <row r="989" spans="1:10" x14ac:dyDescent="0.25">
      <c r="A989" t="str">
        <f>[5]trip_summary_region!A989</f>
        <v>14 OTAGO</v>
      </c>
      <c r="B989">
        <f>[5]trip_summary_region!B989</f>
        <v>10</v>
      </c>
      <c r="C989">
        <f>[5]trip_summary_region!C989</f>
        <v>2013</v>
      </c>
      <c r="D989">
        <f>[5]trip_summary_region!D989</f>
        <v>12</v>
      </c>
      <c r="E989">
        <f>[5]trip_summary_region!E989</f>
        <v>16</v>
      </c>
      <c r="F989">
        <f>[5]trip_summary_region!F989</f>
        <v>0.45393948140000001</v>
      </c>
      <c r="G989">
        <f>[5]trip_summary_region!G989</f>
        <v>32.668222239000002</v>
      </c>
      <c r="H989">
        <f>[5]trip_summary_region!H989</f>
        <v>1.0816055304000001</v>
      </c>
      <c r="I989" t="str">
        <f>[5]trip_summary_region!I989</f>
        <v>Air/Non-Local PT</v>
      </c>
      <c r="J989" t="str">
        <f>[5]trip_summary_region!J989</f>
        <v>2012/13</v>
      </c>
    </row>
    <row r="990" spans="1:10" x14ac:dyDescent="0.25">
      <c r="A990" t="str">
        <f>[5]trip_summary_region!A990</f>
        <v>14 OTAGO</v>
      </c>
      <c r="B990">
        <f>[5]trip_summary_region!B990</f>
        <v>10</v>
      </c>
      <c r="C990">
        <f>[5]trip_summary_region!C990</f>
        <v>2018</v>
      </c>
      <c r="D990">
        <f>[5]trip_summary_region!D990</f>
        <v>12</v>
      </c>
      <c r="E990">
        <f>[5]trip_summary_region!E990</f>
        <v>16</v>
      </c>
      <c r="F990">
        <f>[5]trip_summary_region!F990</f>
        <v>0.51481890789999996</v>
      </c>
      <c r="G990">
        <f>[5]trip_summary_region!G990</f>
        <v>37.135333521</v>
      </c>
      <c r="H990">
        <f>[5]trip_summary_region!H990</f>
        <v>1.2116536280000001</v>
      </c>
      <c r="I990" t="str">
        <f>[5]trip_summary_region!I990</f>
        <v>Air/Non-Local PT</v>
      </c>
      <c r="J990" t="str">
        <f>[5]trip_summary_region!J990</f>
        <v>2017/18</v>
      </c>
    </row>
    <row r="991" spans="1:10" x14ac:dyDescent="0.25">
      <c r="A991" t="str">
        <f>[5]trip_summary_region!A991</f>
        <v>14 OTAGO</v>
      </c>
      <c r="B991">
        <f>[5]trip_summary_region!B991</f>
        <v>10</v>
      </c>
      <c r="C991">
        <f>[5]trip_summary_region!C991</f>
        <v>2023</v>
      </c>
      <c r="D991">
        <f>[5]trip_summary_region!D991</f>
        <v>12</v>
      </c>
      <c r="E991">
        <f>[5]trip_summary_region!E991</f>
        <v>16</v>
      </c>
      <c r="F991">
        <f>[5]trip_summary_region!F991</f>
        <v>0.56737892000000001</v>
      </c>
      <c r="G991">
        <f>[5]trip_summary_region!G991</f>
        <v>40.155415099999999</v>
      </c>
      <c r="H991">
        <f>[5]trip_summary_region!H991</f>
        <v>1.3120354104</v>
      </c>
      <c r="I991" t="str">
        <f>[5]trip_summary_region!I991</f>
        <v>Air/Non-Local PT</v>
      </c>
      <c r="J991" t="str">
        <f>[5]trip_summary_region!J991</f>
        <v>2022/23</v>
      </c>
    </row>
    <row r="992" spans="1:10" x14ac:dyDescent="0.25">
      <c r="A992" t="str">
        <f>[5]trip_summary_region!A992</f>
        <v>14 OTAGO</v>
      </c>
      <c r="B992">
        <f>[5]trip_summary_region!B992</f>
        <v>10</v>
      </c>
      <c r="C992">
        <f>[5]trip_summary_region!C992</f>
        <v>2028</v>
      </c>
      <c r="D992">
        <f>[5]trip_summary_region!D992</f>
        <v>12</v>
      </c>
      <c r="E992">
        <f>[5]trip_summary_region!E992</f>
        <v>16</v>
      </c>
      <c r="F992">
        <f>[5]trip_summary_region!F992</f>
        <v>0.60603619990000002</v>
      </c>
      <c r="G992">
        <f>[5]trip_summary_region!G992</f>
        <v>41.880228375000002</v>
      </c>
      <c r="H992">
        <f>[5]trip_summary_region!H992</f>
        <v>1.3759775986</v>
      </c>
      <c r="I992" t="str">
        <f>[5]trip_summary_region!I992</f>
        <v>Air/Non-Local PT</v>
      </c>
      <c r="J992" t="str">
        <f>[5]trip_summary_region!J992</f>
        <v>2027/28</v>
      </c>
    </row>
    <row r="993" spans="1:10" x14ac:dyDescent="0.25">
      <c r="A993" t="str">
        <f>[5]trip_summary_region!A993</f>
        <v>14 OTAGO</v>
      </c>
      <c r="B993">
        <f>[5]trip_summary_region!B993</f>
        <v>10</v>
      </c>
      <c r="C993">
        <f>[5]trip_summary_region!C993</f>
        <v>2033</v>
      </c>
      <c r="D993">
        <f>[5]trip_summary_region!D993</f>
        <v>12</v>
      </c>
      <c r="E993">
        <f>[5]trip_summary_region!E993</f>
        <v>16</v>
      </c>
      <c r="F993">
        <f>[5]trip_summary_region!F993</f>
        <v>0.64017302320000002</v>
      </c>
      <c r="G993">
        <f>[5]trip_summary_region!G993</f>
        <v>43.477270791000002</v>
      </c>
      <c r="H993">
        <f>[5]trip_summary_region!H993</f>
        <v>1.4418409081000001</v>
      </c>
      <c r="I993" t="str">
        <f>[5]trip_summary_region!I993</f>
        <v>Air/Non-Local PT</v>
      </c>
      <c r="J993" t="str">
        <f>[5]trip_summary_region!J993</f>
        <v>2032/33</v>
      </c>
    </row>
    <row r="994" spans="1:10" x14ac:dyDescent="0.25">
      <c r="A994" t="str">
        <f>[5]trip_summary_region!A994</f>
        <v>14 OTAGO</v>
      </c>
      <c r="B994">
        <f>[5]trip_summary_region!B994</f>
        <v>10</v>
      </c>
      <c r="C994">
        <f>[5]trip_summary_region!C994</f>
        <v>2038</v>
      </c>
      <c r="D994">
        <f>[5]trip_summary_region!D994</f>
        <v>12</v>
      </c>
      <c r="E994">
        <f>[5]trip_summary_region!E994</f>
        <v>16</v>
      </c>
      <c r="F994">
        <f>[5]trip_summary_region!F994</f>
        <v>0.66551464459999998</v>
      </c>
      <c r="G994">
        <f>[5]trip_summary_region!G994</f>
        <v>44.1364771</v>
      </c>
      <c r="H994">
        <f>[5]trip_summary_region!H994</f>
        <v>1.4725813212000001</v>
      </c>
      <c r="I994" t="str">
        <f>[5]trip_summary_region!I994</f>
        <v>Air/Non-Local PT</v>
      </c>
      <c r="J994" t="str">
        <f>[5]trip_summary_region!J994</f>
        <v>2037/38</v>
      </c>
    </row>
    <row r="995" spans="1:10" x14ac:dyDescent="0.25">
      <c r="A995" t="str">
        <f>[5]trip_summary_region!A995</f>
        <v>14 OTAGO</v>
      </c>
      <c r="B995">
        <f>[5]trip_summary_region!B995</f>
        <v>10</v>
      </c>
      <c r="C995">
        <f>[5]trip_summary_region!C995</f>
        <v>2043</v>
      </c>
      <c r="D995">
        <f>[5]trip_summary_region!D995</f>
        <v>12</v>
      </c>
      <c r="E995">
        <f>[5]trip_summary_region!E995</f>
        <v>16</v>
      </c>
      <c r="F995">
        <f>[5]trip_summary_region!F995</f>
        <v>0.68886423600000002</v>
      </c>
      <c r="G995">
        <f>[5]trip_summary_region!G995</f>
        <v>44.516082286</v>
      </c>
      <c r="H995">
        <f>[5]trip_summary_region!H995</f>
        <v>1.4974496789</v>
      </c>
      <c r="I995" t="str">
        <f>[5]trip_summary_region!I995</f>
        <v>Air/Non-Local PT</v>
      </c>
      <c r="J995" t="str">
        <f>[5]trip_summary_region!J995</f>
        <v>2042/43</v>
      </c>
    </row>
    <row r="996" spans="1:10" x14ac:dyDescent="0.25">
      <c r="A996" t="str">
        <f>[5]trip_summary_region!A996</f>
        <v>14 OTAGO</v>
      </c>
      <c r="B996">
        <f>[5]trip_summary_region!B996</f>
        <v>11</v>
      </c>
      <c r="C996">
        <f>[5]trip_summary_region!C996</f>
        <v>2013</v>
      </c>
      <c r="D996">
        <f>[5]trip_summary_region!D996</f>
        <v>8</v>
      </c>
      <c r="E996">
        <f>[5]trip_summary_region!E996</f>
        <v>23</v>
      </c>
      <c r="F996">
        <f>[5]trip_summary_region!F996</f>
        <v>0.69501361849999999</v>
      </c>
      <c r="G996">
        <f>[5]trip_summary_region!G996</f>
        <v>6.1172965614999999</v>
      </c>
      <c r="H996">
        <f>[5]trip_summary_region!H996</f>
        <v>0.18529166999999999</v>
      </c>
      <c r="I996" t="str">
        <f>[5]trip_summary_region!I996</f>
        <v>Non-Household Travel</v>
      </c>
      <c r="J996" t="str">
        <f>[5]trip_summary_region!J996</f>
        <v>2012/13</v>
      </c>
    </row>
    <row r="997" spans="1:10" x14ac:dyDescent="0.25">
      <c r="A997" t="str">
        <f>[5]trip_summary_region!A997</f>
        <v>14 OTAGO</v>
      </c>
      <c r="B997">
        <f>[5]trip_summary_region!B997</f>
        <v>11</v>
      </c>
      <c r="C997">
        <f>[5]trip_summary_region!C997</f>
        <v>2018</v>
      </c>
      <c r="D997">
        <f>[5]trip_summary_region!D997</f>
        <v>8</v>
      </c>
      <c r="E997">
        <f>[5]trip_summary_region!E997</f>
        <v>23</v>
      </c>
      <c r="F997">
        <f>[5]trip_summary_region!F997</f>
        <v>0.78664819730000002</v>
      </c>
      <c r="G997">
        <f>[5]trip_summary_region!G997</f>
        <v>7.3837697751000002</v>
      </c>
      <c r="H997">
        <f>[5]trip_summary_region!H997</f>
        <v>0.22132746810000001</v>
      </c>
      <c r="I997" t="str">
        <f>[5]trip_summary_region!I997</f>
        <v>Non-Household Travel</v>
      </c>
      <c r="J997" t="str">
        <f>[5]trip_summary_region!J997</f>
        <v>2017/18</v>
      </c>
    </row>
    <row r="998" spans="1:10" x14ac:dyDescent="0.25">
      <c r="A998" t="str">
        <f>[5]trip_summary_region!A998</f>
        <v>14 OTAGO</v>
      </c>
      <c r="B998">
        <f>[5]trip_summary_region!B998</f>
        <v>11</v>
      </c>
      <c r="C998">
        <f>[5]trip_summary_region!C998</f>
        <v>2023</v>
      </c>
      <c r="D998">
        <f>[5]trip_summary_region!D998</f>
        <v>8</v>
      </c>
      <c r="E998">
        <f>[5]trip_summary_region!E998</f>
        <v>23</v>
      </c>
      <c r="F998">
        <f>[5]trip_summary_region!F998</f>
        <v>0.88920484850000003</v>
      </c>
      <c r="G998">
        <f>[5]trip_summary_region!G998</f>
        <v>8.5738621421999994</v>
      </c>
      <c r="H998">
        <f>[5]trip_summary_region!H998</f>
        <v>0.25697993679999998</v>
      </c>
      <c r="I998" t="str">
        <f>[5]trip_summary_region!I998</f>
        <v>Non-Household Travel</v>
      </c>
      <c r="J998" t="str">
        <f>[5]trip_summary_region!J998</f>
        <v>2022/23</v>
      </c>
    </row>
    <row r="999" spans="1:10" x14ac:dyDescent="0.25">
      <c r="A999" t="str">
        <f>[5]trip_summary_region!A999</f>
        <v>14 OTAGO</v>
      </c>
      <c r="B999">
        <f>[5]trip_summary_region!B999</f>
        <v>11</v>
      </c>
      <c r="C999">
        <f>[5]trip_summary_region!C999</f>
        <v>2028</v>
      </c>
      <c r="D999">
        <f>[5]trip_summary_region!D999</f>
        <v>8</v>
      </c>
      <c r="E999">
        <f>[5]trip_summary_region!E999</f>
        <v>23</v>
      </c>
      <c r="F999">
        <f>[5]trip_summary_region!F999</f>
        <v>1.0391582335</v>
      </c>
      <c r="G999">
        <f>[5]trip_summary_region!G999</f>
        <v>9.8152134405999991</v>
      </c>
      <c r="H999">
        <f>[5]trip_summary_region!H999</f>
        <v>0.3000502847</v>
      </c>
      <c r="I999" t="str">
        <f>[5]trip_summary_region!I999</f>
        <v>Non-Household Travel</v>
      </c>
      <c r="J999" t="str">
        <f>[5]trip_summary_region!J999</f>
        <v>2027/28</v>
      </c>
    </row>
    <row r="1000" spans="1:10" x14ac:dyDescent="0.25">
      <c r="A1000" t="str">
        <f>[5]trip_summary_region!A1000</f>
        <v>14 OTAGO</v>
      </c>
      <c r="B1000">
        <f>[5]trip_summary_region!B1000</f>
        <v>11</v>
      </c>
      <c r="C1000">
        <f>[5]trip_summary_region!C1000</f>
        <v>2033</v>
      </c>
      <c r="D1000">
        <f>[5]trip_summary_region!D1000</f>
        <v>8</v>
      </c>
      <c r="E1000">
        <f>[5]trip_summary_region!E1000</f>
        <v>23</v>
      </c>
      <c r="F1000">
        <f>[5]trip_summary_region!F1000</f>
        <v>1.1506259655</v>
      </c>
      <c r="G1000">
        <f>[5]trip_summary_region!G1000</f>
        <v>10.515876501999999</v>
      </c>
      <c r="H1000">
        <f>[5]trip_summary_region!H1000</f>
        <v>0.33008897729999997</v>
      </c>
      <c r="I1000" t="str">
        <f>[5]trip_summary_region!I1000</f>
        <v>Non-Household Travel</v>
      </c>
      <c r="J1000" t="str">
        <f>[5]trip_summary_region!J1000</f>
        <v>2032/33</v>
      </c>
    </row>
    <row r="1001" spans="1:10" x14ac:dyDescent="0.25">
      <c r="A1001" t="str">
        <f>[5]trip_summary_region!A1001</f>
        <v>14 OTAGO</v>
      </c>
      <c r="B1001">
        <f>[5]trip_summary_region!B1001</f>
        <v>11</v>
      </c>
      <c r="C1001">
        <f>[5]trip_summary_region!C1001</f>
        <v>2038</v>
      </c>
      <c r="D1001">
        <f>[5]trip_summary_region!D1001</f>
        <v>8</v>
      </c>
      <c r="E1001">
        <f>[5]trip_summary_region!E1001</f>
        <v>23</v>
      </c>
      <c r="F1001">
        <f>[5]trip_summary_region!F1001</f>
        <v>1.2109021453</v>
      </c>
      <c r="G1001">
        <f>[5]trip_summary_region!G1001</f>
        <v>10.870034587999999</v>
      </c>
      <c r="H1001">
        <f>[5]trip_summary_region!H1001</f>
        <v>0.34716449669999999</v>
      </c>
      <c r="I1001" t="str">
        <f>[5]trip_summary_region!I1001</f>
        <v>Non-Household Travel</v>
      </c>
      <c r="J1001" t="str">
        <f>[5]trip_summary_region!J1001</f>
        <v>2037/38</v>
      </c>
    </row>
    <row r="1002" spans="1:10" x14ac:dyDescent="0.25">
      <c r="A1002" t="str">
        <f>[5]trip_summary_region!A1002</f>
        <v>14 OTAGO</v>
      </c>
      <c r="B1002">
        <f>[5]trip_summary_region!B1002</f>
        <v>11</v>
      </c>
      <c r="C1002">
        <f>[5]trip_summary_region!C1002</f>
        <v>2043</v>
      </c>
      <c r="D1002">
        <f>[5]trip_summary_region!D1002</f>
        <v>8</v>
      </c>
      <c r="E1002">
        <f>[5]trip_summary_region!E1002</f>
        <v>23</v>
      </c>
      <c r="F1002">
        <f>[5]trip_summary_region!F1002</f>
        <v>1.2821129479</v>
      </c>
      <c r="G1002">
        <f>[5]trip_summary_region!G1002</f>
        <v>11.23428816</v>
      </c>
      <c r="H1002">
        <f>[5]trip_summary_region!H1002</f>
        <v>0.3662330385</v>
      </c>
      <c r="I1002" t="str">
        <f>[5]trip_summary_region!I1002</f>
        <v>Non-Household Travel</v>
      </c>
      <c r="J1002" t="str">
        <f>[5]trip_summary_region!J1002</f>
        <v>2042/43</v>
      </c>
    </row>
    <row r="1003" spans="1:10" x14ac:dyDescent="0.25">
      <c r="A1003" t="str">
        <f>[5]trip_summary_region!A1003</f>
        <v>15 SOUTHLAND</v>
      </c>
      <c r="B1003">
        <f>[5]trip_summary_region!B1003</f>
        <v>0</v>
      </c>
      <c r="C1003">
        <f>[5]trip_summary_region!C1003</f>
        <v>2013</v>
      </c>
      <c r="D1003">
        <f>[5]trip_summary_region!D1003</f>
        <v>180</v>
      </c>
      <c r="E1003">
        <f>[5]trip_summary_region!E1003</f>
        <v>617</v>
      </c>
      <c r="F1003">
        <f>[5]trip_summary_region!F1003</f>
        <v>12.52065131</v>
      </c>
      <c r="G1003">
        <f>[5]trip_summary_region!G1003</f>
        <v>8.8466785109000003</v>
      </c>
      <c r="H1003">
        <f>[5]trip_summary_region!H1003</f>
        <v>2.2528617661000001</v>
      </c>
      <c r="I1003" t="str">
        <f>[5]trip_summary_region!I1003</f>
        <v>Pedestrian</v>
      </c>
      <c r="J1003" t="str">
        <f>[5]trip_summary_region!J1003</f>
        <v>2012/13</v>
      </c>
    </row>
    <row r="1004" spans="1:10" x14ac:dyDescent="0.25">
      <c r="A1004" t="str">
        <f>[5]trip_summary_region!A1004</f>
        <v>15 SOUTHLAND</v>
      </c>
      <c r="B1004">
        <f>[5]trip_summary_region!B1004</f>
        <v>0</v>
      </c>
      <c r="C1004">
        <f>[5]trip_summary_region!C1004</f>
        <v>2018</v>
      </c>
      <c r="D1004">
        <f>[5]trip_summary_region!D1004</f>
        <v>180</v>
      </c>
      <c r="E1004">
        <f>[5]trip_summary_region!E1004</f>
        <v>617</v>
      </c>
      <c r="F1004">
        <f>[5]trip_summary_region!F1004</f>
        <v>12.67176645</v>
      </c>
      <c r="G1004">
        <f>[5]trip_summary_region!G1004</f>
        <v>8.9986548836000004</v>
      </c>
      <c r="H1004">
        <f>[5]trip_summary_region!H1004</f>
        <v>2.2903714635000001</v>
      </c>
      <c r="I1004" t="str">
        <f>[5]trip_summary_region!I1004</f>
        <v>Pedestrian</v>
      </c>
      <c r="J1004" t="str">
        <f>[5]trip_summary_region!J1004</f>
        <v>2017/18</v>
      </c>
    </row>
    <row r="1005" spans="1:10" x14ac:dyDescent="0.25">
      <c r="A1005" t="str">
        <f>[5]trip_summary_region!A1005</f>
        <v>15 SOUTHLAND</v>
      </c>
      <c r="B1005">
        <f>[5]trip_summary_region!B1005</f>
        <v>0</v>
      </c>
      <c r="C1005">
        <f>[5]trip_summary_region!C1005</f>
        <v>2023</v>
      </c>
      <c r="D1005">
        <f>[5]trip_summary_region!D1005</f>
        <v>180</v>
      </c>
      <c r="E1005">
        <f>[5]trip_summary_region!E1005</f>
        <v>617</v>
      </c>
      <c r="F1005">
        <f>[5]trip_summary_region!F1005</f>
        <v>12.663797343000001</v>
      </c>
      <c r="G1005">
        <f>[5]trip_summary_region!G1005</f>
        <v>9.0068575308999996</v>
      </c>
      <c r="H1005">
        <f>[5]trip_summary_region!H1005</f>
        <v>2.2892631520000002</v>
      </c>
      <c r="I1005" t="str">
        <f>[5]trip_summary_region!I1005</f>
        <v>Pedestrian</v>
      </c>
      <c r="J1005" t="str">
        <f>[5]trip_summary_region!J1005</f>
        <v>2022/23</v>
      </c>
    </row>
    <row r="1006" spans="1:10" x14ac:dyDescent="0.25">
      <c r="A1006" t="str">
        <f>[5]trip_summary_region!A1006</f>
        <v>15 SOUTHLAND</v>
      </c>
      <c r="B1006">
        <f>[5]trip_summary_region!B1006</f>
        <v>0</v>
      </c>
      <c r="C1006">
        <f>[5]trip_summary_region!C1006</f>
        <v>2028</v>
      </c>
      <c r="D1006">
        <f>[5]trip_summary_region!D1006</f>
        <v>180</v>
      </c>
      <c r="E1006">
        <f>[5]trip_summary_region!E1006</f>
        <v>617</v>
      </c>
      <c r="F1006">
        <f>[5]trip_summary_region!F1006</f>
        <v>12.670142465</v>
      </c>
      <c r="G1006">
        <f>[5]trip_summary_region!G1006</f>
        <v>9.0357188503000003</v>
      </c>
      <c r="H1006">
        <f>[5]trip_summary_region!H1006</f>
        <v>2.2693279764000001</v>
      </c>
      <c r="I1006" t="str">
        <f>[5]trip_summary_region!I1006</f>
        <v>Pedestrian</v>
      </c>
      <c r="J1006" t="str">
        <f>[5]trip_summary_region!J1006</f>
        <v>2027/28</v>
      </c>
    </row>
    <row r="1007" spans="1:10" x14ac:dyDescent="0.25">
      <c r="A1007" t="str">
        <f>[5]trip_summary_region!A1007</f>
        <v>15 SOUTHLAND</v>
      </c>
      <c r="B1007">
        <f>[5]trip_summary_region!B1007</f>
        <v>0</v>
      </c>
      <c r="C1007">
        <f>[5]trip_summary_region!C1007</f>
        <v>2033</v>
      </c>
      <c r="D1007">
        <f>[5]trip_summary_region!D1007</f>
        <v>180</v>
      </c>
      <c r="E1007">
        <f>[5]trip_summary_region!E1007</f>
        <v>617</v>
      </c>
      <c r="F1007">
        <f>[5]trip_summary_region!F1007</f>
        <v>12.474967664999999</v>
      </c>
      <c r="G1007">
        <f>[5]trip_summary_region!G1007</f>
        <v>8.8610601994000007</v>
      </c>
      <c r="H1007">
        <f>[5]trip_summary_region!H1007</f>
        <v>2.2193257948</v>
      </c>
      <c r="I1007" t="str">
        <f>[5]trip_summary_region!I1007</f>
        <v>Pedestrian</v>
      </c>
      <c r="J1007" t="str">
        <f>[5]trip_summary_region!J1007</f>
        <v>2032/33</v>
      </c>
    </row>
    <row r="1008" spans="1:10" x14ac:dyDescent="0.25">
      <c r="A1008" t="str">
        <f>[5]trip_summary_region!A1008</f>
        <v>15 SOUTHLAND</v>
      </c>
      <c r="B1008">
        <f>[5]trip_summary_region!B1008</f>
        <v>0</v>
      </c>
      <c r="C1008">
        <f>[5]trip_summary_region!C1008</f>
        <v>2038</v>
      </c>
      <c r="D1008">
        <f>[5]trip_summary_region!D1008</f>
        <v>180</v>
      </c>
      <c r="E1008">
        <f>[5]trip_summary_region!E1008</f>
        <v>617</v>
      </c>
      <c r="F1008">
        <f>[5]trip_summary_region!F1008</f>
        <v>12.128150967</v>
      </c>
      <c r="G1008">
        <f>[5]trip_summary_region!G1008</f>
        <v>8.6733196400000008</v>
      </c>
      <c r="H1008">
        <f>[5]trip_summary_region!H1008</f>
        <v>2.1552544251999999</v>
      </c>
      <c r="I1008" t="str">
        <f>[5]trip_summary_region!I1008</f>
        <v>Pedestrian</v>
      </c>
      <c r="J1008" t="str">
        <f>[5]trip_summary_region!J1008</f>
        <v>2037/38</v>
      </c>
    </row>
    <row r="1009" spans="1:10" x14ac:dyDescent="0.25">
      <c r="A1009" t="str">
        <f>[5]trip_summary_region!A1009</f>
        <v>15 SOUTHLAND</v>
      </c>
      <c r="B1009">
        <f>[5]trip_summary_region!B1009</f>
        <v>0</v>
      </c>
      <c r="C1009">
        <f>[5]trip_summary_region!C1009</f>
        <v>2043</v>
      </c>
      <c r="D1009">
        <f>[5]trip_summary_region!D1009</f>
        <v>180</v>
      </c>
      <c r="E1009">
        <f>[5]trip_summary_region!E1009</f>
        <v>617</v>
      </c>
      <c r="F1009">
        <f>[5]trip_summary_region!F1009</f>
        <v>11.720346974</v>
      </c>
      <c r="G1009">
        <f>[5]trip_summary_region!G1009</f>
        <v>8.4250576167000002</v>
      </c>
      <c r="H1009">
        <f>[5]trip_summary_region!H1009</f>
        <v>2.0780095142000001</v>
      </c>
      <c r="I1009" t="str">
        <f>[5]trip_summary_region!I1009</f>
        <v>Pedestrian</v>
      </c>
      <c r="J1009" t="str">
        <f>[5]trip_summary_region!J1009</f>
        <v>2042/43</v>
      </c>
    </row>
    <row r="1010" spans="1:10" x14ac:dyDescent="0.25">
      <c r="A1010" t="str">
        <f>[5]trip_summary_region!A1010</f>
        <v>15 SOUTHLAND</v>
      </c>
      <c r="B1010">
        <f>[5]trip_summary_region!B1010</f>
        <v>1</v>
      </c>
      <c r="C1010">
        <f>[5]trip_summary_region!C1010</f>
        <v>2013</v>
      </c>
      <c r="D1010">
        <f>[5]trip_summary_region!D1010</f>
        <v>19</v>
      </c>
      <c r="E1010">
        <f>[5]trip_summary_region!E1010</f>
        <v>72</v>
      </c>
      <c r="F1010">
        <f>[5]trip_summary_region!F1010</f>
        <v>1.0312878256</v>
      </c>
      <c r="G1010">
        <f>[5]trip_summary_region!G1010</f>
        <v>7.5402861329000004</v>
      </c>
      <c r="H1010">
        <f>[5]trip_summary_region!H1010</f>
        <v>0.50294231479999996</v>
      </c>
      <c r="I1010" t="str">
        <f>[5]trip_summary_region!I1010</f>
        <v>Cyclist</v>
      </c>
      <c r="J1010" t="str">
        <f>[5]trip_summary_region!J1010</f>
        <v>2012/13</v>
      </c>
    </row>
    <row r="1011" spans="1:10" x14ac:dyDescent="0.25">
      <c r="A1011" t="str">
        <f>[5]trip_summary_region!A1011</f>
        <v>15 SOUTHLAND</v>
      </c>
      <c r="B1011">
        <f>[5]trip_summary_region!B1011</f>
        <v>1</v>
      </c>
      <c r="C1011">
        <f>[5]trip_summary_region!C1011</f>
        <v>2018</v>
      </c>
      <c r="D1011">
        <f>[5]trip_summary_region!D1011</f>
        <v>19</v>
      </c>
      <c r="E1011">
        <f>[5]trip_summary_region!E1011</f>
        <v>72</v>
      </c>
      <c r="F1011">
        <f>[5]trip_summary_region!F1011</f>
        <v>1.0678761439</v>
      </c>
      <c r="G1011">
        <f>[5]trip_summary_region!G1011</f>
        <v>8.2699694715999996</v>
      </c>
      <c r="H1011">
        <f>[5]trip_summary_region!H1011</f>
        <v>0.5430200288</v>
      </c>
      <c r="I1011" t="str">
        <f>[5]trip_summary_region!I1011</f>
        <v>Cyclist</v>
      </c>
      <c r="J1011" t="str">
        <f>[5]trip_summary_region!J1011</f>
        <v>2017/18</v>
      </c>
    </row>
    <row r="1012" spans="1:10" x14ac:dyDescent="0.25">
      <c r="A1012" t="str">
        <f>[5]trip_summary_region!A1012</f>
        <v>15 SOUTHLAND</v>
      </c>
      <c r="B1012">
        <f>[5]trip_summary_region!B1012</f>
        <v>1</v>
      </c>
      <c r="C1012">
        <f>[5]trip_summary_region!C1012</f>
        <v>2023</v>
      </c>
      <c r="D1012">
        <f>[5]trip_summary_region!D1012</f>
        <v>19</v>
      </c>
      <c r="E1012">
        <f>[5]trip_summary_region!E1012</f>
        <v>72</v>
      </c>
      <c r="F1012">
        <f>[5]trip_summary_region!F1012</f>
        <v>1.0571378150999999</v>
      </c>
      <c r="G1012">
        <f>[5]trip_summary_region!G1012</f>
        <v>8.3916132251000004</v>
      </c>
      <c r="H1012">
        <f>[5]trip_summary_region!H1012</f>
        <v>0.54979784269999998</v>
      </c>
      <c r="I1012" t="str">
        <f>[5]trip_summary_region!I1012</f>
        <v>Cyclist</v>
      </c>
      <c r="J1012" t="str">
        <f>[5]trip_summary_region!J1012</f>
        <v>2022/23</v>
      </c>
    </row>
    <row r="1013" spans="1:10" x14ac:dyDescent="0.25">
      <c r="A1013" t="str">
        <f>[5]trip_summary_region!A1013</f>
        <v>15 SOUTHLAND</v>
      </c>
      <c r="B1013">
        <f>[5]trip_summary_region!B1013</f>
        <v>1</v>
      </c>
      <c r="C1013">
        <f>[5]trip_summary_region!C1013</f>
        <v>2028</v>
      </c>
      <c r="D1013">
        <f>[5]trip_summary_region!D1013</f>
        <v>19</v>
      </c>
      <c r="E1013">
        <f>[5]trip_summary_region!E1013</f>
        <v>72</v>
      </c>
      <c r="F1013">
        <f>[5]trip_summary_region!F1013</f>
        <v>1.0495408874000001</v>
      </c>
      <c r="G1013">
        <f>[5]trip_summary_region!G1013</f>
        <v>7.6737036134999999</v>
      </c>
      <c r="H1013">
        <f>[5]trip_summary_region!H1013</f>
        <v>0.518384171</v>
      </c>
      <c r="I1013" t="str">
        <f>[5]trip_summary_region!I1013</f>
        <v>Cyclist</v>
      </c>
      <c r="J1013" t="str">
        <f>[5]trip_summary_region!J1013</f>
        <v>2027/28</v>
      </c>
    </row>
    <row r="1014" spans="1:10" x14ac:dyDescent="0.25">
      <c r="A1014" t="str">
        <f>[5]trip_summary_region!A1014</f>
        <v>15 SOUTHLAND</v>
      </c>
      <c r="B1014">
        <f>[5]trip_summary_region!B1014</f>
        <v>1</v>
      </c>
      <c r="C1014">
        <f>[5]trip_summary_region!C1014</f>
        <v>2033</v>
      </c>
      <c r="D1014">
        <f>[5]trip_summary_region!D1014</f>
        <v>19</v>
      </c>
      <c r="E1014">
        <f>[5]trip_summary_region!E1014</f>
        <v>72</v>
      </c>
      <c r="F1014">
        <f>[5]trip_summary_region!F1014</f>
        <v>1.0461178603000001</v>
      </c>
      <c r="G1014">
        <f>[5]trip_summary_region!G1014</f>
        <v>7.1627488067999998</v>
      </c>
      <c r="H1014">
        <f>[5]trip_summary_region!H1014</f>
        <v>0.49327534140000001</v>
      </c>
      <c r="I1014" t="str">
        <f>[5]trip_summary_region!I1014</f>
        <v>Cyclist</v>
      </c>
      <c r="J1014" t="str">
        <f>[5]trip_summary_region!J1014</f>
        <v>2032/33</v>
      </c>
    </row>
    <row r="1015" spans="1:10" x14ac:dyDescent="0.25">
      <c r="A1015" t="str">
        <f>[5]trip_summary_region!A1015</f>
        <v>15 SOUTHLAND</v>
      </c>
      <c r="B1015">
        <f>[5]trip_summary_region!B1015</f>
        <v>1</v>
      </c>
      <c r="C1015">
        <f>[5]trip_summary_region!C1015</f>
        <v>2038</v>
      </c>
      <c r="D1015">
        <f>[5]trip_summary_region!D1015</f>
        <v>19</v>
      </c>
      <c r="E1015">
        <f>[5]trip_summary_region!E1015</f>
        <v>72</v>
      </c>
      <c r="F1015">
        <f>[5]trip_summary_region!F1015</f>
        <v>0.99486649149999995</v>
      </c>
      <c r="G1015">
        <f>[5]trip_summary_region!G1015</f>
        <v>6.7447243009999998</v>
      </c>
      <c r="H1015">
        <f>[5]trip_summary_region!H1015</f>
        <v>0.46472311199999999</v>
      </c>
      <c r="I1015" t="str">
        <f>[5]trip_summary_region!I1015</f>
        <v>Cyclist</v>
      </c>
      <c r="J1015" t="str">
        <f>[5]trip_summary_region!J1015</f>
        <v>2037/38</v>
      </c>
    </row>
    <row r="1016" spans="1:10" x14ac:dyDescent="0.25">
      <c r="A1016" t="str">
        <f>[5]trip_summary_region!A1016</f>
        <v>15 SOUTHLAND</v>
      </c>
      <c r="B1016">
        <f>[5]trip_summary_region!B1016</f>
        <v>1</v>
      </c>
      <c r="C1016">
        <f>[5]trip_summary_region!C1016</f>
        <v>2043</v>
      </c>
      <c r="D1016">
        <f>[5]trip_summary_region!D1016</f>
        <v>19</v>
      </c>
      <c r="E1016">
        <f>[5]trip_summary_region!E1016</f>
        <v>72</v>
      </c>
      <c r="F1016">
        <f>[5]trip_summary_region!F1016</f>
        <v>0.9388032207</v>
      </c>
      <c r="G1016">
        <f>[5]trip_summary_region!G1016</f>
        <v>6.3184077732999997</v>
      </c>
      <c r="H1016">
        <f>[5]trip_summary_region!H1016</f>
        <v>0.4355834569</v>
      </c>
      <c r="I1016" t="str">
        <f>[5]trip_summary_region!I1016</f>
        <v>Cyclist</v>
      </c>
      <c r="J1016" t="str">
        <f>[5]trip_summary_region!J1016</f>
        <v>2042/43</v>
      </c>
    </row>
    <row r="1017" spans="1:10" x14ac:dyDescent="0.25">
      <c r="A1017" t="str">
        <f>[5]trip_summary_region!A1017</f>
        <v>15 SOUTHLAND</v>
      </c>
      <c r="B1017">
        <f>[5]trip_summary_region!B1017</f>
        <v>2</v>
      </c>
      <c r="C1017">
        <f>[5]trip_summary_region!C1017</f>
        <v>2013</v>
      </c>
      <c r="D1017">
        <f>[5]trip_summary_region!D1017</f>
        <v>442</v>
      </c>
      <c r="E1017">
        <f>[5]trip_summary_region!E1017</f>
        <v>3080</v>
      </c>
      <c r="F1017">
        <f>[5]trip_summary_region!F1017</f>
        <v>66.981547285000005</v>
      </c>
      <c r="G1017">
        <f>[5]trip_summary_region!G1017</f>
        <v>657.74873722999996</v>
      </c>
      <c r="H1017">
        <f>[5]trip_summary_region!H1017</f>
        <v>14.603785903</v>
      </c>
      <c r="I1017" t="str">
        <f>[5]trip_summary_region!I1017</f>
        <v>Light Vehicle Driver</v>
      </c>
      <c r="J1017" t="str">
        <f>[5]trip_summary_region!J1017</f>
        <v>2012/13</v>
      </c>
    </row>
    <row r="1018" spans="1:10" x14ac:dyDescent="0.25">
      <c r="A1018" t="str">
        <f>[5]trip_summary_region!A1018</f>
        <v>15 SOUTHLAND</v>
      </c>
      <c r="B1018">
        <f>[5]trip_summary_region!B1018</f>
        <v>2</v>
      </c>
      <c r="C1018">
        <f>[5]trip_summary_region!C1018</f>
        <v>2018</v>
      </c>
      <c r="D1018">
        <f>[5]trip_summary_region!D1018</f>
        <v>442</v>
      </c>
      <c r="E1018">
        <f>[5]trip_summary_region!E1018</f>
        <v>3080</v>
      </c>
      <c r="F1018">
        <f>[5]trip_summary_region!F1018</f>
        <v>70.112909492</v>
      </c>
      <c r="G1018">
        <f>[5]trip_summary_region!G1018</f>
        <v>708.43675368000004</v>
      </c>
      <c r="H1018">
        <f>[5]trip_summary_region!H1018</f>
        <v>15.594350167</v>
      </c>
      <c r="I1018" t="str">
        <f>[5]trip_summary_region!I1018</f>
        <v>Light Vehicle Driver</v>
      </c>
      <c r="J1018" t="str">
        <f>[5]trip_summary_region!J1018</f>
        <v>2017/18</v>
      </c>
    </row>
    <row r="1019" spans="1:10" x14ac:dyDescent="0.25">
      <c r="A1019" t="str">
        <f>[5]trip_summary_region!A1019</f>
        <v>15 SOUTHLAND</v>
      </c>
      <c r="B1019">
        <f>[5]trip_summary_region!B1019</f>
        <v>2</v>
      </c>
      <c r="C1019">
        <f>[5]trip_summary_region!C1019</f>
        <v>2023</v>
      </c>
      <c r="D1019">
        <f>[5]trip_summary_region!D1019</f>
        <v>442</v>
      </c>
      <c r="E1019">
        <f>[5]trip_summary_region!E1019</f>
        <v>3080</v>
      </c>
      <c r="F1019">
        <f>[5]trip_summary_region!F1019</f>
        <v>70.759873339999999</v>
      </c>
      <c r="G1019">
        <f>[5]trip_summary_region!G1019</f>
        <v>733.46734273000004</v>
      </c>
      <c r="H1019">
        <f>[5]trip_summary_region!H1019</f>
        <v>16.008576709</v>
      </c>
      <c r="I1019" t="str">
        <f>[5]trip_summary_region!I1019</f>
        <v>Light Vehicle Driver</v>
      </c>
      <c r="J1019" t="str">
        <f>[5]trip_summary_region!J1019</f>
        <v>2022/23</v>
      </c>
    </row>
    <row r="1020" spans="1:10" x14ac:dyDescent="0.25">
      <c r="A1020" t="str">
        <f>[5]trip_summary_region!A1020</f>
        <v>15 SOUTHLAND</v>
      </c>
      <c r="B1020">
        <f>[5]trip_summary_region!B1020</f>
        <v>2</v>
      </c>
      <c r="C1020">
        <f>[5]trip_summary_region!C1020</f>
        <v>2028</v>
      </c>
      <c r="D1020">
        <f>[5]trip_summary_region!D1020</f>
        <v>442</v>
      </c>
      <c r="E1020">
        <f>[5]trip_summary_region!E1020</f>
        <v>3080</v>
      </c>
      <c r="F1020">
        <f>[5]trip_summary_region!F1020</f>
        <v>70.966477205000004</v>
      </c>
      <c r="G1020">
        <f>[5]trip_summary_region!G1020</f>
        <v>746.11241403999998</v>
      </c>
      <c r="H1020">
        <f>[5]trip_summary_region!H1020</f>
        <v>16.183636717999999</v>
      </c>
      <c r="I1020" t="str">
        <f>[5]trip_summary_region!I1020</f>
        <v>Light Vehicle Driver</v>
      </c>
      <c r="J1020" t="str">
        <f>[5]trip_summary_region!J1020</f>
        <v>2027/28</v>
      </c>
    </row>
    <row r="1021" spans="1:10" x14ac:dyDescent="0.25">
      <c r="A1021" t="str">
        <f>[5]trip_summary_region!A1021</f>
        <v>15 SOUTHLAND</v>
      </c>
      <c r="B1021">
        <f>[5]trip_summary_region!B1021</f>
        <v>2</v>
      </c>
      <c r="C1021">
        <f>[5]trip_summary_region!C1021</f>
        <v>2033</v>
      </c>
      <c r="D1021">
        <f>[5]trip_summary_region!D1021</f>
        <v>442</v>
      </c>
      <c r="E1021">
        <f>[5]trip_summary_region!E1021</f>
        <v>3080</v>
      </c>
      <c r="F1021">
        <f>[5]trip_summary_region!F1021</f>
        <v>71.481983447000005</v>
      </c>
      <c r="G1021">
        <f>[5]trip_summary_region!G1021</f>
        <v>757.43098916999998</v>
      </c>
      <c r="H1021">
        <f>[5]trip_summary_region!H1021</f>
        <v>16.368136016000001</v>
      </c>
      <c r="I1021" t="str">
        <f>[5]trip_summary_region!I1021</f>
        <v>Light Vehicle Driver</v>
      </c>
      <c r="J1021" t="str">
        <f>[5]trip_summary_region!J1021</f>
        <v>2032/33</v>
      </c>
    </row>
    <row r="1022" spans="1:10" x14ac:dyDescent="0.25">
      <c r="A1022" t="str">
        <f>[5]trip_summary_region!A1022</f>
        <v>15 SOUTHLAND</v>
      </c>
      <c r="B1022">
        <f>[5]trip_summary_region!B1022</f>
        <v>2</v>
      </c>
      <c r="C1022">
        <f>[5]trip_summary_region!C1022</f>
        <v>2038</v>
      </c>
      <c r="D1022">
        <f>[5]trip_summary_region!D1022</f>
        <v>442</v>
      </c>
      <c r="E1022">
        <f>[5]trip_summary_region!E1022</f>
        <v>3080</v>
      </c>
      <c r="F1022">
        <f>[5]trip_summary_region!F1022</f>
        <v>71.423208333999995</v>
      </c>
      <c r="G1022">
        <f>[5]trip_summary_region!G1022</f>
        <v>760.68044485999997</v>
      </c>
      <c r="H1022">
        <f>[5]trip_summary_region!H1022</f>
        <v>16.411560755</v>
      </c>
      <c r="I1022" t="str">
        <f>[5]trip_summary_region!I1022</f>
        <v>Light Vehicle Driver</v>
      </c>
      <c r="J1022" t="str">
        <f>[5]trip_summary_region!J1022</f>
        <v>2037/38</v>
      </c>
    </row>
    <row r="1023" spans="1:10" x14ac:dyDescent="0.25">
      <c r="A1023" t="str">
        <f>[5]trip_summary_region!A1023</f>
        <v>15 SOUTHLAND</v>
      </c>
      <c r="B1023">
        <f>[5]trip_summary_region!B1023</f>
        <v>2</v>
      </c>
      <c r="C1023">
        <f>[5]trip_summary_region!C1023</f>
        <v>2043</v>
      </c>
      <c r="D1023">
        <f>[5]trip_summary_region!D1023</f>
        <v>442</v>
      </c>
      <c r="E1023">
        <f>[5]trip_summary_region!E1023</f>
        <v>3080</v>
      </c>
      <c r="F1023">
        <f>[5]trip_summary_region!F1023</f>
        <v>71.149409809000005</v>
      </c>
      <c r="G1023">
        <f>[5]trip_summary_region!G1023</f>
        <v>762.19137111999999</v>
      </c>
      <c r="H1023">
        <f>[5]trip_summary_region!H1023</f>
        <v>16.40376221</v>
      </c>
      <c r="I1023" t="str">
        <f>[5]trip_summary_region!I1023</f>
        <v>Light Vehicle Driver</v>
      </c>
      <c r="J1023" t="str">
        <f>[5]trip_summary_region!J1023</f>
        <v>2042/43</v>
      </c>
    </row>
    <row r="1024" spans="1:10" x14ac:dyDescent="0.25">
      <c r="A1024" t="str">
        <f>[5]trip_summary_region!A1024</f>
        <v>15 SOUTHLAND</v>
      </c>
      <c r="B1024">
        <f>[5]trip_summary_region!B1024</f>
        <v>3</v>
      </c>
      <c r="C1024">
        <f>[5]trip_summary_region!C1024</f>
        <v>2013</v>
      </c>
      <c r="D1024">
        <f>[5]trip_summary_region!D1024</f>
        <v>289</v>
      </c>
      <c r="E1024">
        <f>[5]trip_summary_region!E1024</f>
        <v>1411</v>
      </c>
      <c r="F1024">
        <f>[5]trip_summary_region!F1024</f>
        <v>28.419434702</v>
      </c>
      <c r="G1024">
        <f>[5]trip_summary_region!G1024</f>
        <v>380.70733008000002</v>
      </c>
      <c r="H1024">
        <f>[5]trip_summary_region!H1024</f>
        <v>7.5859087797999996</v>
      </c>
      <c r="I1024" t="str">
        <f>[5]trip_summary_region!I1024</f>
        <v>Light Vehicle Passenger</v>
      </c>
      <c r="J1024" t="str">
        <f>[5]trip_summary_region!J1024</f>
        <v>2012/13</v>
      </c>
    </row>
    <row r="1025" spans="1:10" x14ac:dyDescent="0.25">
      <c r="A1025" t="str">
        <f>[5]trip_summary_region!A1025</f>
        <v>15 SOUTHLAND</v>
      </c>
      <c r="B1025">
        <f>[5]trip_summary_region!B1025</f>
        <v>3</v>
      </c>
      <c r="C1025">
        <f>[5]trip_summary_region!C1025</f>
        <v>2018</v>
      </c>
      <c r="D1025">
        <f>[5]trip_summary_region!D1025</f>
        <v>289</v>
      </c>
      <c r="E1025">
        <f>[5]trip_summary_region!E1025</f>
        <v>1411</v>
      </c>
      <c r="F1025">
        <f>[5]trip_summary_region!F1025</f>
        <v>27.396659457999998</v>
      </c>
      <c r="G1025">
        <f>[5]trip_summary_region!G1025</f>
        <v>391.52845958</v>
      </c>
      <c r="H1025">
        <f>[5]trip_summary_region!H1025</f>
        <v>7.6456324514</v>
      </c>
      <c r="I1025" t="str">
        <f>[5]trip_summary_region!I1025</f>
        <v>Light Vehicle Passenger</v>
      </c>
      <c r="J1025" t="str">
        <f>[5]trip_summary_region!J1025</f>
        <v>2017/18</v>
      </c>
    </row>
    <row r="1026" spans="1:10" x14ac:dyDescent="0.25">
      <c r="A1026" t="str">
        <f>[5]trip_summary_region!A1026</f>
        <v>15 SOUTHLAND</v>
      </c>
      <c r="B1026">
        <f>[5]trip_summary_region!B1026</f>
        <v>3</v>
      </c>
      <c r="C1026">
        <f>[5]trip_summary_region!C1026</f>
        <v>2023</v>
      </c>
      <c r="D1026">
        <f>[5]trip_summary_region!D1026</f>
        <v>289</v>
      </c>
      <c r="E1026">
        <f>[5]trip_summary_region!E1026</f>
        <v>1411</v>
      </c>
      <c r="F1026">
        <f>[5]trip_summary_region!F1026</f>
        <v>26.305720794999999</v>
      </c>
      <c r="G1026">
        <f>[5]trip_summary_region!G1026</f>
        <v>397.62404812</v>
      </c>
      <c r="H1026">
        <f>[5]trip_summary_region!H1026</f>
        <v>7.6504562911000003</v>
      </c>
      <c r="I1026" t="str">
        <f>[5]trip_summary_region!I1026</f>
        <v>Light Vehicle Passenger</v>
      </c>
      <c r="J1026" t="str">
        <f>[5]trip_summary_region!J1026</f>
        <v>2022/23</v>
      </c>
    </row>
    <row r="1027" spans="1:10" x14ac:dyDescent="0.25">
      <c r="A1027" t="str">
        <f>[5]trip_summary_region!A1027</f>
        <v>15 SOUTHLAND</v>
      </c>
      <c r="B1027">
        <f>[5]trip_summary_region!B1027</f>
        <v>3</v>
      </c>
      <c r="C1027">
        <f>[5]trip_summary_region!C1027</f>
        <v>2028</v>
      </c>
      <c r="D1027">
        <f>[5]trip_summary_region!D1027</f>
        <v>289</v>
      </c>
      <c r="E1027">
        <f>[5]trip_summary_region!E1027</f>
        <v>1411</v>
      </c>
      <c r="F1027">
        <f>[5]trip_summary_region!F1027</f>
        <v>25.438521776999998</v>
      </c>
      <c r="G1027">
        <f>[5]trip_summary_region!G1027</f>
        <v>397.90019488000002</v>
      </c>
      <c r="H1027">
        <f>[5]trip_summary_region!H1027</f>
        <v>7.5992882773000003</v>
      </c>
      <c r="I1027" t="str">
        <f>[5]trip_summary_region!I1027</f>
        <v>Light Vehicle Passenger</v>
      </c>
      <c r="J1027" t="str">
        <f>[5]trip_summary_region!J1027</f>
        <v>2027/28</v>
      </c>
    </row>
    <row r="1028" spans="1:10" x14ac:dyDescent="0.25">
      <c r="A1028" t="str">
        <f>[5]trip_summary_region!A1028</f>
        <v>15 SOUTHLAND</v>
      </c>
      <c r="B1028">
        <f>[5]trip_summary_region!B1028</f>
        <v>3</v>
      </c>
      <c r="C1028">
        <f>[5]trip_summary_region!C1028</f>
        <v>2033</v>
      </c>
      <c r="D1028">
        <f>[5]trip_summary_region!D1028</f>
        <v>289</v>
      </c>
      <c r="E1028">
        <f>[5]trip_summary_region!E1028</f>
        <v>1411</v>
      </c>
      <c r="F1028">
        <f>[5]trip_summary_region!F1028</f>
        <v>24.483691946</v>
      </c>
      <c r="G1028">
        <f>[5]trip_summary_region!G1028</f>
        <v>392.46624863</v>
      </c>
      <c r="H1028">
        <f>[5]trip_summary_region!H1028</f>
        <v>7.4602710687</v>
      </c>
      <c r="I1028" t="str">
        <f>[5]trip_summary_region!I1028</f>
        <v>Light Vehicle Passenger</v>
      </c>
      <c r="J1028" t="str">
        <f>[5]trip_summary_region!J1028</f>
        <v>2032/33</v>
      </c>
    </row>
    <row r="1029" spans="1:10" x14ac:dyDescent="0.25">
      <c r="A1029" t="str">
        <f>[5]trip_summary_region!A1029</f>
        <v>15 SOUTHLAND</v>
      </c>
      <c r="B1029">
        <f>[5]trip_summary_region!B1029</f>
        <v>3</v>
      </c>
      <c r="C1029">
        <f>[5]trip_summary_region!C1029</f>
        <v>2038</v>
      </c>
      <c r="D1029">
        <f>[5]trip_summary_region!D1029</f>
        <v>289</v>
      </c>
      <c r="E1029">
        <f>[5]trip_summary_region!E1029</f>
        <v>1411</v>
      </c>
      <c r="F1029">
        <f>[5]trip_summary_region!F1029</f>
        <v>23.394720917000001</v>
      </c>
      <c r="G1029">
        <f>[5]trip_summary_region!G1029</f>
        <v>382.03214718999999</v>
      </c>
      <c r="H1029">
        <f>[5]trip_summary_region!H1029</f>
        <v>7.2299544631000003</v>
      </c>
      <c r="I1029" t="str">
        <f>[5]trip_summary_region!I1029</f>
        <v>Light Vehicle Passenger</v>
      </c>
      <c r="J1029" t="str">
        <f>[5]trip_summary_region!J1029</f>
        <v>2037/38</v>
      </c>
    </row>
    <row r="1030" spans="1:10" x14ac:dyDescent="0.25">
      <c r="A1030" t="str">
        <f>[5]trip_summary_region!A1030</f>
        <v>15 SOUTHLAND</v>
      </c>
      <c r="B1030">
        <f>[5]trip_summary_region!B1030</f>
        <v>3</v>
      </c>
      <c r="C1030">
        <f>[5]trip_summary_region!C1030</f>
        <v>2043</v>
      </c>
      <c r="D1030">
        <f>[5]trip_summary_region!D1030</f>
        <v>289</v>
      </c>
      <c r="E1030">
        <f>[5]trip_summary_region!E1030</f>
        <v>1411</v>
      </c>
      <c r="F1030">
        <f>[5]trip_summary_region!F1030</f>
        <v>22.192092045999999</v>
      </c>
      <c r="G1030">
        <f>[5]trip_summary_region!G1030</f>
        <v>369.00148321</v>
      </c>
      <c r="H1030">
        <f>[5]trip_summary_region!H1030</f>
        <v>6.9496726449999997</v>
      </c>
      <c r="I1030" t="str">
        <f>[5]trip_summary_region!I1030</f>
        <v>Light Vehicle Passenger</v>
      </c>
      <c r="J1030" t="str">
        <f>[5]trip_summary_region!J1030</f>
        <v>2042/43</v>
      </c>
    </row>
    <row r="1031" spans="1:10" x14ac:dyDescent="0.25">
      <c r="A1031" t="str">
        <f>[5]trip_summary_region!A1031</f>
        <v>15 SOUTHLAND</v>
      </c>
      <c r="B1031">
        <f>[5]trip_summary_region!B1031</f>
        <v>4</v>
      </c>
      <c r="C1031">
        <f>[5]trip_summary_region!C1031</f>
        <v>2013</v>
      </c>
      <c r="D1031">
        <f>[5]trip_summary_region!D1031</f>
        <v>4</v>
      </c>
      <c r="E1031">
        <f>[5]trip_summary_region!E1031</f>
        <v>15</v>
      </c>
      <c r="F1031">
        <f>[5]trip_summary_region!F1031</f>
        <v>0.47613164409999997</v>
      </c>
      <c r="G1031">
        <f>[5]trip_summary_region!G1031</f>
        <v>1.2430116738999999</v>
      </c>
      <c r="H1031">
        <f>[5]trip_summary_region!H1031</f>
        <v>6.6688903300000005E-2</v>
      </c>
      <c r="I1031" t="s">
        <v>116</v>
      </c>
      <c r="J1031" t="str">
        <f>[5]trip_summary_region!J1031</f>
        <v>2012/13</v>
      </c>
    </row>
    <row r="1032" spans="1:10" x14ac:dyDescent="0.25">
      <c r="A1032" t="str">
        <f>[5]trip_summary_region!A1032</f>
        <v>15 SOUTHLAND</v>
      </c>
      <c r="B1032">
        <f>[5]trip_summary_region!B1032</f>
        <v>4</v>
      </c>
      <c r="C1032">
        <f>[5]trip_summary_region!C1032</f>
        <v>2018</v>
      </c>
      <c r="D1032">
        <f>[5]trip_summary_region!D1032</f>
        <v>4</v>
      </c>
      <c r="E1032">
        <f>[5]trip_summary_region!E1032</f>
        <v>15</v>
      </c>
      <c r="F1032">
        <f>[5]trip_summary_region!F1032</f>
        <v>0.51371038000000002</v>
      </c>
      <c r="G1032">
        <f>[5]trip_summary_region!G1032</f>
        <v>1.4451284210999999</v>
      </c>
      <c r="H1032">
        <f>[5]trip_summary_region!H1032</f>
        <v>7.5924466400000001E-2</v>
      </c>
      <c r="I1032" t="s">
        <v>116</v>
      </c>
      <c r="J1032" t="str">
        <f>[5]trip_summary_region!J1032</f>
        <v>2017/18</v>
      </c>
    </row>
    <row r="1033" spans="1:10" x14ac:dyDescent="0.25">
      <c r="A1033" t="str">
        <f>[5]trip_summary_region!A1033</f>
        <v>15 SOUTHLAND</v>
      </c>
      <c r="B1033">
        <f>[5]trip_summary_region!B1033</f>
        <v>4</v>
      </c>
      <c r="C1033">
        <f>[5]trip_summary_region!C1033</f>
        <v>2023</v>
      </c>
      <c r="D1033">
        <f>[5]trip_summary_region!D1033</f>
        <v>4</v>
      </c>
      <c r="E1033">
        <f>[5]trip_summary_region!E1033</f>
        <v>15</v>
      </c>
      <c r="F1033">
        <f>[5]trip_summary_region!F1033</f>
        <v>0.53979895960000002</v>
      </c>
      <c r="G1033">
        <f>[5]trip_summary_region!G1033</f>
        <v>1.5841420984000001</v>
      </c>
      <c r="H1033">
        <f>[5]trip_summary_region!H1033</f>
        <v>8.2236102899999997E-2</v>
      </c>
      <c r="I1033" t="s">
        <v>116</v>
      </c>
      <c r="J1033" t="str">
        <f>[5]trip_summary_region!J1033</f>
        <v>2022/23</v>
      </c>
    </row>
    <row r="1034" spans="1:10" x14ac:dyDescent="0.25">
      <c r="A1034" t="str">
        <f>[5]trip_summary_region!A1034</f>
        <v>15 SOUTHLAND</v>
      </c>
      <c r="B1034">
        <f>[5]trip_summary_region!B1034</f>
        <v>4</v>
      </c>
      <c r="C1034">
        <f>[5]trip_summary_region!C1034</f>
        <v>2028</v>
      </c>
      <c r="D1034">
        <f>[5]trip_summary_region!D1034</f>
        <v>4</v>
      </c>
      <c r="E1034">
        <f>[5]trip_summary_region!E1034</f>
        <v>15</v>
      </c>
      <c r="F1034">
        <f>[5]trip_summary_region!F1034</f>
        <v>0.56861664270000001</v>
      </c>
      <c r="G1034">
        <f>[5]trip_summary_region!G1034</f>
        <v>1.676464041</v>
      </c>
      <c r="H1034">
        <f>[5]trip_summary_region!H1034</f>
        <v>8.6748699100000007E-2</v>
      </c>
      <c r="I1034" t="s">
        <v>116</v>
      </c>
      <c r="J1034" t="str">
        <f>[5]trip_summary_region!J1034</f>
        <v>2027/28</v>
      </c>
    </row>
    <row r="1035" spans="1:10" x14ac:dyDescent="0.25">
      <c r="A1035" t="str">
        <f>[5]trip_summary_region!A1035</f>
        <v>15 SOUTHLAND</v>
      </c>
      <c r="B1035">
        <f>[5]trip_summary_region!B1035</f>
        <v>4</v>
      </c>
      <c r="C1035">
        <f>[5]trip_summary_region!C1035</f>
        <v>2033</v>
      </c>
      <c r="D1035">
        <f>[5]trip_summary_region!D1035</f>
        <v>4</v>
      </c>
      <c r="E1035">
        <f>[5]trip_summary_region!E1035</f>
        <v>15</v>
      </c>
      <c r="F1035">
        <f>[5]trip_summary_region!F1035</f>
        <v>0.59786038919999995</v>
      </c>
      <c r="G1035">
        <f>[5]trip_summary_region!G1035</f>
        <v>1.7422705538000001</v>
      </c>
      <c r="H1035">
        <f>[5]trip_summary_region!H1035</f>
        <v>9.02596757E-2</v>
      </c>
      <c r="I1035" t="s">
        <v>116</v>
      </c>
      <c r="J1035" t="str">
        <f>[5]trip_summary_region!J1035</f>
        <v>2032/33</v>
      </c>
    </row>
    <row r="1036" spans="1:10" x14ac:dyDescent="0.25">
      <c r="A1036" t="str">
        <f>[5]trip_summary_region!A1036</f>
        <v>15 SOUTHLAND</v>
      </c>
      <c r="B1036">
        <f>[5]trip_summary_region!B1036</f>
        <v>4</v>
      </c>
      <c r="C1036">
        <f>[5]trip_summary_region!C1036</f>
        <v>2038</v>
      </c>
      <c r="D1036">
        <f>[5]trip_summary_region!D1036</f>
        <v>4</v>
      </c>
      <c r="E1036">
        <f>[5]trip_summary_region!E1036</f>
        <v>15</v>
      </c>
      <c r="F1036">
        <f>[5]trip_summary_region!F1036</f>
        <v>0.61516664320000003</v>
      </c>
      <c r="G1036">
        <f>[5]trip_summary_region!G1036</f>
        <v>1.7691115628</v>
      </c>
      <c r="H1036">
        <f>[5]trip_summary_region!H1036</f>
        <v>9.1836675800000003E-2</v>
      </c>
      <c r="I1036" t="s">
        <v>116</v>
      </c>
      <c r="J1036" t="str">
        <f>[5]trip_summary_region!J1036</f>
        <v>2037/38</v>
      </c>
    </row>
    <row r="1037" spans="1:10" x14ac:dyDescent="0.25">
      <c r="A1037" t="str">
        <f>[5]trip_summary_region!A1037</f>
        <v>15 SOUTHLAND</v>
      </c>
      <c r="B1037">
        <f>[5]trip_summary_region!B1037</f>
        <v>4</v>
      </c>
      <c r="C1037">
        <f>[5]trip_summary_region!C1037</f>
        <v>2043</v>
      </c>
      <c r="D1037">
        <f>[5]trip_summary_region!D1037</f>
        <v>4</v>
      </c>
      <c r="E1037">
        <f>[5]trip_summary_region!E1037</f>
        <v>15</v>
      </c>
      <c r="F1037">
        <f>[5]trip_summary_region!F1037</f>
        <v>0.6312855799</v>
      </c>
      <c r="G1037">
        <f>[5]trip_summary_region!G1037</f>
        <v>1.7905152488</v>
      </c>
      <c r="H1037">
        <f>[5]trip_summary_region!H1037</f>
        <v>9.3162798899999996E-2</v>
      </c>
      <c r="I1037" t="s">
        <v>116</v>
      </c>
      <c r="J1037" t="str">
        <f>[5]trip_summary_region!J1037</f>
        <v>2042/43</v>
      </c>
    </row>
    <row r="1038" spans="1:10" x14ac:dyDescent="0.25">
      <c r="A1038" t="str">
        <f>[5]trip_summary_region!A1038</f>
        <v>15 SOUTHLAND</v>
      </c>
      <c r="B1038">
        <f>[5]trip_summary_region!B1038</f>
        <v>5</v>
      </c>
      <c r="C1038">
        <f>[5]trip_summary_region!C1038</f>
        <v>2013</v>
      </c>
      <c r="D1038">
        <f>[5]trip_summary_region!D1038</f>
        <v>8</v>
      </c>
      <c r="E1038">
        <f>[5]trip_summary_region!E1038</f>
        <v>32</v>
      </c>
      <c r="F1038">
        <f>[5]trip_summary_region!F1038</f>
        <v>0.62652592730000001</v>
      </c>
      <c r="G1038">
        <f>[5]trip_summary_region!G1038</f>
        <v>18.926640866</v>
      </c>
      <c r="H1038">
        <f>[5]trip_summary_region!H1038</f>
        <v>0.2609239458</v>
      </c>
      <c r="I1038" t="str">
        <f>[5]trip_summary_region!I1038</f>
        <v>Motorcyclist</v>
      </c>
      <c r="J1038" t="str">
        <f>[5]trip_summary_region!J1038</f>
        <v>2012/13</v>
      </c>
    </row>
    <row r="1039" spans="1:10" x14ac:dyDescent="0.25">
      <c r="A1039" t="str">
        <f>[5]trip_summary_region!A1039</f>
        <v>15 SOUTHLAND</v>
      </c>
      <c r="B1039">
        <f>[5]trip_summary_region!B1039</f>
        <v>5</v>
      </c>
      <c r="C1039">
        <f>[5]trip_summary_region!C1039</f>
        <v>2018</v>
      </c>
      <c r="D1039">
        <f>[5]trip_summary_region!D1039</f>
        <v>8</v>
      </c>
      <c r="E1039">
        <f>[5]trip_summary_region!E1039</f>
        <v>32</v>
      </c>
      <c r="F1039">
        <f>[5]trip_summary_region!F1039</f>
        <v>0.71660772880000001</v>
      </c>
      <c r="G1039">
        <f>[5]trip_summary_region!G1039</f>
        <v>24.485188045000001</v>
      </c>
      <c r="H1039">
        <f>[5]trip_summary_region!H1039</f>
        <v>0.32962729860000001</v>
      </c>
      <c r="I1039" t="str">
        <f>[5]trip_summary_region!I1039</f>
        <v>Motorcyclist</v>
      </c>
      <c r="J1039" t="str">
        <f>[5]trip_summary_region!J1039</f>
        <v>2017/18</v>
      </c>
    </row>
    <row r="1040" spans="1:10" x14ac:dyDescent="0.25">
      <c r="A1040" t="str">
        <f>[5]trip_summary_region!A1040</f>
        <v>15 SOUTHLAND</v>
      </c>
      <c r="B1040">
        <f>[5]trip_summary_region!B1040</f>
        <v>5</v>
      </c>
      <c r="C1040">
        <f>[5]trip_summary_region!C1040</f>
        <v>2023</v>
      </c>
      <c r="D1040">
        <f>[5]trip_summary_region!D1040</f>
        <v>8</v>
      </c>
      <c r="E1040">
        <f>[5]trip_summary_region!E1040</f>
        <v>32</v>
      </c>
      <c r="F1040">
        <f>[5]trip_summary_region!F1040</f>
        <v>0.77492171639999996</v>
      </c>
      <c r="G1040">
        <f>[5]trip_summary_region!G1040</f>
        <v>28.452920895999998</v>
      </c>
      <c r="H1040">
        <f>[5]trip_summary_region!H1040</f>
        <v>0.37833424249999997</v>
      </c>
      <c r="I1040" t="str">
        <f>[5]trip_summary_region!I1040</f>
        <v>Motorcyclist</v>
      </c>
      <c r="J1040" t="str">
        <f>[5]trip_summary_region!J1040</f>
        <v>2022/23</v>
      </c>
    </row>
    <row r="1041" spans="1:10" x14ac:dyDescent="0.25">
      <c r="A1041" t="str">
        <f>[5]trip_summary_region!A1041</f>
        <v>15 SOUTHLAND</v>
      </c>
      <c r="B1041">
        <f>[5]trip_summary_region!B1041</f>
        <v>5</v>
      </c>
      <c r="C1041">
        <f>[5]trip_summary_region!C1041</f>
        <v>2028</v>
      </c>
      <c r="D1041">
        <f>[5]trip_summary_region!D1041</f>
        <v>8</v>
      </c>
      <c r="E1041">
        <f>[5]trip_summary_region!E1041</f>
        <v>32</v>
      </c>
      <c r="F1041">
        <f>[5]trip_summary_region!F1041</f>
        <v>0.80018142670000003</v>
      </c>
      <c r="G1041">
        <f>[5]trip_summary_region!G1041</f>
        <v>30.162706071999999</v>
      </c>
      <c r="H1041">
        <f>[5]trip_summary_region!H1041</f>
        <v>0.39919420680000001</v>
      </c>
      <c r="I1041" t="str">
        <f>[5]trip_summary_region!I1041</f>
        <v>Motorcyclist</v>
      </c>
      <c r="J1041" t="str">
        <f>[5]trip_summary_region!J1041</f>
        <v>2027/28</v>
      </c>
    </row>
    <row r="1042" spans="1:10" x14ac:dyDescent="0.25">
      <c r="A1042" t="str">
        <f>[5]trip_summary_region!A1042</f>
        <v>15 SOUTHLAND</v>
      </c>
      <c r="B1042">
        <f>[5]trip_summary_region!B1042</f>
        <v>5</v>
      </c>
      <c r="C1042">
        <f>[5]trip_summary_region!C1042</f>
        <v>2033</v>
      </c>
      <c r="D1042">
        <f>[5]trip_summary_region!D1042</f>
        <v>8</v>
      </c>
      <c r="E1042">
        <f>[5]trip_summary_region!E1042</f>
        <v>32</v>
      </c>
      <c r="F1042">
        <f>[5]trip_summary_region!F1042</f>
        <v>0.79735258929999997</v>
      </c>
      <c r="G1042">
        <f>[5]trip_summary_region!G1042</f>
        <v>30.638000284</v>
      </c>
      <c r="H1042">
        <f>[5]trip_summary_region!H1042</f>
        <v>0.40415125349999997</v>
      </c>
      <c r="I1042" t="str">
        <f>[5]trip_summary_region!I1042</f>
        <v>Motorcyclist</v>
      </c>
      <c r="J1042" t="str">
        <f>[5]trip_summary_region!J1042</f>
        <v>2032/33</v>
      </c>
    </row>
    <row r="1043" spans="1:10" x14ac:dyDescent="0.25">
      <c r="A1043" t="str">
        <f>[5]trip_summary_region!A1043</f>
        <v>15 SOUTHLAND</v>
      </c>
      <c r="B1043">
        <f>[5]trip_summary_region!B1043</f>
        <v>5</v>
      </c>
      <c r="C1043">
        <f>[5]trip_summary_region!C1043</f>
        <v>2038</v>
      </c>
      <c r="D1043">
        <f>[5]trip_summary_region!D1043</f>
        <v>8</v>
      </c>
      <c r="E1043">
        <f>[5]trip_summary_region!E1043</f>
        <v>32</v>
      </c>
      <c r="F1043">
        <f>[5]trip_summary_region!F1043</f>
        <v>0.77753435680000005</v>
      </c>
      <c r="G1043">
        <f>[5]trip_summary_region!G1043</f>
        <v>30.272327342000001</v>
      </c>
      <c r="H1043">
        <f>[5]trip_summary_region!H1043</f>
        <v>0.39858936490000002</v>
      </c>
      <c r="I1043" t="str">
        <f>[5]trip_summary_region!I1043</f>
        <v>Motorcyclist</v>
      </c>
      <c r="J1043" t="str">
        <f>[5]trip_summary_region!J1043</f>
        <v>2037/38</v>
      </c>
    </row>
    <row r="1044" spans="1:10" x14ac:dyDescent="0.25">
      <c r="A1044" t="str">
        <f>[5]trip_summary_region!A1044</f>
        <v>15 SOUTHLAND</v>
      </c>
      <c r="B1044">
        <f>[5]trip_summary_region!B1044</f>
        <v>5</v>
      </c>
      <c r="C1044">
        <f>[5]trip_summary_region!C1044</f>
        <v>2043</v>
      </c>
      <c r="D1044">
        <f>[5]trip_summary_region!D1044</f>
        <v>8</v>
      </c>
      <c r="E1044">
        <f>[5]trip_summary_region!E1044</f>
        <v>32</v>
      </c>
      <c r="F1044">
        <f>[5]trip_summary_region!F1044</f>
        <v>0.75092029660000004</v>
      </c>
      <c r="G1044">
        <f>[5]trip_summary_region!G1044</f>
        <v>29.689960812999999</v>
      </c>
      <c r="H1044">
        <f>[5]trip_summary_region!H1044</f>
        <v>0.39006193779999998</v>
      </c>
      <c r="I1044" t="str">
        <f>[5]trip_summary_region!I1044</f>
        <v>Motorcyclist</v>
      </c>
      <c r="J1044" t="str">
        <f>[5]trip_summary_region!J1044</f>
        <v>2042/43</v>
      </c>
    </row>
    <row r="1045" spans="1:10" x14ac:dyDescent="0.25">
      <c r="A1045" t="str">
        <f>[5]trip_summary_region!A1045</f>
        <v>15 SOUTHLAND</v>
      </c>
      <c r="B1045">
        <f>[5]trip_summary_region!B1045</f>
        <v>7</v>
      </c>
      <c r="C1045">
        <f>[5]trip_summary_region!C1045</f>
        <v>2013</v>
      </c>
      <c r="D1045">
        <f>[5]trip_summary_region!D1045</f>
        <v>37</v>
      </c>
      <c r="E1045">
        <f>[5]trip_summary_region!E1045</f>
        <v>119</v>
      </c>
      <c r="F1045">
        <f>[5]trip_summary_region!F1045</f>
        <v>2.6369167839999998</v>
      </c>
      <c r="G1045">
        <f>[5]trip_summary_region!G1045</f>
        <v>30.182609224</v>
      </c>
      <c r="H1045">
        <f>[5]trip_summary_region!H1045</f>
        <v>1.2152660816</v>
      </c>
      <c r="I1045" t="str">
        <f>[5]trip_summary_region!I1045</f>
        <v>Local Bus</v>
      </c>
      <c r="J1045" t="str">
        <f>[5]trip_summary_region!J1045</f>
        <v>2012/13</v>
      </c>
    </row>
    <row r="1046" spans="1:10" x14ac:dyDescent="0.25">
      <c r="A1046" t="str">
        <f>[5]trip_summary_region!A1046</f>
        <v>15 SOUTHLAND</v>
      </c>
      <c r="B1046">
        <f>[5]trip_summary_region!B1046</f>
        <v>7</v>
      </c>
      <c r="C1046">
        <f>[5]trip_summary_region!C1046</f>
        <v>2018</v>
      </c>
      <c r="D1046">
        <f>[5]trip_summary_region!D1046</f>
        <v>37</v>
      </c>
      <c r="E1046">
        <f>[5]trip_summary_region!E1046</f>
        <v>119</v>
      </c>
      <c r="F1046">
        <f>[5]trip_summary_region!F1046</f>
        <v>2.6551243567</v>
      </c>
      <c r="G1046">
        <f>[5]trip_summary_region!G1046</f>
        <v>30.207858561999998</v>
      </c>
      <c r="H1046">
        <f>[5]trip_summary_region!H1046</f>
        <v>1.2138591996999999</v>
      </c>
      <c r="I1046" t="str">
        <f>[5]trip_summary_region!I1046</f>
        <v>Local Bus</v>
      </c>
      <c r="J1046" t="str">
        <f>[5]trip_summary_region!J1046</f>
        <v>2017/18</v>
      </c>
    </row>
    <row r="1047" spans="1:10" x14ac:dyDescent="0.25">
      <c r="A1047" t="str">
        <f>[5]trip_summary_region!A1047</f>
        <v>15 SOUTHLAND</v>
      </c>
      <c r="B1047">
        <f>[5]trip_summary_region!B1047</f>
        <v>7</v>
      </c>
      <c r="C1047">
        <f>[5]trip_summary_region!C1047</f>
        <v>2023</v>
      </c>
      <c r="D1047">
        <f>[5]trip_summary_region!D1047</f>
        <v>37</v>
      </c>
      <c r="E1047">
        <f>[5]trip_summary_region!E1047</f>
        <v>119</v>
      </c>
      <c r="F1047">
        <f>[5]trip_summary_region!F1047</f>
        <v>2.6689157474999998</v>
      </c>
      <c r="G1047">
        <f>[5]trip_summary_region!G1047</f>
        <v>30.548444348</v>
      </c>
      <c r="H1047">
        <f>[5]trip_summary_region!H1047</f>
        <v>1.2307665538000001</v>
      </c>
      <c r="I1047" t="str">
        <f>[5]trip_summary_region!I1047</f>
        <v>Local Bus</v>
      </c>
      <c r="J1047" t="str">
        <f>[5]trip_summary_region!J1047</f>
        <v>2022/23</v>
      </c>
    </row>
    <row r="1048" spans="1:10" x14ac:dyDescent="0.25">
      <c r="A1048" t="str">
        <f>[5]trip_summary_region!A1048</f>
        <v>15 SOUTHLAND</v>
      </c>
      <c r="B1048">
        <f>[5]trip_summary_region!B1048</f>
        <v>7</v>
      </c>
      <c r="C1048">
        <f>[5]trip_summary_region!C1048</f>
        <v>2028</v>
      </c>
      <c r="D1048">
        <f>[5]trip_summary_region!D1048</f>
        <v>37</v>
      </c>
      <c r="E1048">
        <f>[5]trip_summary_region!E1048</f>
        <v>119</v>
      </c>
      <c r="F1048">
        <f>[5]trip_summary_region!F1048</f>
        <v>2.6985388819999998</v>
      </c>
      <c r="G1048">
        <f>[5]trip_summary_region!G1048</f>
        <v>30.900492232000001</v>
      </c>
      <c r="H1048">
        <f>[5]trip_summary_region!H1048</f>
        <v>1.2554180856999999</v>
      </c>
      <c r="I1048" t="str">
        <f>[5]trip_summary_region!I1048</f>
        <v>Local Bus</v>
      </c>
      <c r="J1048" t="str">
        <f>[5]trip_summary_region!J1048</f>
        <v>2027/28</v>
      </c>
    </row>
    <row r="1049" spans="1:10" x14ac:dyDescent="0.25">
      <c r="A1049" t="str">
        <f>[5]trip_summary_region!A1049</f>
        <v>15 SOUTHLAND</v>
      </c>
      <c r="B1049">
        <f>[5]trip_summary_region!B1049</f>
        <v>7</v>
      </c>
      <c r="C1049">
        <f>[5]trip_summary_region!C1049</f>
        <v>2033</v>
      </c>
      <c r="D1049">
        <f>[5]trip_summary_region!D1049</f>
        <v>37</v>
      </c>
      <c r="E1049">
        <f>[5]trip_summary_region!E1049</f>
        <v>119</v>
      </c>
      <c r="F1049">
        <f>[5]trip_summary_region!F1049</f>
        <v>2.6112309028</v>
      </c>
      <c r="G1049">
        <f>[5]trip_summary_region!G1049</f>
        <v>29.823789112</v>
      </c>
      <c r="H1049">
        <f>[5]trip_summary_region!H1049</f>
        <v>1.2238665762000001</v>
      </c>
      <c r="I1049" t="str">
        <f>[5]trip_summary_region!I1049</f>
        <v>Local Bus</v>
      </c>
      <c r="J1049" t="str">
        <f>[5]trip_summary_region!J1049</f>
        <v>2032/33</v>
      </c>
    </row>
    <row r="1050" spans="1:10" x14ac:dyDescent="0.25">
      <c r="A1050" t="str">
        <f>[5]trip_summary_region!A1050</f>
        <v>15 SOUTHLAND</v>
      </c>
      <c r="B1050">
        <f>[5]trip_summary_region!B1050</f>
        <v>7</v>
      </c>
      <c r="C1050">
        <f>[5]trip_summary_region!C1050</f>
        <v>2038</v>
      </c>
      <c r="D1050">
        <f>[5]trip_summary_region!D1050</f>
        <v>37</v>
      </c>
      <c r="E1050">
        <f>[5]trip_summary_region!E1050</f>
        <v>119</v>
      </c>
      <c r="F1050">
        <f>[5]trip_summary_region!F1050</f>
        <v>2.5084083733</v>
      </c>
      <c r="G1050">
        <f>[5]trip_summary_region!G1050</f>
        <v>28.330878690999999</v>
      </c>
      <c r="H1050">
        <f>[5]trip_summary_region!H1050</f>
        <v>1.1815845474</v>
      </c>
      <c r="I1050" t="str">
        <f>[5]trip_summary_region!I1050</f>
        <v>Local Bus</v>
      </c>
      <c r="J1050" t="str">
        <f>[5]trip_summary_region!J1050</f>
        <v>2037/38</v>
      </c>
    </row>
    <row r="1051" spans="1:10" x14ac:dyDescent="0.25">
      <c r="A1051" t="str">
        <f>[5]trip_summary_region!A1051</f>
        <v>15 SOUTHLAND</v>
      </c>
      <c r="B1051">
        <f>[5]trip_summary_region!B1051</f>
        <v>7</v>
      </c>
      <c r="C1051">
        <f>[5]trip_summary_region!C1051</f>
        <v>2043</v>
      </c>
      <c r="D1051">
        <f>[5]trip_summary_region!D1051</f>
        <v>37</v>
      </c>
      <c r="E1051">
        <f>[5]trip_summary_region!E1051</f>
        <v>119</v>
      </c>
      <c r="F1051">
        <f>[5]trip_summary_region!F1051</f>
        <v>2.3877639885000002</v>
      </c>
      <c r="G1051">
        <f>[5]trip_summary_region!G1051</f>
        <v>26.670025538000001</v>
      </c>
      <c r="H1051">
        <f>[5]trip_summary_region!H1051</f>
        <v>1.1321857501000001</v>
      </c>
      <c r="I1051" t="str">
        <f>[5]trip_summary_region!I1051</f>
        <v>Local Bus</v>
      </c>
      <c r="J1051" t="str">
        <f>[5]trip_summary_region!J1051</f>
        <v>2042/43</v>
      </c>
    </row>
    <row r="1052" spans="1:10" x14ac:dyDescent="0.25">
      <c r="A1052" t="str">
        <f>[5]trip_summary_region!A1052</f>
        <v>15 SOUTHLAND</v>
      </c>
      <c r="B1052">
        <f>[5]trip_summary_region!B1052</f>
        <v>9</v>
      </c>
      <c r="C1052">
        <f>[5]trip_summary_region!C1052</f>
        <v>2013</v>
      </c>
      <c r="D1052">
        <f>[5]trip_summary_region!D1052</f>
        <v>3</v>
      </c>
      <c r="E1052">
        <f>[5]trip_summary_region!E1052</f>
        <v>20</v>
      </c>
      <c r="F1052">
        <f>[5]trip_summary_region!F1052</f>
        <v>0.42937289560000003</v>
      </c>
      <c r="G1052">
        <f>[5]trip_summary_region!G1052</f>
        <v>0</v>
      </c>
      <c r="H1052">
        <f>[5]trip_summary_region!H1052</f>
        <v>8.5162673699999997E-2</v>
      </c>
      <c r="I1052" t="str">
        <f>[5]trip_summary_region!I1052</f>
        <v>Other Household Travel</v>
      </c>
      <c r="J1052" t="str">
        <f>[5]trip_summary_region!J1052</f>
        <v>2012/13</v>
      </c>
    </row>
    <row r="1053" spans="1:10" x14ac:dyDescent="0.25">
      <c r="A1053" t="str">
        <f>[5]trip_summary_region!A1053</f>
        <v>15 SOUTHLAND</v>
      </c>
      <c r="B1053">
        <f>[5]trip_summary_region!B1053</f>
        <v>9</v>
      </c>
      <c r="C1053">
        <f>[5]trip_summary_region!C1053</f>
        <v>2018</v>
      </c>
      <c r="D1053">
        <f>[5]trip_summary_region!D1053</f>
        <v>3</v>
      </c>
      <c r="E1053">
        <f>[5]trip_summary_region!E1053</f>
        <v>20</v>
      </c>
      <c r="F1053">
        <f>[5]trip_summary_region!F1053</f>
        <v>0.47517348720000002</v>
      </c>
      <c r="G1053">
        <f>[5]trip_summary_region!G1053</f>
        <v>0</v>
      </c>
      <c r="H1053">
        <f>[5]trip_summary_region!H1053</f>
        <v>9.4530381100000005E-2</v>
      </c>
      <c r="I1053" t="str">
        <f>[5]trip_summary_region!I1053</f>
        <v>Other Household Travel</v>
      </c>
      <c r="J1053" t="str">
        <f>[5]trip_summary_region!J1053</f>
        <v>2017/18</v>
      </c>
    </row>
    <row r="1054" spans="1:10" x14ac:dyDescent="0.25">
      <c r="A1054" t="str">
        <f>[5]trip_summary_region!A1054</f>
        <v>15 SOUTHLAND</v>
      </c>
      <c r="B1054">
        <f>[5]trip_summary_region!B1054</f>
        <v>9</v>
      </c>
      <c r="C1054">
        <f>[5]trip_summary_region!C1054</f>
        <v>2023</v>
      </c>
      <c r="D1054">
        <f>[5]trip_summary_region!D1054</f>
        <v>3</v>
      </c>
      <c r="E1054">
        <f>[5]trip_summary_region!E1054</f>
        <v>20</v>
      </c>
      <c r="F1054">
        <f>[5]trip_summary_region!F1054</f>
        <v>0.50390403630000002</v>
      </c>
      <c r="G1054">
        <f>[5]trip_summary_region!G1054</f>
        <v>0</v>
      </c>
      <c r="H1054">
        <f>[5]trip_summary_region!H1054</f>
        <v>0.10075407240000001</v>
      </c>
      <c r="I1054" t="str">
        <f>[5]trip_summary_region!I1054</f>
        <v>Other Household Travel</v>
      </c>
      <c r="J1054" t="str">
        <f>[5]trip_summary_region!J1054</f>
        <v>2022/23</v>
      </c>
    </row>
    <row r="1055" spans="1:10" x14ac:dyDescent="0.25">
      <c r="A1055" t="str">
        <f>[5]trip_summary_region!A1055</f>
        <v>15 SOUTHLAND</v>
      </c>
      <c r="B1055">
        <f>[5]trip_summary_region!B1055</f>
        <v>9</v>
      </c>
      <c r="C1055">
        <f>[5]trip_summary_region!C1055</f>
        <v>2028</v>
      </c>
      <c r="D1055">
        <f>[5]trip_summary_region!D1055</f>
        <v>3</v>
      </c>
      <c r="E1055">
        <f>[5]trip_summary_region!E1055</f>
        <v>20</v>
      </c>
      <c r="F1055">
        <f>[5]trip_summary_region!F1055</f>
        <v>0.53310958269999997</v>
      </c>
      <c r="G1055">
        <f>[5]trip_summary_region!G1055</f>
        <v>0</v>
      </c>
      <c r="H1055">
        <f>[5]trip_summary_region!H1055</f>
        <v>0.10682907210000001</v>
      </c>
      <c r="I1055" t="str">
        <f>[5]trip_summary_region!I1055</f>
        <v>Other Household Travel</v>
      </c>
      <c r="J1055" t="str">
        <f>[5]trip_summary_region!J1055</f>
        <v>2027/28</v>
      </c>
    </row>
    <row r="1056" spans="1:10" x14ac:dyDescent="0.25">
      <c r="A1056" t="str">
        <f>[5]trip_summary_region!A1056</f>
        <v>15 SOUTHLAND</v>
      </c>
      <c r="B1056">
        <f>[5]trip_summary_region!B1056</f>
        <v>9</v>
      </c>
      <c r="C1056">
        <f>[5]trip_summary_region!C1056</f>
        <v>2033</v>
      </c>
      <c r="D1056">
        <f>[5]trip_summary_region!D1056</f>
        <v>3</v>
      </c>
      <c r="E1056">
        <f>[5]trip_summary_region!E1056</f>
        <v>20</v>
      </c>
      <c r="F1056">
        <f>[5]trip_summary_region!F1056</f>
        <v>0.5597393598</v>
      </c>
      <c r="G1056">
        <f>[5]trip_summary_region!G1056</f>
        <v>0</v>
      </c>
      <c r="H1056">
        <f>[5]trip_summary_region!H1056</f>
        <v>0.11273388819999999</v>
      </c>
      <c r="I1056" t="str">
        <f>[5]trip_summary_region!I1056</f>
        <v>Other Household Travel</v>
      </c>
      <c r="J1056" t="str">
        <f>[5]trip_summary_region!J1056</f>
        <v>2032/33</v>
      </c>
    </row>
    <row r="1057" spans="1:10" x14ac:dyDescent="0.25">
      <c r="A1057" t="str">
        <f>[5]trip_summary_region!A1057</f>
        <v>15 SOUTHLAND</v>
      </c>
      <c r="B1057">
        <f>[5]trip_summary_region!B1057</f>
        <v>9</v>
      </c>
      <c r="C1057">
        <f>[5]trip_summary_region!C1057</f>
        <v>2038</v>
      </c>
      <c r="D1057">
        <f>[5]trip_summary_region!D1057</f>
        <v>3</v>
      </c>
      <c r="E1057">
        <f>[5]trip_summary_region!E1057</f>
        <v>20</v>
      </c>
      <c r="F1057">
        <f>[5]trip_summary_region!F1057</f>
        <v>0.56431983669999997</v>
      </c>
      <c r="G1057">
        <f>[5]trip_summary_region!G1057</f>
        <v>0</v>
      </c>
      <c r="H1057">
        <f>[5]trip_summary_region!H1057</f>
        <v>0.1137987003</v>
      </c>
      <c r="I1057" t="str">
        <f>[5]trip_summary_region!I1057</f>
        <v>Other Household Travel</v>
      </c>
      <c r="J1057" t="str">
        <f>[5]trip_summary_region!J1057</f>
        <v>2037/38</v>
      </c>
    </row>
    <row r="1058" spans="1:10" x14ac:dyDescent="0.25">
      <c r="A1058" t="str">
        <f>[5]trip_summary_region!A1058</f>
        <v>15 SOUTHLAND</v>
      </c>
      <c r="B1058">
        <f>[5]trip_summary_region!B1058</f>
        <v>9</v>
      </c>
      <c r="C1058">
        <f>[5]trip_summary_region!C1058</f>
        <v>2043</v>
      </c>
      <c r="D1058">
        <f>[5]trip_summary_region!D1058</f>
        <v>3</v>
      </c>
      <c r="E1058">
        <f>[5]trip_summary_region!E1058</f>
        <v>20</v>
      </c>
      <c r="F1058">
        <f>[5]trip_summary_region!F1058</f>
        <v>0.55784474849999999</v>
      </c>
      <c r="G1058">
        <f>[5]trip_summary_region!G1058</f>
        <v>0</v>
      </c>
      <c r="H1058">
        <f>[5]trip_summary_region!H1058</f>
        <v>0.112228777</v>
      </c>
      <c r="I1058" t="str">
        <f>[5]trip_summary_region!I1058</f>
        <v>Other Household Travel</v>
      </c>
      <c r="J1058" t="str">
        <f>[5]trip_summary_region!J1058</f>
        <v>2042/43</v>
      </c>
    </row>
    <row r="1059" spans="1:10" x14ac:dyDescent="0.25">
      <c r="A1059" t="str">
        <f>[5]trip_summary_region!A1059</f>
        <v>15 SOUTHLAND</v>
      </c>
      <c r="B1059">
        <f>[5]trip_summary_region!B1059</f>
        <v>10</v>
      </c>
      <c r="C1059">
        <f>[5]trip_summary_region!C1059</f>
        <v>2013</v>
      </c>
      <c r="D1059">
        <f>[5]trip_summary_region!D1059</f>
        <v>4</v>
      </c>
      <c r="E1059">
        <f>[5]trip_summary_region!E1059</f>
        <v>5</v>
      </c>
      <c r="F1059">
        <f>[5]trip_summary_region!F1059</f>
        <v>0.11858970739999999</v>
      </c>
      <c r="G1059">
        <f>[5]trip_summary_region!G1059</f>
        <v>7.7216256564999997</v>
      </c>
      <c r="H1059">
        <f>[5]trip_summary_region!H1059</f>
        <v>0.2054826143</v>
      </c>
      <c r="I1059" t="str">
        <f>[5]trip_summary_region!I1059</f>
        <v>Air/Non-Local PT</v>
      </c>
      <c r="J1059" t="str">
        <f>[5]trip_summary_region!J1059</f>
        <v>2012/13</v>
      </c>
    </row>
    <row r="1060" spans="1:10" x14ac:dyDescent="0.25">
      <c r="A1060" t="str">
        <f>[5]trip_summary_region!A1060</f>
        <v>15 SOUTHLAND</v>
      </c>
      <c r="B1060">
        <f>[5]trip_summary_region!B1060</f>
        <v>10</v>
      </c>
      <c r="C1060">
        <f>[5]trip_summary_region!C1060</f>
        <v>2018</v>
      </c>
      <c r="D1060">
        <f>[5]trip_summary_region!D1060</f>
        <v>4</v>
      </c>
      <c r="E1060">
        <f>[5]trip_summary_region!E1060</f>
        <v>5</v>
      </c>
      <c r="F1060">
        <f>[5]trip_summary_region!F1060</f>
        <v>0.1432275851</v>
      </c>
      <c r="G1060">
        <f>[5]trip_summary_region!G1060</f>
        <v>7.9537356617999997</v>
      </c>
      <c r="H1060">
        <f>[5]trip_summary_region!H1060</f>
        <v>0.23874952939999999</v>
      </c>
      <c r="I1060" t="str">
        <f>[5]trip_summary_region!I1060</f>
        <v>Air/Non-Local PT</v>
      </c>
      <c r="J1060" t="str">
        <f>[5]trip_summary_region!J1060</f>
        <v>2017/18</v>
      </c>
    </row>
    <row r="1061" spans="1:10" x14ac:dyDescent="0.25">
      <c r="A1061" t="str">
        <f>[5]trip_summary_region!A1061</f>
        <v>15 SOUTHLAND</v>
      </c>
      <c r="B1061">
        <f>[5]trip_summary_region!B1061</f>
        <v>10</v>
      </c>
      <c r="C1061">
        <f>[5]trip_summary_region!C1061</f>
        <v>2023</v>
      </c>
      <c r="D1061">
        <f>[5]trip_summary_region!D1061</f>
        <v>4</v>
      </c>
      <c r="E1061">
        <f>[5]trip_summary_region!E1061</f>
        <v>5</v>
      </c>
      <c r="F1061">
        <f>[5]trip_summary_region!F1061</f>
        <v>0.15677619179999999</v>
      </c>
      <c r="G1061">
        <f>[5]trip_summary_region!G1061</f>
        <v>7.5532826714999999</v>
      </c>
      <c r="H1061">
        <f>[5]trip_summary_region!H1061</f>
        <v>0.25375134700000002</v>
      </c>
      <c r="I1061" t="str">
        <f>[5]trip_summary_region!I1061</f>
        <v>Air/Non-Local PT</v>
      </c>
      <c r="J1061" t="str">
        <f>[5]trip_summary_region!J1061</f>
        <v>2022/23</v>
      </c>
    </row>
    <row r="1062" spans="1:10" x14ac:dyDescent="0.25">
      <c r="A1062" t="str">
        <f>[5]trip_summary_region!A1062</f>
        <v>15 SOUTHLAND</v>
      </c>
      <c r="B1062">
        <f>[5]trip_summary_region!B1062</f>
        <v>10</v>
      </c>
      <c r="C1062">
        <f>[5]trip_summary_region!C1062</f>
        <v>2028</v>
      </c>
      <c r="D1062">
        <f>[5]trip_summary_region!D1062</f>
        <v>4</v>
      </c>
      <c r="E1062">
        <f>[5]trip_summary_region!E1062</f>
        <v>5</v>
      </c>
      <c r="F1062">
        <f>[5]trip_summary_region!F1062</f>
        <v>0.1667819908</v>
      </c>
      <c r="G1062">
        <f>[5]trip_summary_region!G1062</f>
        <v>7.1727991413999996</v>
      </c>
      <c r="H1062">
        <f>[5]trip_summary_region!H1062</f>
        <v>0.26399690520000002</v>
      </c>
      <c r="I1062" t="str">
        <f>[5]trip_summary_region!I1062</f>
        <v>Air/Non-Local PT</v>
      </c>
      <c r="J1062" t="str">
        <f>[5]trip_summary_region!J1062</f>
        <v>2027/28</v>
      </c>
    </row>
    <row r="1063" spans="1:10" x14ac:dyDescent="0.25">
      <c r="A1063" t="str">
        <f>[5]trip_summary_region!A1063</f>
        <v>15 SOUTHLAND</v>
      </c>
      <c r="B1063">
        <f>[5]trip_summary_region!B1063</f>
        <v>10</v>
      </c>
      <c r="C1063">
        <f>[5]trip_summary_region!C1063</f>
        <v>2033</v>
      </c>
      <c r="D1063">
        <f>[5]trip_summary_region!D1063</f>
        <v>4</v>
      </c>
      <c r="E1063">
        <f>[5]trip_summary_region!E1063</f>
        <v>5</v>
      </c>
      <c r="F1063">
        <f>[5]trip_summary_region!F1063</f>
        <v>0.17145816229999999</v>
      </c>
      <c r="G1063">
        <f>[5]trip_summary_region!G1063</f>
        <v>7.4409451564999998</v>
      </c>
      <c r="H1063">
        <f>[5]trip_summary_region!H1063</f>
        <v>0.27212469189999999</v>
      </c>
      <c r="I1063" t="str">
        <f>[5]trip_summary_region!I1063</f>
        <v>Air/Non-Local PT</v>
      </c>
      <c r="J1063" t="str">
        <f>[5]trip_summary_region!J1063</f>
        <v>2032/33</v>
      </c>
    </row>
    <row r="1064" spans="1:10" x14ac:dyDescent="0.25">
      <c r="A1064" t="str">
        <f>[5]trip_summary_region!A1064</f>
        <v>15 SOUTHLAND</v>
      </c>
      <c r="B1064">
        <f>[5]trip_summary_region!B1064</f>
        <v>10</v>
      </c>
      <c r="C1064">
        <f>[5]trip_summary_region!C1064</f>
        <v>2038</v>
      </c>
      <c r="D1064">
        <f>[5]trip_summary_region!D1064</f>
        <v>4</v>
      </c>
      <c r="E1064">
        <f>[5]trip_summary_region!E1064</f>
        <v>5</v>
      </c>
      <c r="F1064">
        <f>[5]trip_summary_region!F1064</f>
        <v>0.1771902836</v>
      </c>
      <c r="G1064">
        <f>[5]trip_summary_region!G1064</f>
        <v>7.7144560422000001</v>
      </c>
      <c r="H1064">
        <f>[5]trip_summary_region!H1064</f>
        <v>0.28324396759999998</v>
      </c>
      <c r="I1064" t="str">
        <f>[5]trip_summary_region!I1064</f>
        <v>Air/Non-Local PT</v>
      </c>
      <c r="J1064" t="str">
        <f>[5]trip_summary_region!J1064</f>
        <v>2037/38</v>
      </c>
    </row>
    <row r="1065" spans="1:10" x14ac:dyDescent="0.25">
      <c r="A1065" t="str">
        <f>[5]trip_summary_region!A1065</f>
        <v>15 SOUTHLAND</v>
      </c>
      <c r="B1065">
        <f>[5]trip_summary_region!B1065</f>
        <v>10</v>
      </c>
      <c r="C1065">
        <f>[5]trip_summary_region!C1065</f>
        <v>2043</v>
      </c>
      <c r="D1065">
        <f>[5]trip_summary_region!D1065</f>
        <v>4</v>
      </c>
      <c r="E1065">
        <f>[5]trip_summary_region!E1065</f>
        <v>5</v>
      </c>
      <c r="F1065">
        <f>[5]trip_summary_region!F1065</f>
        <v>0.18233371649999999</v>
      </c>
      <c r="G1065">
        <f>[5]trip_summary_region!G1065</f>
        <v>7.9473259555000002</v>
      </c>
      <c r="H1065">
        <f>[5]trip_summary_region!H1065</f>
        <v>0.29321604559999997</v>
      </c>
      <c r="I1065" t="str">
        <f>[5]trip_summary_region!I1065</f>
        <v>Air/Non-Local PT</v>
      </c>
      <c r="J1065" t="str">
        <f>[5]trip_summary_region!J1065</f>
        <v>2042/43</v>
      </c>
    </row>
    <row r="1066" spans="1:10" x14ac:dyDescent="0.25">
      <c r="A1066" t="str">
        <f>[5]trip_summary_region!A1066</f>
        <v>15 SOUTHLAND</v>
      </c>
      <c r="B1066">
        <f>[5]trip_summary_region!B1066</f>
        <v>11</v>
      </c>
      <c r="C1066">
        <f>[5]trip_summary_region!C1066</f>
        <v>2013</v>
      </c>
      <c r="D1066">
        <f>[5]trip_summary_region!D1066</f>
        <v>3</v>
      </c>
      <c r="E1066">
        <f>[5]trip_summary_region!E1066</f>
        <v>9</v>
      </c>
      <c r="F1066">
        <f>[5]trip_summary_region!F1066</f>
        <v>0.1918163457</v>
      </c>
      <c r="G1066">
        <f>[5]trip_summary_region!G1066</f>
        <v>7.2518167408999998</v>
      </c>
      <c r="H1066">
        <f>[5]trip_summary_region!H1066</f>
        <v>0.26579174360000002</v>
      </c>
      <c r="I1066" t="str">
        <f>[5]trip_summary_region!I1066</f>
        <v>Non-Household Travel</v>
      </c>
      <c r="J1066" t="str">
        <f>[5]trip_summary_region!J1066</f>
        <v>2012/13</v>
      </c>
    </row>
    <row r="1067" spans="1:10" x14ac:dyDescent="0.25">
      <c r="A1067" t="str">
        <f>[5]trip_summary_region!A1067</f>
        <v>15 SOUTHLAND</v>
      </c>
      <c r="B1067">
        <f>[5]trip_summary_region!B1067</f>
        <v>11</v>
      </c>
      <c r="C1067">
        <f>[5]trip_summary_region!C1067</f>
        <v>2018</v>
      </c>
      <c r="D1067">
        <f>[5]trip_summary_region!D1067</f>
        <v>3</v>
      </c>
      <c r="E1067">
        <f>[5]trip_summary_region!E1067</f>
        <v>9</v>
      </c>
      <c r="F1067">
        <f>[5]trip_summary_region!F1067</f>
        <v>0.20441820290000001</v>
      </c>
      <c r="G1067">
        <f>[5]trip_summary_region!G1067</f>
        <v>8.7413470288999999</v>
      </c>
      <c r="H1067">
        <f>[5]trip_summary_region!H1067</f>
        <v>0.36361138749999999</v>
      </c>
      <c r="I1067" t="str">
        <f>[5]trip_summary_region!I1067</f>
        <v>Non-Household Travel</v>
      </c>
      <c r="J1067" t="str">
        <f>[5]trip_summary_region!J1067</f>
        <v>2017/18</v>
      </c>
    </row>
    <row r="1068" spans="1:10" x14ac:dyDescent="0.25">
      <c r="A1068" t="str">
        <f>[5]trip_summary_region!A1068</f>
        <v>15 SOUTHLAND</v>
      </c>
      <c r="B1068">
        <f>[5]trip_summary_region!B1068</f>
        <v>11</v>
      </c>
      <c r="C1068">
        <f>[5]trip_summary_region!C1068</f>
        <v>2023</v>
      </c>
      <c r="D1068">
        <f>[5]trip_summary_region!D1068</f>
        <v>3</v>
      </c>
      <c r="E1068">
        <f>[5]trip_summary_region!E1068</f>
        <v>9</v>
      </c>
      <c r="F1068">
        <f>[5]trip_summary_region!F1068</f>
        <v>0.2214977413</v>
      </c>
      <c r="G1068">
        <f>[5]trip_summary_region!G1068</f>
        <v>10.043582462</v>
      </c>
      <c r="H1068">
        <f>[5]trip_summary_region!H1068</f>
        <v>0.43041552080000001</v>
      </c>
      <c r="I1068" t="str">
        <f>[5]trip_summary_region!I1068</f>
        <v>Non-Household Travel</v>
      </c>
      <c r="J1068" t="str">
        <f>[5]trip_summary_region!J1068</f>
        <v>2022/23</v>
      </c>
    </row>
    <row r="1069" spans="1:10" x14ac:dyDescent="0.25">
      <c r="A1069" t="str">
        <f>[5]trip_summary_region!A1069</f>
        <v>15 SOUTHLAND</v>
      </c>
      <c r="B1069">
        <f>[5]trip_summary_region!B1069</f>
        <v>11</v>
      </c>
      <c r="C1069">
        <f>[5]trip_summary_region!C1069</f>
        <v>2028</v>
      </c>
      <c r="D1069">
        <f>[5]trip_summary_region!D1069</f>
        <v>3</v>
      </c>
      <c r="E1069">
        <f>[5]trip_summary_region!E1069</f>
        <v>9</v>
      </c>
      <c r="F1069">
        <f>[5]trip_summary_region!F1069</f>
        <v>0.25780387490000001</v>
      </c>
      <c r="G1069">
        <f>[5]trip_summary_region!G1069</f>
        <v>11.263981569</v>
      </c>
      <c r="H1069">
        <f>[5]trip_summary_region!H1069</f>
        <v>0.45805184249999997</v>
      </c>
      <c r="I1069" t="str">
        <f>[5]trip_summary_region!I1069</f>
        <v>Non-Household Travel</v>
      </c>
      <c r="J1069" t="str">
        <f>[5]trip_summary_region!J1069</f>
        <v>2027/28</v>
      </c>
    </row>
    <row r="1070" spans="1:10" x14ac:dyDescent="0.25">
      <c r="A1070" t="str">
        <f>[5]trip_summary_region!A1070</f>
        <v>15 SOUTHLAND</v>
      </c>
      <c r="B1070">
        <f>[5]trip_summary_region!B1070</f>
        <v>11</v>
      </c>
      <c r="C1070">
        <f>[5]trip_summary_region!C1070</f>
        <v>2033</v>
      </c>
      <c r="D1070">
        <f>[5]trip_summary_region!D1070</f>
        <v>3</v>
      </c>
      <c r="E1070">
        <f>[5]trip_summary_region!E1070</f>
        <v>9</v>
      </c>
      <c r="F1070">
        <f>[5]trip_summary_region!F1070</f>
        <v>0.27578636779999999</v>
      </c>
      <c r="G1070">
        <f>[5]trip_summary_region!G1070</f>
        <v>12.070063049</v>
      </c>
      <c r="H1070">
        <f>[5]trip_summary_region!H1070</f>
        <v>0.48580784910000002</v>
      </c>
      <c r="I1070" t="str">
        <f>[5]trip_summary_region!I1070</f>
        <v>Non-Household Travel</v>
      </c>
      <c r="J1070" t="str">
        <f>[5]trip_summary_region!J1070</f>
        <v>2032/33</v>
      </c>
    </row>
    <row r="1071" spans="1:10" x14ac:dyDescent="0.25">
      <c r="A1071" t="str">
        <f>[5]trip_summary_region!A1071</f>
        <v>15 SOUTHLAND</v>
      </c>
      <c r="B1071">
        <f>[5]trip_summary_region!B1071</f>
        <v>11</v>
      </c>
      <c r="C1071">
        <f>[5]trip_summary_region!C1071</f>
        <v>2038</v>
      </c>
      <c r="D1071">
        <f>[5]trip_summary_region!D1071</f>
        <v>3</v>
      </c>
      <c r="E1071">
        <f>[5]trip_summary_region!E1071</f>
        <v>9</v>
      </c>
      <c r="F1071">
        <f>[5]trip_summary_region!F1071</f>
        <v>0.27635687050000002</v>
      </c>
      <c r="G1071">
        <f>[5]trip_summary_region!G1071</f>
        <v>12.465720873</v>
      </c>
      <c r="H1071">
        <f>[5]trip_summary_region!H1071</f>
        <v>0.52424049849999999</v>
      </c>
      <c r="I1071" t="str">
        <f>[5]trip_summary_region!I1071</f>
        <v>Non-Household Travel</v>
      </c>
      <c r="J1071" t="str">
        <f>[5]trip_summary_region!J1071</f>
        <v>2037/38</v>
      </c>
    </row>
    <row r="1072" spans="1:10" x14ac:dyDescent="0.25">
      <c r="A1072" t="str">
        <f>[5]trip_summary_region!A1072</f>
        <v>15 SOUTHLAND</v>
      </c>
      <c r="B1072">
        <f>[5]trip_summary_region!B1072</f>
        <v>11</v>
      </c>
      <c r="C1072">
        <f>[5]trip_summary_region!C1072</f>
        <v>2043</v>
      </c>
      <c r="D1072">
        <f>[5]trip_summary_region!D1072</f>
        <v>3</v>
      </c>
      <c r="E1072">
        <f>[5]trip_summary_region!E1072</f>
        <v>9</v>
      </c>
      <c r="F1072">
        <f>[5]trip_summary_region!F1072</f>
        <v>0.27331743930000002</v>
      </c>
      <c r="G1072">
        <f>[5]trip_summary_region!G1072</f>
        <v>12.798288286</v>
      </c>
      <c r="H1072">
        <f>[5]trip_summary_region!H1072</f>
        <v>0.56388646809999998</v>
      </c>
      <c r="I1072" t="str">
        <f>[5]trip_summary_region!I1072</f>
        <v>Non-Household Travel</v>
      </c>
      <c r="J1072" t="str">
        <f>[5]trip_summary_region!J1072</f>
        <v>2042/43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K25"/>
  <sheetViews>
    <sheetView zoomScaleNormal="100" workbookViewId="0">
      <pane xSplit="1" topLeftCell="B1" activePane="topRight" state="frozen"/>
      <selection pane="topRight" activeCell="C21" sqref="C21:K21"/>
    </sheetView>
  </sheetViews>
  <sheetFormatPr defaultRowHeight="12.5" x14ac:dyDescent="0.25"/>
  <cols>
    <col min="1" max="1" width="59.54296875" customWidth="1"/>
    <col min="2" max="11" width="17.81640625" customWidth="1"/>
  </cols>
  <sheetData>
    <row r="2" spans="1:11" ht="13" thickBot="1" x14ac:dyDescent="0.3"/>
    <row r="3" spans="1:11" ht="16" thickTop="1" x14ac:dyDescent="0.3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3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" thickTop="1" thickBot="1" x14ac:dyDescent="0.3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" thickTop="1" x14ac:dyDescent="0.35">
      <c r="A6" s="16" t="s">
        <v>71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5" x14ac:dyDescent="0.35">
      <c r="A7" s="38" t="s">
        <v>73</v>
      </c>
      <c r="B7" s="19">
        <v>0</v>
      </c>
      <c r="C7" s="21">
        <v>0</v>
      </c>
      <c r="D7" s="21">
        <v>0.06</v>
      </c>
      <c r="E7" s="21">
        <v>0.12</v>
      </c>
      <c r="F7" s="21">
        <v>0.18</v>
      </c>
      <c r="G7" s="21">
        <v>0.24</v>
      </c>
      <c r="H7" s="21">
        <v>0.3</v>
      </c>
      <c r="I7" s="21">
        <v>0.3</v>
      </c>
      <c r="J7" s="21">
        <v>0.3</v>
      </c>
      <c r="K7" s="22">
        <v>0.3</v>
      </c>
    </row>
    <row r="8" spans="1:11" ht="15.5" x14ac:dyDescent="0.35">
      <c r="A8" s="38" t="s">
        <v>74</v>
      </c>
      <c r="B8" s="19"/>
      <c r="C8" s="44">
        <f ca="1">'Total Trip Tables'!C159*1000000/'Updated Population'!C158</f>
        <v>218.58597154111212</v>
      </c>
      <c r="D8" s="44">
        <f ca="1">'Total Trip Tables'!D159*1000000/'Updated Population'!D158</f>
        <v>230.55470211493085</v>
      </c>
      <c r="E8" s="44">
        <f ca="1">'Total Trip Tables'!E159*1000000/'Updated Population'!E158</f>
        <v>238.48756601568263</v>
      </c>
      <c r="F8" s="44">
        <f ca="1">'Total Trip Tables'!F159*1000000/'Updated Population'!F158</f>
        <v>244.98292971064438</v>
      </c>
      <c r="G8" s="44">
        <f ca="1">'Total Trip Tables'!G159*1000000/'Updated Population'!G158</f>
        <v>250.96439010372978</v>
      </c>
      <c r="H8" s="44">
        <f ca="1">'Total Trip Tables'!H159*1000000/'Updated Population'!H158</f>
        <v>256.49905158462053</v>
      </c>
      <c r="I8" s="44">
        <f ca="1">'Total Trip Tables'!I159*1000000/'Updated Population'!I158</f>
        <v>256.69976226411683</v>
      </c>
      <c r="J8" s="44">
        <f ca="1">'Total Trip Tables'!J159*1000000/'Updated Population'!J158</f>
        <v>256.85124445969763</v>
      </c>
      <c r="K8" s="45">
        <f ca="1">'Total Trip Tables'!K159*1000000/'Updated Population'!K158</f>
        <v>256.93188879374492</v>
      </c>
    </row>
    <row r="9" spans="1:11" ht="15.5" x14ac:dyDescent="0.35">
      <c r="A9" s="38" t="s">
        <v>77</v>
      </c>
      <c r="B9" s="19">
        <v>0</v>
      </c>
      <c r="C9" s="21">
        <v>0</v>
      </c>
      <c r="D9" s="21">
        <v>0.06</v>
      </c>
      <c r="E9" s="21">
        <v>0.12</v>
      </c>
      <c r="F9" s="21">
        <v>0.18</v>
      </c>
      <c r="G9" s="21">
        <v>0.24</v>
      </c>
      <c r="H9" s="21">
        <v>0.3</v>
      </c>
      <c r="I9" s="21">
        <v>0.3</v>
      </c>
      <c r="J9" s="21">
        <v>0.3</v>
      </c>
      <c r="K9" s="22">
        <v>0.3</v>
      </c>
    </row>
    <row r="10" spans="1:11" ht="15.5" x14ac:dyDescent="0.35">
      <c r="A10" s="38" t="s">
        <v>78</v>
      </c>
      <c r="B10" s="19"/>
      <c r="C10" s="44">
        <f ca="1">'Total Distance Tables'!C159*1000000/'Updated Population'!C158</f>
        <v>179.07449624702315</v>
      </c>
      <c r="D10" s="44">
        <f ca="1">'Total Distance Tables'!D159*1000000/'Updated Population'!D158</f>
        <v>210.22634691486957</v>
      </c>
      <c r="E10" s="44">
        <f ca="1">'Total Distance Tables'!E159*1000000/'Updated Population'!E158</f>
        <v>216.34202869459193</v>
      </c>
      <c r="F10" s="44">
        <f ca="1">'Total Distance Tables'!F159*1000000/'Updated Population'!F158</f>
        <v>220.98680486163875</v>
      </c>
      <c r="G10" s="44">
        <f ca="1">'Total Distance Tables'!G159*1000000/'Updated Population'!G158</f>
        <v>224.14084192148565</v>
      </c>
      <c r="H10" s="44">
        <f ca="1">'Total Distance Tables'!H159*1000000/'Updated Population'!H158</f>
        <v>226.59523089126901</v>
      </c>
      <c r="I10" s="44">
        <f ca="1">'Total Distance Tables'!I159*1000000/'Updated Population'!I158</f>
        <v>225.31638294547145</v>
      </c>
      <c r="J10" s="44">
        <f ca="1">'Total Distance Tables'!J159*1000000/'Updated Population'!J158</f>
        <v>223.45635339441898</v>
      </c>
      <c r="K10" s="45">
        <f ca="1">'Total Distance Tables'!K159*1000000/'Updated Population'!K158</f>
        <v>220.84491257305297</v>
      </c>
    </row>
    <row r="11" spans="1:11" ht="15.5" x14ac:dyDescent="0.35">
      <c r="A11" s="38" t="s">
        <v>79</v>
      </c>
      <c r="B11" s="19">
        <v>0</v>
      </c>
      <c r="C11" s="21">
        <v>0</v>
      </c>
      <c r="D11" s="21">
        <v>0.06</v>
      </c>
      <c r="E11" s="21">
        <v>0.12</v>
      </c>
      <c r="F11" s="21">
        <v>0.18</v>
      </c>
      <c r="G11" s="21">
        <v>0.24</v>
      </c>
      <c r="H11" s="21">
        <v>0.3</v>
      </c>
      <c r="I11" s="21">
        <v>0.3</v>
      </c>
      <c r="J11" s="21">
        <v>0.3</v>
      </c>
      <c r="K11" s="22">
        <v>0.3</v>
      </c>
    </row>
    <row r="12" spans="1:11" ht="15.5" x14ac:dyDescent="0.35">
      <c r="A12" s="38" t="s">
        <v>80</v>
      </c>
      <c r="B12" s="19"/>
      <c r="C12" s="44">
        <f ca="1">'Total Duration Tables'!C159*1000000/'Updated Population'!C158</f>
        <v>45.405778914057258</v>
      </c>
      <c r="D12" s="44">
        <f ca="1">'Total Duration Tables'!D159*1000000/'Updated Population'!D158</f>
        <v>47.548672234839955</v>
      </c>
      <c r="E12" s="44">
        <f ca="1">'Total Duration Tables'!E159*1000000/'Updated Population'!E158</f>
        <v>48.638200834202692</v>
      </c>
      <c r="F12" s="44">
        <f ca="1">'Total Duration Tables'!F159*1000000/'Updated Population'!F158</f>
        <v>49.420386749294252</v>
      </c>
      <c r="G12" s="44">
        <f ca="1">'Total Duration Tables'!G159*1000000/'Updated Population'!G158</f>
        <v>50.109234558055576</v>
      </c>
      <c r="H12" s="44">
        <f ca="1">'Total Duration Tables'!H159*1000000/'Updated Population'!H158</f>
        <v>50.681031670318568</v>
      </c>
      <c r="I12" s="44">
        <f ca="1">'Total Duration Tables'!I159*1000000/'Updated Population'!I158</f>
        <v>50.144231499683642</v>
      </c>
      <c r="J12" s="44">
        <f ca="1">'Total Duration Tables'!J159*1000000/'Updated Population'!J158</f>
        <v>49.57832121784395</v>
      </c>
      <c r="K12" s="45">
        <f ca="1">'Total Duration Tables'!K159*1000000/'Updated Population'!K158</f>
        <v>48.978060184142777</v>
      </c>
    </row>
    <row r="13" spans="1:11" ht="15.5" x14ac:dyDescent="0.3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5" x14ac:dyDescent="0.35">
      <c r="A14" s="42" t="s">
        <v>64</v>
      </c>
      <c r="B14" s="19">
        <v>0</v>
      </c>
      <c r="C14" s="21">
        <v>0.25</v>
      </c>
      <c r="D14" s="21">
        <v>0.25</v>
      </c>
      <c r="E14" s="21">
        <v>0.25</v>
      </c>
      <c r="F14" s="21">
        <v>0.25</v>
      </c>
      <c r="G14" s="21">
        <v>0.25</v>
      </c>
      <c r="H14" s="21">
        <v>0.25</v>
      </c>
      <c r="I14" s="21">
        <v>0.25</v>
      </c>
      <c r="J14" s="21">
        <v>0.25</v>
      </c>
      <c r="K14" s="22">
        <v>0.25</v>
      </c>
    </row>
    <row r="15" spans="1:11" ht="15.5" x14ac:dyDescent="0.35">
      <c r="A15" s="42" t="s">
        <v>65</v>
      </c>
      <c r="B15" s="19">
        <v>0</v>
      </c>
      <c r="C15" s="21">
        <v>0.25</v>
      </c>
      <c r="D15" s="21">
        <v>0.25</v>
      </c>
      <c r="E15" s="21">
        <v>0.25</v>
      </c>
      <c r="F15" s="21">
        <v>0.25</v>
      </c>
      <c r="G15" s="21">
        <v>0.25</v>
      </c>
      <c r="H15" s="21">
        <v>0.25</v>
      </c>
      <c r="I15" s="21">
        <v>0.25</v>
      </c>
      <c r="J15" s="21">
        <v>0.25</v>
      </c>
      <c r="K15" s="22">
        <v>0.25</v>
      </c>
    </row>
    <row r="16" spans="1:11" ht="15.5" x14ac:dyDescent="0.35">
      <c r="A16" s="38" t="s">
        <v>75</v>
      </c>
      <c r="B16" s="19">
        <v>0</v>
      </c>
      <c r="C16" s="21">
        <v>0</v>
      </c>
      <c r="D16" s="21">
        <v>0.4</v>
      </c>
      <c r="E16" s="21">
        <v>0.8</v>
      </c>
      <c r="F16" s="21">
        <v>1.2</v>
      </c>
      <c r="G16" s="21">
        <v>1.6</v>
      </c>
      <c r="H16" s="21">
        <v>2</v>
      </c>
      <c r="I16" s="21">
        <v>2</v>
      </c>
      <c r="J16" s="21">
        <v>2</v>
      </c>
      <c r="K16" s="22">
        <v>2</v>
      </c>
    </row>
    <row r="17" spans="1:11" ht="15.5" x14ac:dyDescent="0.35">
      <c r="A17" s="38" t="s">
        <v>76</v>
      </c>
      <c r="B17" s="19"/>
      <c r="C17" s="44">
        <f ca="1">'Total Trip Tables'!C160*1000000/'Updated Population'!C158</f>
        <v>15.589781535089383</v>
      </c>
      <c r="D17" s="44">
        <f ca="1">'Total Trip Tables'!D160*1000000/'Updated Population'!D158</f>
        <v>22.994656175721577</v>
      </c>
      <c r="E17" s="44">
        <f ca="1">'Total Trip Tables'!E160*1000000/'Updated Population'!E158</f>
        <v>28.274836202990151</v>
      </c>
      <c r="F17" s="44">
        <f ca="1">'Total Trip Tables'!F160*1000000/'Updated Population'!F158</f>
        <v>33.239868378227833</v>
      </c>
      <c r="G17" s="44">
        <f ca="1">'Total Trip Tables'!G160*1000000/'Updated Population'!G158</f>
        <v>37.930862478870843</v>
      </c>
      <c r="H17" s="44">
        <f ca="1">'Total Trip Tables'!H160*1000000/'Updated Population'!H158</f>
        <v>42.458314304889427</v>
      </c>
      <c r="I17" s="44">
        <f ca="1">'Total Trip Tables'!I160*1000000/'Updated Population'!I158</f>
        <v>42.617901773877037</v>
      </c>
      <c r="J17" s="44">
        <f ca="1">'Total Trip Tables'!J160*1000000/'Updated Population'!J158</f>
        <v>42.747223490149814</v>
      </c>
      <c r="K17" s="45">
        <f ca="1">'Total Trip Tables'!K160*1000000/'Updated Population'!K158</f>
        <v>42.832618282498508</v>
      </c>
    </row>
    <row r="18" spans="1:11" ht="15.5" x14ac:dyDescent="0.35">
      <c r="A18" s="38" t="s">
        <v>81</v>
      </c>
      <c r="B18" s="19">
        <v>0</v>
      </c>
      <c r="C18" s="21">
        <v>0</v>
      </c>
      <c r="D18" s="21">
        <v>0.4</v>
      </c>
      <c r="E18" s="21">
        <v>0.8</v>
      </c>
      <c r="F18" s="21">
        <v>1.2</v>
      </c>
      <c r="G18" s="21">
        <v>1.6</v>
      </c>
      <c r="H18" s="21">
        <v>2</v>
      </c>
      <c r="I18" s="21">
        <v>2</v>
      </c>
      <c r="J18" s="21">
        <v>2</v>
      </c>
      <c r="K18" s="22">
        <v>2</v>
      </c>
    </row>
    <row r="19" spans="1:11" ht="15.5" x14ac:dyDescent="0.35">
      <c r="A19" s="38" t="s">
        <v>82</v>
      </c>
      <c r="B19" s="19"/>
      <c r="C19" s="44">
        <f ca="1">'Total Distance Tables'!C160*1000000/'Updated Population'!C158</f>
        <v>71.232828326136044</v>
      </c>
      <c r="D19" s="44">
        <f ca="1">'Total Distance Tables'!D160*1000000/'Updated Population'!D158</f>
        <v>116.24957503163505</v>
      </c>
      <c r="E19" s="44">
        <f ca="1">'Total Distance Tables'!E160*1000000/'Updated Population'!E158</f>
        <v>143.20190514456527</v>
      </c>
      <c r="F19" s="44">
        <f ca="1">'Total Distance Tables'!F160*1000000/'Updated Population'!F158</f>
        <v>170.74976050043233</v>
      </c>
      <c r="G19" s="44">
        <f ca="1">'Total Distance Tables'!G160*1000000/'Updated Population'!G158</f>
        <v>200.052335041725</v>
      </c>
      <c r="H19" s="44">
        <f ca="1">'Total Distance Tables'!H160*1000000/'Updated Population'!H158</f>
        <v>230.31242340252911</v>
      </c>
      <c r="I19" s="44">
        <f ca="1">'Total Distance Tables'!I160*1000000/'Updated Population'!I158</f>
        <v>229.85902963254603</v>
      </c>
      <c r="J19" s="44">
        <f ca="1">'Total Distance Tables'!J160*1000000/'Updated Population'!J158</f>
        <v>229.03073462092993</v>
      </c>
      <c r="K19" s="45">
        <f ca="1">'Total Distance Tables'!K160*1000000/'Updated Population'!K158</f>
        <v>227.72541679729923</v>
      </c>
    </row>
    <row r="20" spans="1:11" ht="15.5" x14ac:dyDescent="0.35">
      <c r="A20" s="38" t="s">
        <v>83</v>
      </c>
      <c r="B20" s="19">
        <v>0</v>
      </c>
      <c r="C20" s="21">
        <v>0</v>
      </c>
      <c r="D20" s="21">
        <v>0.4</v>
      </c>
      <c r="E20" s="21">
        <v>0.8</v>
      </c>
      <c r="F20" s="21">
        <v>1.2</v>
      </c>
      <c r="G20" s="21">
        <v>1.6</v>
      </c>
      <c r="H20" s="21">
        <v>2</v>
      </c>
      <c r="I20" s="21">
        <v>2</v>
      </c>
      <c r="J20" s="21">
        <v>2</v>
      </c>
      <c r="K20" s="22">
        <v>2</v>
      </c>
    </row>
    <row r="21" spans="1:11" ht="15.5" x14ac:dyDescent="0.35">
      <c r="A21" s="38" t="s">
        <v>84</v>
      </c>
      <c r="B21" s="19"/>
      <c r="C21" s="44">
        <f ca="1">'Total Duration Tables'!C160*1000000/'Updated Population'!C158</f>
        <v>5.6228281577069996</v>
      </c>
      <c r="D21" s="44">
        <f ca="1">'Total Duration Tables'!D160*1000000/'Updated Population'!D158</f>
        <v>8.2510746166883742</v>
      </c>
      <c r="E21" s="44">
        <f ca="1">'Total Duration Tables'!E160*1000000/'Updated Population'!E158</f>
        <v>10.231149666692486</v>
      </c>
      <c r="F21" s="44">
        <f ca="1">'Total Duration Tables'!F160*1000000/'Updated Population'!F158</f>
        <v>12.230001162016764</v>
      </c>
      <c r="G21" s="44">
        <f ca="1">'Total Duration Tables'!G160*1000000/'Updated Population'!G158</f>
        <v>14.34118835505461</v>
      </c>
      <c r="H21" s="44">
        <f ca="1">'Total Duration Tables'!H160*1000000/'Updated Population'!H158</f>
        <v>16.503086059127835</v>
      </c>
      <c r="I21" s="44">
        <f ca="1">'Total Duration Tables'!I160*1000000/'Updated Population'!I158</f>
        <v>16.428279644128402</v>
      </c>
      <c r="J21" s="44">
        <f ca="1">'Total Duration Tables'!J160*1000000/'Updated Population'!J158</f>
        <v>16.340932240598978</v>
      </c>
      <c r="K21" s="45">
        <f ca="1">'Total Duration Tables'!K160*1000000/'Updated Population'!K158</f>
        <v>16.238115736595287</v>
      </c>
    </row>
    <row r="22" spans="1:11" ht="15.5" x14ac:dyDescent="0.35">
      <c r="A22" s="38" t="s">
        <v>61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5" x14ac:dyDescent="0.35">
      <c r="A23" s="42" t="s">
        <v>64</v>
      </c>
      <c r="B23" s="19">
        <v>0</v>
      </c>
      <c r="C23" s="21">
        <v>0.25</v>
      </c>
      <c r="D23" s="21">
        <v>0.25</v>
      </c>
      <c r="E23" s="21">
        <v>0.25</v>
      </c>
      <c r="F23" s="21">
        <v>0.25</v>
      </c>
      <c r="G23" s="21">
        <v>0.25</v>
      </c>
      <c r="H23" s="21">
        <v>0.25</v>
      </c>
      <c r="I23" s="21">
        <v>0.25</v>
      </c>
      <c r="J23" s="21">
        <v>0.25</v>
      </c>
      <c r="K23" s="22">
        <v>0.25</v>
      </c>
    </row>
    <row r="24" spans="1:11" ht="16" thickBot="1" x14ac:dyDescent="0.4">
      <c r="A24" s="43" t="s">
        <v>65</v>
      </c>
      <c r="B24" s="24">
        <v>0</v>
      </c>
      <c r="C24" s="26">
        <v>0.25</v>
      </c>
      <c r="D24" s="26">
        <v>0.25</v>
      </c>
      <c r="E24" s="26">
        <v>0.25</v>
      </c>
      <c r="F24" s="26">
        <v>0.25</v>
      </c>
      <c r="G24" s="26">
        <v>0.25</v>
      </c>
      <c r="H24" s="26">
        <v>0.25</v>
      </c>
      <c r="I24" s="26">
        <v>0.25</v>
      </c>
      <c r="J24" s="26">
        <v>0.25</v>
      </c>
      <c r="K24" s="27">
        <v>0.25</v>
      </c>
    </row>
    <row r="25" spans="1:11" ht="13" thickTop="1" x14ac:dyDescent="0.25"/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K60"/>
  <sheetViews>
    <sheetView workbookViewId="0">
      <selection activeCell="H72" sqref="H72"/>
    </sheetView>
  </sheetViews>
  <sheetFormatPr defaultRowHeight="12.5" x14ac:dyDescent="0.25"/>
  <cols>
    <col min="1" max="1" width="76.1796875" customWidth="1"/>
    <col min="2" max="11" width="17.81640625" customWidth="1"/>
  </cols>
  <sheetData>
    <row r="2" spans="1:11" ht="13" thickBot="1" x14ac:dyDescent="0.3"/>
    <row r="3" spans="1:11" ht="16" thickTop="1" x14ac:dyDescent="0.35">
      <c r="A3" s="6" t="s">
        <v>60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3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" thickTop="1" thickBot="1" x14ac:dyDescent="0.3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" thickTop="1" x14ac:dyDescent="0.35">
      <c r="A6" s="16" t="s">
        <v>34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5" x14ac:dyDescent="0.35">
      <c r="A7" s="38" t="s">
        <v>85</v>
      </c>
      <c r="B7" s="46">
        <f>'[1]Transition '!B$30-1</f>
        <v>-5.1909862460461476E-2</v>
      </c>
      <c r="C7" s="21">
        <f>'[1]Transition '!C$30-1</f>
        <v>0.92922336892219826</v>
      </c>
      <c r="D7" s="21">
        <f>'[1]Transition '!D$30-1</f>
        <v>2.123397949541312</v>
      </c>
      <c r="E7" s="21">
        <f>'[1]Transition '!E$30-1</f>
        <v>3.1465737157088958</v>
      </c>
      <c r="F7" s="21">
        <f>'[1]Transition '!F$30-1</f>
        <v>3.48351564957657</v>
      </c>
      <c r="G7" s="21">
        <f>'[1]Transition '!G$30-1</f>
        <v>3.8558252426324851</v>
      </c>
      <c r="H7" s="21">
        <f>'[1]Transition '!H$30-1</f>
        <v>4.2294284789181615</v>
      </c>
      <c r="I7" s="21">
        <f>'[1]Transition '!I$30-1</f>
        <v>4.5298819820419149</v>
      </c>
      <c r="J7" s="21">
        <f>'[1]Transition '!J$30-1</f>
        <v>4.8442434518179809</v>
      </c>
      <c r="K7" s="22">
        <f>'[1]Transition '!K$30-1</f>
        <v>5.1897779032082072</v>
      </c>
    </row>
    <row r="8" spans="1:11" ht="15.5" x14ac:dyDescent="0.35">
      <c r="A8" s="38" t="s">
        <v>87</v>
      </c>
      <c r="B8" s="51">
        <f ca="1">'Total Trip Tables Sup #2'!B22</f>
        <v>10.038805999999999</v>
      </c>
      <c r="C8" s="44">
        <f ca="1">'Total Trip Tables Sup #2'!C22</f>
        <v>22.712377671536682</v>
      </c>
      <c r="D8" s="44">
        <f ca="1">'Total Trip Tables Sup #2'!D22</f>
        <v>39.099194663844074</v>
      </c>
      <c r="E8" s="44">
        <f ca="1">'Total Trip Tables Sup #2'!E22</f>
        <v>54.39269264550402</v>
      </c>
      <c r="F8" s="44">
        <f ca="1">'Total Trip Tables Sup #2'!F22</f>
        <v>60.719225183593366</v>
      </c>
      <c r="G8" s="44">
        <f ca="1">'Total Trip Tables Sup #2'!G22</f>
        <v>66.718141409283945</v>
      </c>
      <c r="H8" s="44">
        <f ca="1">'Total Trip Tables Sup #2'!H22</f>
        <v>72.281635131747578</v>
      </c>
      <c r="I8" s="44">
        <f ca="1">'Total Trip Tables Sup #2'!I22</f>
        <v>79.719333466498298</v>
      </c>
      <c r="J8" s="44">
        <f ca="1">'Total Trip Tables Sup #2'!J22</f>
        <v>87.592215515237953</v>
      </c>
      <c r="K8" s="45">
        <f ca="1">'Total Trip Tables Sup #2'!K22</f>
        <v>96.242603710330599</v>
      </c>
    </row>
    <row r="9" spans="1:11" ht="15.5" x14ac:dyDescent="0.35">
      <c r="A9" s="38" t="s">
        <v>94</v>
      </c>
      <c r="B9" s="46">
        <f>'[1]Transition '!B$31-1</f>
        <v>0.25664940432640004</v>
      </c>
      <c r="C9" s="21">
        <f>'[1]Transition '!C$31-1</f>
        <v>1.2936556106006964</v>
      </c>
      <c r="D9" s="21">
        <f>'[1]Transition '!D$31-1</f>
        <v>3.3203624402873233</v>
      </c>
      <c r="E9" s="21">
        <f>'[1]Transition '!E$31-1</f>
        <v>5.0760797357522387</v>
      </c>
      <c r="F9" s="21">
        <f>'[1]Transition '!F$31-1</f>
        <v>5.6819455632741089</v>
      </c>
      <c r="G9" s="21">
        <f>'[1]Transition '!G$31-1</f>
        <v>6.312884286797189</v>
      </c>
      <c r="H9" s="21">
        <f>'[1]Transition '!H$31-1</f>
        <v>6.934249919146402</v>
      </c>
      <c r="I9" s="21">
        <f>'[1]Transition '!I$31-1</f>
        <v>7.468889343292652</v>
      </c>
      <c r="J9" s="21">
        <f>'[1]Transition '!J$31-1</f>
        <v>8.0276532051720597</v>
      </c>
      <c r="K9" s="22">
        <f>'[1]Transition '!K$31-1</f>
        <v>8.6440090170115429</v>
      </c>
    </row>
    <row r="10" spans="1:11" ht="15.5" x14ac:dyDescent="0.35">
      <c r="A10" s="38" t="s">
        <v>89</v>
      </c>
      <c r="B10" s="51">
        <f ca="1">'Total Distance Tables Sup #2'!B22</f>
        <v>158.68929399999999</v>
      </c>
      <c r="C10" s="44">
        <f ca="1">'Total Distance Tables Sup #2'!C22</f>
        <v>326.34854930533783</v>
      </c>
      <c r="D10" s="44">
        <f ca="1">'Total Distance Tables Sup #2'!D22</f>
        <v>643.51681513781534</v>
      </c>
      <c r="E10" s="44">
        <f ca="1">'Total Distance Tables Sup #2'!E22</f>
        <v>929.80124160121557</v>
      </c>
      <c r="F10" s="44">
        <f ca="1">'Total Distance Tables Sup #2'!F22</f>
        <v>1039.678628540591</v>
      </c>
      <c r="G10" s="44">
        <f ca="1">'Total Distance Tables Sup #2'!G22</f>
        <v>1137.7629167790537</v>
      </c>
      <c r="H10" s="44">
        <f ca="1">'Total Distance Tables Sup #2'!H22</f>
        <v>1223.3833636992292</v>
      </c>
      <c r="I10" s="44">
        <f ca="1">'Total Distance Tables Sup #2'!I22</f>
        <v>1331.6723139966803</v>
      </c>
      <c r="J10" s="44">
        <f ca="1">'Total Distance Tables Sup #2'!J22</f>
        <v>1442.2846292093457</v>
      </c>
      <c r="K10" s="45">
        <f ca="1">'Total Distance Tables Sup #2'!K22</f>
        <v>1561.239876640476</v>
      </c>
    </row>
    <row r="11" spans="1:11" ht="15.5" x14ac:dyDescent="0.35">
      <c r="A11" s="38" t="s">
        <v>95</v>
      </c>
      <c r="B11" s="46">
        <f>'[1]Transition '!B$32-1</f>
        <v>0.25664940432640004</v>
      </c>
      <c r="C11" s="21">
        <f>'[1]Transition '!C$32-1</f>
        <v>1.2925800761473454</v>
      </c>
      <c r="D11" s="21">
        <f>'[1]Transition '!D$32-1</f>
        <v>3.30712661223588</v>
      </c>
      <c r="E11" s="21">
        <f>'[1]Transition '!E$32-1</f>
        <v>5.0634122924469587</v>
      </c>
      <c r="F11" s="21">
        <f>'[1]Transition '!F$32-1</f>
        <v>5.6970856810023145</v>
      </c>
      <c r="G11" s="21">
        <f>'[1]Transition '!G$32-1</f>
        <v>6.3312050555085744</v>
      </c>
      <c r="H11" s="21">
        <f>'[1]Transition '!H$32-1</f>
        <v>6.9587296700766048</v>
      </c>
      <c r="I11" s="21">
        <f>'[1]Transition '!I$32-1</f>
        <v>7.4950186313654861</v>
      </c>
      <c r="J11" s="21">
        <f>'[1]Transition '!J$32-1</f>
        <v>8.0555064621527315</v>
      </c>
      <c r="K11" s="22">
        <f>'[1]Transition '!K$32-1</f>
        <v>8.6737639328650715</v>
      </c>
    </row>
    <row r="12" spans="1:11" ht="15.5" x14ac:dyDescent="0.35">
      <c r="A12" s="38" t="s">
        <v>92</v>
      </c>
      <c r="B12" s="44">
        <f ca="1">'Total Duration Tables Sup #2'!B22</f>
        <v>5.3839181294388831</v>
      </c>
      <c r="C12" s="44">
        <f ca="1">'Total Duration Tables Sup #2'!C22</f>
        <v>11.074578130869721</v>
      </c>
      <c r="D12" s="44">
        <f ca="1">'Total Duration Tables Sup #2'!D22</f>
        <v>21.839794770443245</v>
      </c>
      <c r="E12" s="44">
        <f ca="1">'Total Duration Tables Sup #2'!E22</f>
        <v>31.53544472951382</v>
      </c>
      <c r="F12" s="44">
        <f ca="1">'Total Duration Tables Sup #2'!F22</f>
        <v>35.238193121858139</v>
      </c>
      <c r="G12" s="44">
        <f ca="1">'Total Duration Tables Sup #2'!G22</f>
        <v>38.518961716011638</v>
      </c>
      <c r="H12" s="44">
        <f ca="1">'Total Duration Tables Sup #2'!H22</f>
        <v>41.364812303611785</v>
      </c>
      <c r="I12" s="44">
        <f ca="1">'Total Duration Tables Sup #2'!I22</f>
        <v>45.026258287366758</v>
      </c>
      <c r="J12" s="44">
        <f ca="1">'Total Duration Tables Sup #2'!J22</f>
        <v>48.766261456450842</v>
      </c>
      <c r="K12" s="45">
        <f ca="1">'Total Duration Tables Sup #2'!K22</f>
        <v>52.788354308555483</v>
      </c>
    </row>
    <row r="13" spans="1:11" ht="15.5" x14ac:dyDescent="0.3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5" x14ac:dyDescent="0.35">
      <c r="A14" s="42" t="s">
        <v>62</v>
      </c>
      <c r="B14" s="4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15.5" x14ac:dyDescent="0.35">
      <c r="A15" s="42" t="s">
        <v>63</v>
      </c>
      <c r="B15" s="4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5.5" x14ac:dyDescent="0.35">
      <c r="A16" s="42" t="s">
        <v>64</v>
      </c>
      <c r="B16" s="46">
        <v>0.25</v>
      </c>
      <c r="C16" s="21">
        <v>0.25</v>
      </c>
      <c r="D16" s="21">
        <v>0.25</v>
      </c>
      <c r="E16" s="21">
        <v>0.25</v>
      </c>
      <c r="F16" s="21">
        <v>0.25</v>
      </c>
      <c r="G16" s="21">
        <v>0.25</v>
      </c>
      <c r="H16" s="21">
        <v>0.25</v>
      </c>
      <c r="I16" s="21">
        <v>0.25</v>
      </c>
      <c r="J16" s="21">
        <v>0.25</v>
      </c>
      <c r="K16" s="22">
        <v>0.25</v>
      </c>
    </row>
    <row r="17" spans="1:11" ht="15.5" x14ac:dyDescent="0.35">
      <c r="A17" s="42" t="s">
        <v>65</v>
      </c>
      <c r="B17" s="46">
        <v>0.25</v>
      </c>
      <c r="C17" s="21">
        <v>0.25</v>
      </c>
      <c r="D17" s="21">
        <v>0.25</v>
      </c>
      <c r="E17" s="21">
        <v>0.25</v>
      </c>
      <c r="F17" s="21">
        <v>0.25</v>
      </c>
      <c r="G17" s="21">
        <v>0.25</v>
      </c>
      <c r="H17" s="21">
        <v>0.25</v>
      </c>
      <c r="I17" s="21">
        <v>0.25</v>
      </c>
      <c r="J17" s="21">
        <v>0.25</v>
      </c>
      <c r="K17" s="22">
        <v>0.25</v>
      </c>
    </row>
    <row r="18" spans="1:11" ht="15.5" x14ac:dyDescent="0.35">
      <c r="A18" s="42" t="s">
        <v>66</v>
      </c>
      <c r="B18" s="46">
        <v>0.5</v>
      </c>
      <c r="C18" s="21">
        <v>0.5</v>
      </c>
      <c r="D18" s="21">
        <v>0.5</v>
      </c>
      <c r="E18" s="21">
        <v>0.5</v>
      </c>
      <c r="F18" s="21">
        <v>0.5</v>
      </c>
      <c r="G18" s="21">
        <v>0.5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5" x14ac:dyDescent="0.35">
      <c r="A19" s="38" t="s">
        <v>96</v>
      </c>
      <c r="B19" s="46">
        <f>'[1]Transition '!B$33-1</f>
        <v>-1.6053243572075382E-2</v>
      </c>
      <c r="C19" s="21">
        <f>'[1]Transition '!C$33-1</f>
        <v>8.3007539104317685E-2</v>
      </c>
      <c r="D19" s="21">
        <f>'[1]Transition '!D$33-1</f>
        <v>0.1584383991115319</v>
      </c>
      <c r="E19" s="21">
        <f>'[1]Transition '!E$33-1</f>
        <v>0.21301294727609377</v>
      </c>
      <c r="F19" s="21">
        <f>'[1]Transition '!F$33-1</f>
        <v>0.28089776340169403</v>
      </c>
      <c r="G19" s="21">
        <f>'[1]Transition '!G$33-1</f>
        <v>0.34574086129613635</v>
      </c>
      <c r="H19" s="21">
        <f>'[1]Transition '!H$33-1</f>
        <v>0.41451693086053498</v>
      </c>
      <c r="I19" s="21">
        <f>'[1]Transition '!I$33-1</f>
        <v>0.45987702580468892</v>
      </c>
      <c r="J19" s="21">
        <f>'[1]Transition '!J$33-1</f>
        <v>0.50827594099222151</v>
      </c>
      <c r="K19" s="22">
        <f>'[1]Transition '!K$33-1</f>
        <v>0.56163546803384534</v>
      </c>
    </row>
    <row r="20" spans="1:11" ht="15.5" x14ac:dyDescent="0.35">
      <c r="A20" s="38" t="s">
        <v>88</v>
      </c>
      <c r="B20" s="51">
        <f ca="1">'Total Trip Tables Sup #2'!B23</f>
        <v>53.530078000000003</v>
      </c>
      <c r="C20" s="44">
        <f ca="1">'Total Trip Tables Sup #2'!C23</f>
        <v>63.569180113505666</v>
      </c>
      <c r="D20" s="44">
        <f ca="1">'Total Trip Tables Sup #2'!D23</f>
        <v>70.513002937881325</v>
      </c>
      <c r="E20" s="44">
        <f ca="1">'Total Trip Tables Sup #2'!E23</f>
        <v>74.682530616756566</v>
      </c>
      <c r="F20" s="44">
        <f ca="1">'Total Trip Tables Sup #2'!F23</f>
        <v>78.186085417313038</v>
      </c>
      <c r="G20" s="44">
        <f ca="1">'Total Trip Tables Sup #2'!G23</f>
        <v>80.965583865888775</v>
      </c>
      <c r="H20" s="44">
        <f ca="1">'Total Trip Tables Sup #2'!H23</f>
        <v>83.085303403461765</v>
      </c>
      <c r="I20" s="44">
        <f ca="1">'Total Trip Tables Sup #2'!I23</f>
        <v>89.43476898763906</v>
      </c>
      <c r="J20" s="44">
        <f ca="1">'Total Trip Tables Sup #2'!J23</f>
        <v>96.063926782349625</v>
      </c>
      <c r="K20" s="45">
        <f ca="1">'Total Trip Tables Sup #2'!K23</f>
        <v>103.18445648492796</v>
      </c>
    </row>
    <row r="21" spans="1:11" ht="15.5" x14ac:dyDescent="0.35">
      <c r="A21" s="38" t="s">
        <v>97</v>
      </c>
      <c r="B21" s="46">
        <f>'[1]Transition '!B$34-1</f>
        <v>-1.105176939772301E-3</v>
      </c>
      <c r="C21" s="21">
        <f>'[1]Transition '!C$34-1</f>
        <v>4.661368971355051E-3</v>
      </c>
      <c r="D21" s="21">
        <f>'[1]Transition '!D$34-1</f>
        <v>0.2907847563447119</v>
      </c>
      <c r="E21" s="21">
        <f>'[1]Transition '!E$34-1</f>
        <v>0.53917285241550417</v>
      </c>
      <c r="F21" s="21">
        <f>'[1]Transition '!F$34-1</f>
        <v>0.67393462136734361</v>
      </c>
      <c r="G21" s="21">
        <f>'[1]Transition '!G$34-1</f>
        <v>0.79975702617632272</v>
      </c>
      <c r="H21" s="21">
        <f>'[1]Transition '!H$34-1</f>
        <v>0.92891868394525856</v>
      </c>
      <c r="I21" s="21">
        <f>'[1]Transition '!I$34-1</f>
        <v>1.0200758711641384</v>
      </c>
      <c r="J21" s="21">
        <f>'[1]Transition '!J$34-1</f>
        <v>1.1158111479412391</v>
      </c>
      <c r="K21" s="22">
        <f>'[1]Transition '!K$34-1</f>
        <v>1.2208562669733793</v>
      </c>
    </row>
    <row r="22" spans="1:11" ht="15.5" x14ac:dyDescent="0.35">
      <c r="A22" s="38" t="s">
        <v>90</v>
      </c>
      <c r="B22" s="51">
        <f ca="1">'Total Distance Tables Sup #2'!B23</f>
        <v>438.79018300000001</v>
      </c>
      <c r="C22" s="44">
        <f ca="1">'Total Distance Tables Sup #2'!C23</f>
        <v>481.01167058374421</v>
      </c>
      <c r="D22" s="44">
        <f ca="1">'Total Distance Tables Sup #2'!D23</f>
        <v>631.28193164418485</v>
      </c>
      <c r="E22" s="44">
        <f ca="1">'Total Distance Tables Sup #2'!E23</f>
        <v>752.87508463217375</v>
      </c>
      <c r="F22" s="44">
        <f ca="1">'Total Distance Tables Sup #2'!F23</f>
        <v>800.56506126207864</v>
      </c>
      <c r="G22" s="44">
        <f ca="1">'Total Distance Tables Sup #2'!G23</f>
        <v>837.91287514002806</v>
      </c>
      <c r="H22" s="44">
        <f ca="1">'Total Distance Tables Sup #2'!H23</f>
        <v>866.23922953106933</v>
      </c>
      <c r="I22" s="44">
        <f ca="1">'Total Distance Tables Sup #2'!I23</f>
        <v>925.13652458781769</v>
      </c>
      <c r="J22" s="44">
        <f ca="1">'Total Distance Tables Sup #2'!J23</f>
        <v>984.51025099240621</v>
      </c>
      <c r="K22" s="45">
        <f ca="1">'Total Distance Tables Sup #2'!K23</f>
        <v>1047.1278569679457</v>
      </c>
    </row>
    <row r="23" spans="1:11" ht="15.5" x14ac:dyDescent="0.35">
      <c r="A23" s="38" t="s">
        <v>98</v>
      </c>
      <c r="B23" s="46">
        <f>'[1]Transition '!B$35-1</f>
        <v>-1.105176939772412E-3</v>
      </c>
      <c r="C23" s="21">
        <f>'[1]Transition '!C$35-1</f>
        <v>6.1853723655385107E-3</v>
      </c>
      <c r="D23" s="21">
        <f>'[1]Transition '!D$35-1</f>
        <v>0.2974079117855295</v>
      </c>
      <c r="E23" s="21">
        <f>'[1]Transition '!E$35-1</f>
        <v>0.54739864059758503</v>
      </c>
      <c r="F23" s="21">
        <f>'[1]Transition '!F$35-1</f>
        <v>0.68054375504779108</v>
      </c>
      <c r="G23" s="21">
        <f>'[1]Transition '!G$35-1</f>
        <v>0.8045473728694712</v>
      </c>
      <c r="H23" s="21">
        <f>'[1]Transition '!H$35-1</f>
        <v>0.93118676803981226</v>
      </c>
      <c r="I23" s="21">
        <f>'[1]Transition '!I$35-1</f>
        <v>1.0224511407860848</v>
      </c>
      <c r="J23" s="21">
        <f>'[1]Transition '!J$35-1</f>
        <v>1.1182989861542576</v>
      </c>
      <c r="K23" s="22">
        <f>'[1]Transition '!K$35-1</f>
        <v>1.2234676205868502</v>
      </c>
    </row>
    <row r="24" spans="1:11" ht="15.5" x14ac:dyDescent="0.35">
      <c r="A24" s="38" t="s">
        <v>91</v>
      </c>
      <c r="B24" s="51">
        <f ca="1">'Total Duration Tables Sup #2'!B23</f>
        <v>22.597670440041398</v>
      </c>
      <c r="C24" s="44">
        <f ca="1">'Total Duration Tables Sup #2'!C23</f>
        <v>24.781314290799855</v>
      </c>
      <c r="D24" s="44">
        <f ca="1">'Total Duration Tables Sup #2'!D23</f>
        <v>32.53408059712978</v>
      </c>
      <c r="E24" s="44">
        <f ca="1">'Total Duration Tables Sup #2'!E23</f>
        <v>38.565889802480257</v>
      </c>
      <c r="F24" s="44">
        <f ca="1">'Total Duration Tables Sup #2'!F23</f>
        <v>40.74764317830293</v>
      </c>
      <c r="G24" s="44">
        <f ca="1">'Total Duration Tables Sup #2'!G23</f>
        <v>42.362191298464957</v>
      </c>
      <c r="H24" s="44">
        <f ca="1">'Total Duration Tables Sup #2'!H23</f>
        <v>43.48371088178726</v>
      </c>
      <c r="I24" s="44">
        <f ca="1">'Total Duration Tables Sup #2'!I23</f>
        <v>46.440253211731587</v>
      </c>
      <c r="J24" s="44">
        <f ca="1">'Total Duration Tables Sup #2'!J23</f>
        <v>49.420711571195497</v>
      </c>
      <c r="K24" s="45">
        <f ca="1">'Total Duration Tables Sup #2'!K23</f>
        <v>52.564007073783188</v>
      </c>
    </row>
    <row r="25" spans="1:11" ht="15.5" x14ac:dyDescent="0.35">
      <c r="A25" s="38" t="s">
        <v>61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15.5" x14ac:dyDescent="0.35">
      <c r="A26" s="42" t="s">
        <v>62</v>
      </c>
      <c r="B26" s="46">
        <v>0.05</v>
      </c>
      <c r="C26" s="21">
        <v>0.05</v>
      </c>
      <c r="D26" s="21">
        <v>0.05</v>
      </c>
      <c r="E26" s="21">
        <v>0.05</v>
      </c>
      <c r="F26" s="21">
        <v>0.05</v>
      </c>
      <c r="G26" s="21">
        <v>0.05</v>
      </c>
      <c r="H26" s="21">
        <v>0.05</v>
      </c>
      <c r="I26" s="21">
        <v>0.05</v>
      </c>
      <c r="J26" s="21">
        <v>0.05</v>
      </c>
      <c r="K26" s="22">
        <v>0.05</v>
      </c>
    </row>
    <row r="27" spans="1:11" ht="15.5" x14ac:dyDescent="0.35">
      <c r="A27" s="42" t="s">
        <v>63</v>
      </c>
      <c r="B27" s="4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5.5" x14ac:dyDescent="0.35">
      <c r="A28" s="42" t="s">
        <v>64</v>
      </c>
      <c r="B28" s="46">
        <v>0.4</v>
      </c>
      <c r="C28" s="21">
        <v>0.4</v>
      </c>
      <c r="D28" s="21">
        <v>0.4</v>
      </c>
      <c r="E28" s="21">
        <v>0.4</v>
      </c>
      <c r="F28" s="21">
        <v>0.4</v>
      </c>
      <c r="G28" s="21">
        <v>0.4</v>
      </c>
      <c r="H28" s="21">
        <v>0.4</v>
      </c>
      <c r="I28" s="21">
        <v>0.4</v>
      </c>
      <c r="J28" s="21">
        <v>0.4</v>
      </c>
      <c r="K28" s="22">
        <v>0.4</v>
      </c>
    </row>
    <row r="29" spans="1:11" ht="15.5" x14ac:dyDescent="0.35">
      <c r="A29" s="42" t="s">
        <v>65</v>
      </c>
      <c r="B29" s="46">
        <v>0.4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2">
        <v>0.4</v>
      </c>
    </row>
    <row r="30" spans="1:11" ht="15.5" x14ac:dyDescent="0.35">
      <c r="A30" s="47" t="s">
        <v>86</v>
      </c>
      <c r="B30" s="46">
        <f>'[1]Summary Data'!$B$32-1</f>
        <v>0.15049422239561072</v>
      </c>
      <c r="C30" s="21">
        <f>B30</f>
        <v>0.15049422239561072</v>
      </c>
      <c r="D30" s="21">
        <f t="shared" ref="D30:K30" si="0">C30</f>
        <v>0.15049422239561072</v>
      </c>
      <c r="E30" s="21">
        <f t="shared" si="0"/>
        <v>0.15049422239561072</v>
      </c>
      <c r="F30" s="21">
        <f t="shared" si="0"/>
        <v>0.15049422239561072</v>
      </c>
      <c r="G30" s="21">
        <f t="shared" si="0"/>
        <v>0.15049422239561072</v>
      </c>
      <c r="H30" s="21">
        <f t="shared" si="0"/>
        <v>0.15049422239561072</v>
      </c>
      <c r="I30" s="21">
        <f t="shared" si="0"/>
        <v>0.15049422239561072</v>
      </c>
      <c r="J30" s="21">
        <f t="shared" si="0"/>
        <v>0.15049422239561072</v>
      </c>
      <c r="K30" s="22">
        <f t="shared" si="0"/>
        <v>0.15049422239561072</v>
      </c>
    </row>
    <row r="31" spans="1:11" ht="15.5" x14ac:dyDescent="0.35">
      <c r="A31" s="38" t="s">
        <v>93</v>
      </c>
      <c r="B31" s="51">
        <f ca="1">'Total Trip Tables Sup #2'!B24</f>
        <v>4.957052</v>
      </c>
      <c r="C31" s="44">
        <f ca="1">'Total Trip Tables Sup #2'!C24</f>
        <v>5.8147649084745439</v>
      </c>
      <c r="D31" s="44">
        <f ca="1">'Total Trip Tables Sup #2'!D24</f>
        <v>6.4867810972856068</v>
      </c>
      <c r="E31" s="44">
        <f ca="1">'Total Trip Tables Sup #2'!E24</f>
        <v>6.9196096438392969</v>
      </c>
      <c r="F31" s="44">
        <f ca="1">'Total Trip Tables Sup #2'!F24</f>
        <v>7.2446200748490117</v>
      </c>
      <c r="G31" s="44">
        <f ca="1">'Total Trip Tables Sup #2'!G24</f>
        <v>7.7037579546684265</v>
      </c>
      <c r="H31" s="44">
        <f ca="1">'Total Trip Tables Sup #2'!H24</f>
        <v>8.0980321201952492</v>
      </c>
      <c r="I31" s="44">
        <f ca="1">'Total Trip Tables Sup #2'!I24</f>
        <v>8.3146086216046413</v>
      </c>
      <c r="J31" s="44">
        <f ca="1">'Total Trip Tables Sup #2'!J24</f>
        <v>8.5116753755108654</v>
      </c>
      <c r="K31" s="45">
        <f ca="1">'Total Trip Tables Sup #2'!K24</f>
        <v>8.696608048742597</v>
      </c>
    </row>
    <row r="32" spans="1:11" ht="15.5" x14ac:dyDescent="0.35">
      <c r="A32" s="47" t="s">
        <v>99</v>
      </c>
      <c r="B32" s="46">
        <f>'[1]Summary Data'!$B$32-1</f>
        <v>0.15049422239561072</v>
      </c>
      <c r="C32" s="21">
        <f>B32</f>
        <v>0.15049422239561072</v>
      </c>
      <c r="D32" s="21">
        <f t="shared" ref="D32:K32" si="1">C32</f>
        <v>0.15049422239561072</v>
      </c>
      <c r="E32" s="21">
        <f t="shared" si="1"/>
        <v>0.15049422239561072</v>
      </c>
      <c r="F32" s="21">
        <f t="shared" si="1"/>
        <v>0.15049422239561072</v>
      </c>
      <c r="G32" s="21">
        <f t="shared" si="1"/>
        <v>0.15049422239561072</v>
      </c>
      <c r="H32" s="21">
        <f t="shared" si="1"/>
        <v>0.15049422239561072</v>
      </c>
      <c r="I32" s="21">
        <f t="shared" si="1"/>
        <v>0.15049422239561072</v>
      </c>
      <c r="J32" s="21">
        <f t="shared" si="1"/>
        <v>0.15049422239561072</v>
      </c>
      <c r="K32" s="22">
        <f t="shared" si="1"/>
        <v>0.15049422239561072</v>
      </c>
    </row>
    <row r="33" spans="1:11" ht="15.5" x14ac:dyDescent="0.35">
      <c r="A33" s="38" t="s">
        <v>100</v>
      </c>
      <c r="B33" s="51">
        <f ca="1">'Total Distance Tables Sup #2'!B24</f>
        <v>0</v>
      </c>
      <c r="C33" s="44">
        <f ca="1">'Total Distance Tables Sup #2'!C24</f>
        <v>0</v>
      </c>
      <c r="D33" s="44">
        <f ca="1">'Total Distance Tables Sup #2'!D24</f>
        <v>0</v>
      </c>
      <c r="E33" s="44">
        <f ca="1">'Total Distance Tables Sup #2'!E24</f>
        <v>0</v>
      </c>
      <c r="F33" s="44">
        <f ca="1">'Total Distance Tables Sup #2'!F24</f>
        <v>0</v>
      </c>
      <c r="G33" s="44">
        <f ca="1">'Total Distance Tables Sup #2'!G24</f>
        <v>0</v>
      </c>
      <c r="H33" s="44">
        <f ca="1">'Total Distance Tables Sup #2'!H24</f>
        <v>0</v>
      </c>
      <c r="I33" s="44">
        <f ca="1">'Total Distance Tables Sup #2'!I24</f>
        <v>0</v>
      </c>
      <c r="J33" s="44">
        <f ca="1">'Total Distance Tables Sup #2'!J24</f>
        <v>0</v>
      </c>
      <c r="K33" s="45">
        <f ca="1">'Total Distance Tables Sup #2'!K24</f>
        <v>0</v>
      </c>
    </row>
    <row r="34" spans="1:11" ht="15.5" x14ac:dyDescent="0.35">
      <c r="A34" s="47" t="s">
        <v>101</v>
      </c>
      <c r="B34" s="46">
        <f>'[1]Summary Data'!$B$32-1</f>
        <v>0.15049422239561072</v>
      </c>
      <c r="C34" s="21">
        <f>B34</f>
        <v>0.15049422239561072</v>
      </c>
      <c r="D34" s="21">
        <f t="shared" ref="D34:K34" si="2">C34</f>
        <v>0.15049422239561072</v>
      </c>
      <c r="E34" s="21">
        <f t="shared" si="2"/>
        <v>0.15049422239561072</v>
      </c>
      <c r="F34" s="21">
        <f t="shared" si="2"/>
        <v>0.15049422239561072</v>
      </c>
      <c r="G34" s="21">
        <f t="shared" si="2"/>
        <v>0.15049422239561072</v>
      </c>
      <c r="H34" s="21">
        <f t="shared" si="2"/>
        <v>0.15049422239561072</v>
      </c>
      <c r="I34" s="21">
        <f t="shared" si="2"/>
        <v>0.15049422239561072</v>
      </c>
      <c r="J34" s="21">
        <f t="shared" si="2"/>
        <v>0.15049422239561072</v>
      </c>
      <c r="K34" s="22">
        <f t="shared" si="2"/>
        <v>0.15049422239561072</v>
      </c>
    </row>
    <row r="35" spans="1:11" ht="16" thickBot="1" x14ac:dyDescent="0.4">
      <c r="A35" s="48" t="s">
        <v>102</v>
      </c>
      <c r="B35" s="52">
        <f ca="1">'Total Duration Tables Sup #2'!B24</f>
        <v>1.3948644118033415</v>
      </c>
      <c r="C35" s="49">
        <f ca="1">'Total Duration Tables Sup #2'!C24</f>
        <v>1.6435488752656755</v>
      </c>
      <c r="D35" s="49">
        <f ca="1">'Total Duration Tables Sup #2'!D24</f>
        <v>1.7874298590558957</v>
      </c>
      <c r="E35" s="49">
        <f ca="1">'Total Duration Tables Sup #2'!E24</f>
        <v>1.8724514195006947</v>
      </c>
      <c r="F35" s="49">
        <f ca="1">'Total Duration Tables Sup #2'!F24</f>
        <v>1.9268384717225777</v>
      </c>
      <c r="G35" s="49">
        <f ca="1">'Total Duration Tables Sup #2'!G24</f>
        <v>2.0063656911537984</v>
      </c>
      <c r="H35" s="49">
        <f ca="1">'Total Duration Tables Sup #2'!H24</f>
        <v>2.065013934439472</v>
      </c>
      <c r="I35" s="49">
        <f ca="1">'Total Duration Tables Sup #2'!I24</f>
        <v>2.0727661423118571</v>
      </c>
      <c r="J35" s="49">
        <f ca="1">'Total Duration Tables Sup #2'!J24</f>
        <v>2.0733398573049224</v>
      </c>
      <c r="K35" s="50">
        <f ca="1">'Total Duration Tables Sup #2'!K24</f>
        <v>2.0688231648075197</v>
      </c>
    </row>
    <row r="36" spans="1:11" ht="16" thickTop="1" x14ac:dyDescent="0.35">
      <c r="A36" s="16" t="s">
        <v>41</v>
      </c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5" x14ac:dyDescent="0.35">
      <c r="A37" s="38" t="s">
        <v>85</v>
      </c>
      <c r="B37" s="46">
        <f>'[2]Transition '!B30-1</f>
        <v>0.21688989289779315</v>
      </c>
      <c r="C37" s="21">
        <f>'[2]Transition '!C30-1</f>
        <v>0.24326786449309079</v>
      </c>
      <c r="D37" s="21">
        <f>'[2]Transition '!D30-1</f>
        <v>0.32787008316285227</v>
      </c>
      <c r="E37" s="21">
        <f>'[2]Transition '!E30-1</f>
        <v>0.40370877883460654</v>
      </c>
      <c r="F37" s="21">
        <f>'[2]Transition '!F30-1</f>
        <v>0.4638936117321586</v>
      </c>
      <c r="G37" s="21">
        <f>'[2]Transition '!G30-1</f>
        <v>0.51438571516721865</v>
      </c>
      <c r="H37" s="21">
        <f>'[2]Transition '!H30-1</f>
        <v>0.56740220237371664</v>
      </c>
      <c r="I37" s="21">
        <f>'[2]Transition '!I30-1</f>
        <v>0.64674793236411343</v>
      </c>
      <c r="J37" s="21">
        <f>'[2]Transition '!J30-1</f>
        <v>0.73497933165071916</v>
      </c>
      <c r="K37" s="22">
        <f>'[2]Transition '!K30-1</f>
        <v>0.83187491421515847</v>
      </c>
    </row>
    <row r="38" spans="1:11" ht="15.5" x14ac:dyDescent="0.35">
      <c r="A38" s="38" t="s">
        <v>87</v>
      </c>
      <c r="B38" s="51">
        <f ca="1">'Total Trip Tables Sup #2'!B99</f>
        <v>12.37</v>
      </c>
      <c r="C38" s="44">
        <f ca="1">'Total Trip Tables Sup #2'!C99</f>
        <v>13.423661034059892</v>
      </c>
      <c r="D38" s="44">
        <f ca="1">'Total Trip Tables Sup #2'!D99</f>
        <v>14.829820006015797</v>
      </c>
      <c r="E38" s="44">
        <f ca="1">'Total Trip Tables Sup #2'!E99</f>
        <v>15.832557028422634</v>
      </c>
      <c r="F38" s="44">
        <f ca="1">'Total Trip Tables Sup #2'!F99</f>
        <v>16.504717117958769</v>
      </c>
      <c r="G38" s="44">
        <f ca="1">'Total Trip Tables Sup #2'!G99</f>
        <v>17.161451428292018</v>
      </c>
      <c r="H38" s="44">
        <f ca="1">'Total Trip Tables Sup #2'!H99</f>
        <v>17.774841103180083</v>
      </c>
      <c r="I38" s="44">
        <f ca="1">'Total Trip Tables Sup #2'!I99</f>
        <v>18.798148582157339</v>
      </c>
      <c r="J38" s="44">
        <f ca="1">'Total Trip Tables Sup #2'!J99</f>
        <v>19.872856397820694</v>
      </c>
      <c r="K38" s="45">
        <f ca="1">'Total Trip Tables Sup #2'!K99</f>
        <v>21.009006269014144</v>
      </c>
    </row>
    <row r="39" spans="1:11" ht="15.5" x14ac:dyDescent="0.35">
      <c r="A39" s="38" t="s">
        <v>94</v>
      </c>
      <c r="B39" s="46">
        <f>'[2]Transition '!B31-1</f>
        <v>0.18597231373895151</v>
      </c>
      <c r="C39" s="21">
        <f>'[2]Transition '!C31-1</f>
        <v>0.19272604318867237</v>
      </c>
      <c r="D39" s="21">
        <f>'[2]Transition '!D31-1</f>
        <v>0.27324302632957087</v>
      </c>
      <c r="E39" s="21">
        <f>'[2]Transition '!E31-1</f>
        <v>0.33711388299144951</v>
      </c>
      <c r="F39" s="21">
        <f>'[2]Transition '!F31-1</f>
        <v>0.40032631324222034</v>
      </c>
      <c r="G39" s="21">
        <f>'[2]Transition '!G31-1</f>
        <v>0.45833529879723467</v>
      </c>
      <c r="H39" s="21">
        <f>'[2]Transition '!H31-1</f>
        <v>0.52117472509026519</v>
      </c>
      <c r="I39" s="21">
        <f>'[2]Transition '!I31-1</f>
        <v>0.59804208218257049</v>
      </c>
      <c r="J39" s="21">
        <f>'[2]Transition '!J31-1</f>
        <v>0.68352021354437431</v>
      </c>
      <c r="K39" s="22">
        <f>'[2]Transition '!K31-1</f>
        <v>0.77739023560247134</v>
      </c>
    </row>
    <row r="40" spans="1:11" ht="15.5" x14ac:dyDescent="0.35">
      <c r="A40" s="38" t="s">
        <v>89</v>
      </c>
      <c r="B40" s="51">
        <f ca="1">'Total Distance Tables Sup #2'!B99</f>
        <v>297.83</v>
      </c>
      <c r="C40" s="44">
        <f ca="1">'Total Distance Tables Sup #2'!C99</f>
        <v>316.08354729096288</v>
      </c>
      <c r="D40" s="44">
        <f ca="1">'Total Distance Tables Sup #2'!D99</f>
        <v>346.12470363823741</v>
      </c>
      <c r="E40" s="44">
        <f ca="1">'Total Distance Tables Sup #2'!E99</f>
        <v>367.61022870792652</v>
      </c>
      <c r="F40" s="44">
        <f ca="1">'Total Distance Tables Sup #2'!F99</f>
        <v>380.96243922567345</v>
      </c>
      <c r="G40" s="44">
        <f ca="1">'Total Distance Tables Sup #2'!G99</f>
        <v>393.81649522215673</v>
      </c>
      <c r="H40" s="44">
        <f ca="1">'Total Distance Tables Sup #2'!H99</f>
        <v>405.42034808499011</v>
      </c>
      <c r="I40" s="44">
        <f ca="1">'Total Distance Tables Sup #2'!I99</f>
        <v>424.21066035268052</v>
      </c>
      <c r="J40" s="44">
        <f ca="1">'Total Distance Tables Sup #2'!J99</f>
        <v>443.65444204941878</v>
      </c>
      <c r="K40" s="45">
        <f ca="1">'Total Distance Tables Sup #2'!K99</f>
        <v>463.93578682685052</v>
      </c>
    </row>
    <row r="41" spans="1:11" ht="15.5" x14ac:dyDescent="0.35">
      <c r="A41" s="38" t="s">
        <v>95</v>
      </c>
      <c r="B41" s="46">
        <f>'[2]Transition '!B32-1</f>
        <v>0.18597231373895151</v>
      </c>
      <c r="C41" s="21">
        <f>'[2]Transition '!C32-1</f>
        <v>0.19676938260007093</v>
      </c>
      <c r="D41" s="21">
        <f>'[2]Transition '!D32-1</f>
        <v>0.28091481415917241</v>
      </c>
      <c r="E41" s="21">
        <f>'[2]Transition '!E32-1</f>
        <v>0.34866558591175623</v>
      </c>
      <c r="F41" s="21">
        <f>'[2]Transition '!F32-1</f>
        <v>0.41127750927894091</v>
      </c>
      <c r="G41" s="21">
        <f>'[2]Transition '!G32-1</f>
        <v>0.47021763915535231</v>
      </c>
      <c r="H41" s="21">
        <f>'[2]Transition '!H32-1</f>
        <v>0.53372809632637197</v>
      </c>
      <c r="I41" s="21">
        <f>'[2]Transition '!I32-1</f>
        <v>0.61122979505846531</v>
      </c>
      <c r="J41" s="21">
        <f>'[2]Transition '!J32-1</f>
        <v>0.69741332777742748</v>
      </c>
      <c r="K41" s="22">
        <f>'[2]Transition '!K32-1</f>
        <v>0.79205800459108966</v>
      </c>
    </row>
    <row r="42" spans="1:11" ht="15.5" x14ac:dyDescent="0.35">
      <c r="A42" s="38" t="s">
        <v>92</v>
      </c>
      <c r="B42" s="44">
        <f ca="1">'Total Duration Tables Sup #2'!B99</f>
        <v>6.554720885672368</v>
      </c>
      <c r="C42" s="44">
        <f ca="1">'Total Duration Tables Sup #2'!C99</f>
        <v>6.9555968768289231</v>
      </c>
      <c r="D42" s="44">
        <f ca="1">'Total Duration Tables Sup #2'!D99</f>
        <v>7.6158299729201673</v>
      </c>
      <c r="E42" s="44">
        <f ca="1">'Total Duration Tables Sup #2'!E99</f>
        <v>8.093743166691473</v>
      </c>
      <c r="F42" s="44">
        <f ca="1">'Total Duration Tables Sup #2'!F99</f>
        <v>8.3978258546465483</v>
      </c>
      <c r="G42" s="44">
        <f ca="1">'Total Duration Tables Sup #2'!G99</f>
        <v>8.6967021270395701</v>
      </c>
      <c r="H42" s="44">
        <f ca="1">'Total Duration Tables Sup #2'!H99</f>
        <v>8.9741408999688606</v>
      </c>
      <c r="I42" s="44">
        <f ca="1">'Total Duration Tables Sup #2'!I99</f>
        <v>9.3900719469456053</v>
      </c>
      <c r="J42" s="44">
        <f ca="1">'Total Duration Tables Sup #2'!J99</f>
        <v>9.8204678000372869</v>
      </c>
      <c r="K42" s="45">
        <f ca="1">'Total Duration Tables Sup #2'!K99</f>
        <v>10.269403445554921</v>
      </c>
    </row>
    <row r="43" spans="1:11" ht="15.5" x14ac:dyDescent="0.35">
      <c r="A43" s="38" t="s">
        <v>61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.5" x14ac:dyDescent="0.35">
      <c r="A44" s="42" t="s">
        <v>62</v>
      </c>
      <c r="B44" s="4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5.5" x14ac:dyDescent="0.35">
      <c r="A45" s="42" t="s">
        <v>63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5.5" x14ac:dyDescent="0.35">
      <c r="A46" s="42" t="s">
        <v>64</v>
      </c>
      <c r="B46" s="46">
        <v>0.25</v>
      </c>
      <c r="C46" s="21">
        <v>0.25</v>
      </c>
      <c r="D46" s="21">
        <v>0.25</v>
      </c>
      <c r="E46" s="21">
        <v>0.25</v>
      </c>
      <c r="F46" s="21">
        <v>0.25</v>
      </c>
      <c r="G46" s="21">
        <v>0.25</v>
      </c>
      <c r="H46" s="21">
        <v>0.25</v>
      </c>
      <c r="I46" s="21">
        <v>0.25</v>
      </c>
      <c r="J46" s="21">
        <v>0.25</v>
      </c>
      <c r="K46" s="22">
        <v>0.25</v>
      </c>
    </row>
    <row r="47" spans="1:11" ht="15.5" x14ac:dyDescent="0.35">
      <c r="A47" s="42" t="s">
        <v>65</v>
      </c>
      <c r="B47" s="46">
        <v>0.25</v>
      </c>
      <c r="C47" s="21">
        <v>0.25</v>
      </c>
      <c r="D47" s="21">
        <v>0.25</v>
      </c>
      <c r="E47" s="21">
        <v>0.25</v>
      </c>
      <c r="F47" s="21">
        <v>0.25</v>
      </c>
      <c r="G47" s="21">
        <v>0.25</v>
      </c>
      <c r="H47" s="21">
        <v>0.25</v>
      </c>
      <c r="I47" s="21">
        <v>0.25</v>
      </c>
      <c r="J47" s="21">
        <v>0.25</v>
      </c>
      <c r="K47" s="22">
        <v>0.25</v>
      </c>
    </row>
    <row r="48" spans="1:11" ht="15.5" x14ac:dyDescent="0.35">
      <c r="A48" s="42" t="s">
        <v>66</v>
      </c>
      <c r="B48" s="46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0.5</v>
      </c>
      <c r="K48" s="22">
        <v>0.5</v>
      </c>
    </row>
    <row r="49" spans="1:11" ht="15.5" x14ac:dyDescent="0.35">
      <c r="A49" s="38" t="s">
        <v>96</v>
      </c>
      <c r="B49" s="46">
        <f>'[2]Transition '!B33-1</f>
        <v>-5.7262664658125351E-2</v>
      </c>
      <c r="C49" s="21">
        <f>'[2]Transition '!C33-1</f>
        <v>-4.1275347842180565E-2</v>
      </c>
      <c r="D49" s="21">
        <f>'[2]Transition '!D33-1</f>
        <v>5.965398973517555E-2</v>
      </c>
      <c r="E49" s="21">
        <f>'[2]Transition '!E33-1</f>
        <v>0.12788121362425175</v>
      </c>
      <c r="F49" s="21">
        <f>'[2]Transition '!F33-1</f>
        <v>0.16347609997135715</v>
      </c>
      <c r="G49" s="21">
        <f>'[2]Transition '!G33-1</f>
        <v>0.20679801001209097</v>
      </c>
      <c r="H49" s="21">
        <f>'[2]Transition '!H33-1</f>
        <v>0.25672453548627572</v>
      </c>
      <c r="I49" s="21">
        <f>'[2]Transition '!I33-1</f>
        <v>0.28483024391039469</v>
      </c>
      <c r="J49" s="21">
        <f>'[2]Transition '!J33-1</f>
        <v>0.31762849148373817</v>
      </c>
      <c r="K49" s="22">
        <f>'[2]Transition '!K33-1</f>
        <v>0.35417419758311741</v>
      </c>
    </row>
    <row r="50" spans="1:11" ht="15.5" x14ac:dyDescent="0.35">
      <c r="A50" s="38" t="s">
        <v>88</v>
      </c>
      <c r="B50" s="51">
        <f ca="1">'Total Trip Tables Sup #2'!B100</f>
        <v>23.4</v>
      </c>
      <c r="C50" s="44">
        <f ca="1">'Total Trip Tables Sup #2'!C100</f>
        <v>24.426956303383029</v>
      </c>
      <c r="D50" s="44">
        <f ca="1">'Total Trip Tables Sup #2'!D100</f>
        <v>27.077449407995253</v>
      </c>
      <c r="E50" s="44">
        <f ca="1">'Total Trip Tables Sup #2'!E100</f>
        <v>28.367755676191837</v>
      </c>
      <c r="F50" s="44">
        <f ca="1">'Total Trip Tables Sup #2'!F100</f>
        <v>28.396008008167726</v>
      </c>
      <c r="G50" s="44">
        <f ca="1">'Total Trip Tables Sup #2'!G100</f>
        <v>28.408753162618151</v>
      </c>
      <c r="H50" s="44">
        <f ca="1">'Total Trip Tables Sup #2'!H100</f>
        <v>28.400671406832434</v>
      </c>
      <c r="I50" s="44">
        <f ca="1">'Total Trip Tables Sup #2'!I100</f>
        <v>29.227854777307073</v>
      </c>
      <c r="J50" s="44">
        <f ca="1">'Total Trip Tables Sup #2'!J100</f>
        <v>30.076147400479069</v>
      </c>
      <c r="K50" s="45">
        <f ca="1">'Total Trip Tables Sup #2'!K100</f>
        <v>30.949060385973596</v>
      </c>
    </row>
    <row r="51" spans="1:11" ht="15.5" x14ac:dyDescent="0.35">
      <c r="A51" s="38" t="s">
        <v>97</v>
      </c>
      <c r="B51" s="46">
        <f>'[2]Transition '!B34-1</f>
        <v>-0.12295023299365704</v>
      </c>
      <c r="C51" s="21">
        <f>'[2]Transition '!C34-1</f>
        <v>-0.12526660564561831</v>
      </c>
      <c r="D51" s="21">
        <f>'[2]Transition '!D34-1</f>
        <v>-3.6996870613136945E-2</v>
      </c>
      <c r="E51" s="21">
        <f>'[2]Transition '!E34-1</f>
        <v>2.2112421034643281E-2</v>
      </c>
      <c r="F51" s="21">
        <f>'[2]Transition '!F34-1</f>
        <v>4.4697090162222564E-2</v>
      </c>
      <c r="G51" s="21">
        <f>'[2]Transition '!G34-1</f>
        <v>7.1720286844437986E-2</v>
      </c>
      <c r="H51" s="21">
        <f>'[2]Transition '!H34-1</f>
        <v>0.10456723251494005</v>
      </c>
      <c r="I51" s="21">
        <f>'[2]Transition '!I34-1</f>
        <v>0.12523251677199609</v>
      </c>
      <c r="J51" s="21">
        <f>'[2]Transition '!J34-1</f>
        <v>0.14985756984372456</v>
      </c>
      <c r="K51" s="22">
        <f>'[2]Transition '!K34-1</f>
        <v>0.17755216339592073</v>
      </c>
    </row>
    <row r="52" spans="1:11" ht="15.5" x14ac:dyDescent="0.35">
      <c r="A52" s="38" t="s">
        <v>90</v>
      </c>
      <c r="B52" s="51">
        <f ca="1">'Total Distance Tables Sup #2'!B100</f>
        <v>164.37</v>
      </c>
      <c r="C52" s="44">
        <f ca="1">'Total Distance Tables Sup #2'!C100</f>
        <v>169.71769354483644</v>
      </c>
      <c r="D52" s="44">
        <f ca="1">'Total Distance Tables Sup #2'!D100</f>
        <v>186.3259178218853</v>
      </c>
      <c r="E52" s="44">
        <f ca="1">'Total Distance Tables Sup #2'!E100</f>
        <v>195.69135630782839</v>
      </c>
      <c r="F52" s="44">
        <f ca="1">'Total Distance Tables Sup #2'!F100</f>
        <v>196.21837546548684</v>
      </c>
      <c r="G52" s="44">
        <f ca="1">'Total Distance Tables Sup #2'!G100</f>
        <v>196.67793100900184</v>
      </c>
      <c r="H52" s="44">
        <f ca="1">'Total Distance Tables Sup #2'!H100</f>
        <v>197.13138384149104</v>
      </c>
      <c r="I52" s="44">
        <f ca="1">'Total Distance Tables Sup #2'!I100</f>
        <v>200.01971953687092</v>
      </c>
      <c r="J52" s="44">
        <f ca="1">'Total Distance Tables Sup #2'!J100</f>
        <v>202.91199526937504</v>
      </c>
      <c r="K52" s="45">
        <f ca="1">'Total Distance Tables Sup #2'!K100</f>
        <v>205.82229318522556</v>
      </c>
    </row>
    <row r="53" spans="1:11" ht="15.5" x14ac:dyDescent="0.35">
      <c r="A53" s="38" t="s">
        <v>98</v>
      </c>
      <c r="B53" s="46">
        <f>'[2]Transition '!B35-1</f>
        <v>-0.12295023299365715</v>
      </c>
      <c r="C53" s="21">
        <f>'[2]Transition '!C35-1</f>
        <v>-0.12159281487784546</v>
      </c>
      <c r="D53" s="21">
        <f>'[2]Transition '!D35-1</f>
        <v>-3.2721088832094458E-2</v>
      </c>
      <c r="E53" s="21">
        <f>'[2]Transition '!E35-1</f>
        <v>2.4563734492759615E-2</v>
      </c>
      <c r="F53" s="21">
        <f>'[2]Transition '!F35-1</f>
        <v>4.7792124096006416E-2</v>
      </c>
      <c r="G53" s="21">
        <f>'[2]Transition '!G35-1</f>
        <v>7.6227487873787192E-2</v>
      </c>
      <c r="H53" s="21">
        <f>'[2]Transition '!H35-1</f>
        <v>0.11041176137005126</v>
      </c>
      <c r="I53" s="21">
        <f>'[2]Transition '!I35-1</f>
        <v>0.13118639057831016</v>
      </c>
      <c r="J53" s="21">
        <f>'[2]Transition '!J35-1</f>
        <v>0.1559417406831205</v>
      </c>
      <c r="K53" s="22">
        <f>'[2]Transition '!K35-1</f>
        <v>0.1837828729396902</v>
      </c>
    </row>
    <row r="54" spans="1:11" ht="15.5" x14ac:dyDescent="0.35">
      <c r="A54" s="38" t="s">
        <v>91</v>
      </c>
      <c r="B54" s="51">
        <f ca="1">'Total Duration Tables Sup #2'!B100</f>
        <v>8.2404499312721509</v>
      </c>
      <c r="C54" s="44">
        <f ca="1">'Total Duration Tables Sup #2'!C100</f>
        <v>8.5073098520881647</v>
      </c>
      <c r="D54" s="44">
        <f ca="1">'Total Duration Tables Sup #2'!D100</f>
        <v>9.3385375592924635</v>
      </c>
      <c r="E54" s="44">
        <f ca="1">'Total Duration Tables Sup #2'!E100</f>
        <v>9.6601412897506194</v>
      </c>
      <c r="F54" s="44">
        <f ca="1">'Total Duration Tables Sup #2'!F100</f>
        <v>9.5224669207460799</v>
      </c>
      <c r="G54" s="44">
        <f ca="1">'Total Duration Tables Sup #2'!G100</f>
        <v>9.3835798843952194</v>
      </c>
      <c r="H54" s="44">
        <f ca="1">'Total Duration Tables Sup #2'!H100</f>
        <v>9.240442910824278</v>
      </c>
      <c r="I54" s="44">
        <f ca="1">'Total Duration Tables Sup #2'!I100</f>
        <v>9.3758323175253153</v>
      </c>
      <c r="J54" s="44">
        <f ca="1">'Total Duration Tables Sup #2'!J100</f>
        <v>9.5114064116536063</v>
      </c>
      <c r="K54" s="45">
        <f ca="1">'Total Duration Tables Sup #2'!K100</f>
        <v>9.6478252873336494</v>
      </c>
    </row>
    <row r="55" spans="1:11" ht="15.5" x14ac:dyDescent="0.35">
      <c r="A55" s="38" t="s">
        <v>61</v>
      </c>
      <c r="B55" s="39"/>
      <c r="C55" s="40"/>
      <c r="D55" s="40"/>
      <c r="E55" s="40"/>
      <c r="F55" s="40"/>
      <c r="G55" s="40"/>
      <c r="H55" s="40"/>
      <c r="I55" s="40"/>
      <c r="J55" s="40"/>
      <c r="K55" s="41"/>
    </row>
    <row r="56" spans="1:11" ht="15.5" x14ac:dyDescent="0.35">
      <c r="A56" s="42" t="s">
        <v>62</v>
      </c>
      <c r="B56" s="46">
        <v>0.05</v>
      </c>
      <c r="C56" s="21">
        <v>0.05</v>
      </c>
      <c r="D56" s="21">
        <v>0.05</v>
      </c>
      <c r="E56" s="21">
        <v>0.05</v>
      </c>
      <c r="F56" s="21">
        <v>0.05</v>
      </c>
      <c r="G56" s="21">
        <v>0.05</v>
      </c>
      <c r="H56" s="21">
        <v>0.05</v>
      </c>
      <c r="I56" s="21">
        <v>0.05</v>
      </c>
      <c r="J56" s="21">
        <v>0.05</v>
      </c>
      <c r="K56" s="22">
        <v>0.05</v>
      </c>
    </row>
    <row r="57" spans="1:11" ht="15.5" x14ac:dyDescent="0.35">
      <c r="A57" s="42" t="s">
        <v>63</v>
      </c>
      <c r="B57" s="46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5.5" x14ac:dyDescent="0.35">
      <c r="A58" s="42" t="s">
        <v>64</v>
      </c>
      <c r="B58" s="46">
        <v>0.4</v>
      </c>
      <c r="C58" s="21">
        <v>0.4</v>
      </c>
      <c r="D58" s="21">
        <v>0.4</v>
      </c>
      <c r="E58" s="21">
        <v>0.4</v>
      </c>
      <c r="F58" s="21">
        <v>0.4</v>
      </c>
      <c r="G58" s="21">
        <v>0.4</v>
      </c>
      <c r="H58" s="21">
        <v>0.4</v>
      </c>
      <c r="I58" s="21">
        <v>0.4</v>
      </c>
      <c r="J58" s="21">
        <v>0.4</v>
      </c>
      <c r="K58" s="22">
        <v>0.4</v>
      </c>
    </row>
    <row r="59" spans="1:11" ht="16" thickBot="1" x14ac:dyDescent="0.4">
      <c r="A59" s="43" t="s">
        <v>65</v>
      </c>
      <c r="B59" s="57">
        <v>0.4</v>
      </c>
      <c r="C59" s="26">
        <v>0.4</v>
      </c>
      <c r="D59" s="26">
        <v>0.4</v>
      </c>
      <c r="E59" s="26">
        <v>0.4</v>
      </c>
      <c r="F59" s="26">
        <v>0.4</v>
      </c>
      <c r="G59" s="26">
        <v>0.4</v>
      </c>
      <c r="H59" s="26">
        <v>0.4</v>
      </c>
      <c r="I59" s="26">
        <v>0.4</v>
      </c>
      <c r="J59" s="26">
        <v>0.4</v>
      </c>
      <c r="K59" s="27">
        <v>0.4</v>
      </c>
    </row>
    <row r="60" spans="1:11" ht="13" thickTop="1" x14ac:dyDescent="0.25"/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168"/>
  <sheetViews>
    <sheetView topLeftCell="A56" zoomScaleNormal="100" workbookViewId="0">
      <selection activeCell="D100" sqref="D100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11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  <c r="B4" s="4">
        <f ca="1">SUM(B5:B14)</f>
        <v>166.40069163299998</v>
      </c>
      <c r="C4" s="4">
        <f t="shared" ref="C4:H4" ca="1" si="0">SUM(C5:C14)</f>
        <v>176.28895992806471</v>
      </c>
      <c r="D4" s="4">
        <f t="shared" ca="1" si="0"/>
        <v>182.10646090625414</v>
      </c>
      <c r="E4" s="4">
        <f t="shared" ca="1" si="0"/>
        <v>186.50228217760355</v>
      </c>
      <c r="F4" s="4">
        <f t="shared" ca="1" si="0"/>
        <v>189.44314245411095</v>
      </c>
      <c r="G4" s="4">
        <f t="shared" ca="1" si="0"/>
        <v>190.48945892449578</v>
      </c>
      <c r="H4" s="4">
        <f t="shared" ca="1" si="0"/>
        <v>190.41312919751007</v>
      </c>
      <c r="I4" s="1">
        <f t="shared" ref="I4:K4" ca="1" si="1">SUM(I5:I14)</f>
        <v>191.43334083781522</v>
      </c>
      <c r="J4" s="1">
        <f t="shared" ca="1" si="1"/>
        <v>191.84729477533878</v>
      </c>
      <c r="K4" s="1">
        <f t="shared" ca="1" si="1"/>
        <v>191.84978836997374</v>
      </c>
    </row>
    <row r="5" spans="1:11" x14ac:dyDescent="0.25">
      <c r="A5" t="str">
        <f ca="1">OFFSET(Northland_Reference,0,2)</f>
        <v>Pedestrian</v>
      </c>
      <c r="B5" s="4">
        <f ca="1">'Total Trip Tables Sup #2'!B5</f>
        <v>23.706864376999999</v>
      </c>
      <c r="C5" s="4">
        <f ca="1">'Total Trip Tables Sup #2'!C5</f>
        <v>24.974818942746342</v>
      </c>
      <c r="D5" s="4">
        <f ca="1">'Total Trip Tables Sup #2'!D5</f>
        <v>27.10555267083047</v>
      </c>
      <c r="E5" s="4">
        <f ca="1">'Total Trip Tables Sup #2'!E5</f>
        <v>28.825568650913265</v>
      </c>
      <c r="F5" s="4">
        <f ca="1">'Total Trip Tables Sup #2'!F5</f>
        <v>30.204406062588138</v>
      </c>
      <c r="G5" s="4">
        <f ca="1">'Total Trip Tables Sup #2'!G5</f>
        <v>31.360314613920323</v>
      </c>
      <c r="H5" s="4">
        <f ca="1">'Total Trip Tables Sup #2'!H5</f>
        <v>32.319883015524113</v>
      </c>
      <c r="I5" s="1">
        <f ca="1">'Total Trip Tables Sup #2'!I5</f>
        <v>32.480252064112172</v>
      </c>
      <c r="J5" s="1">
        <f ca="1">'Total Trip Tables Sup #2'!J5</f>
        <v>32.53791848629686</v>
      </c>
      <c r="K5" s="1">
        <f ca="1">'Total Trip Tables Sup #2'!K5</f>
        <v>32.526016293259879</v>
      </c>
    </row>
    <row r="6" spans="1:11" x14ac:dyDescent="0.25">
      <c r="A6" t="str">
        <f ca="1">OFFSET(Northland_Reference,7,2)</f>
        <v>Cyclist</v>
      </c>
      <c r="B6" s="4">
        <f ca="1">'Total Trip Tables Sup #2'!B6</f>
        <v>0.66592947719999995</v>
      </c>
      <c r="C6" s="4">
        <f ca="1">'Total Trip Tables Sup #2'!C6</f>
        <v>0.69993258446790674</v>
      </c>
      <c r="D6" s="4">
        <f ca="1">'Total Trip Tables Sup #2'!D6</f>
        <v>0.99475554178811243</v>
      </c>
      <c r="E6" s="4">
        <f ca="1">'Total Trip Tables Sup #2'!E6</f>
        <v>1.2748954192847379</v>
      </c>
      <c r="F6" s="4">
        <f ca="1">'Total Trip Tables Sup #2'!F6</f>
        <v>1.5474545929281804</v>
      </c>
      <c r="G6" s="4">
        <f ca="1">'Total Trip Tables Sup #2'!G6</f>
        <v>1.8118663253059866</v>
      </c>
      <c r="H6" s="4">
        <f ca="1">'Total Trip Tables Sup #2'!H6</f>
        <v>2.0672905181622419</v>
      </c>
      <c r="I6" s="1">
        <f ca="1">'Total Trip Tables Sup #2'!I6</f>
        <v>2.0893938754364951</v>
      </c>
      <c r="J6" s="1">
        <f ca="1">'Total Trip Tables Sup #2'!J6</f>
        <v>2.1052236246084637</v>
      </c>
      <c r="K6" s="1">
        <f ca="1">'Total Trip Tables Sup #2'!K6</f>
        <v>2.1168250196639997</v>
      </c>
    </row>
    <row r="7" spans="1:11" x14ac:dyDescent="0.25">
      <c r="A7" t="str">
        <f ca="1">OFFSET(Northland_Reference,14,2)</f>
        <v>Light Vehicle Driver</v>
      </c>
      <c r="B7" s="4">
        <f ca="1">'Total Trip Tables Sup #2'!B7</f>
        <v>86.333691700000003</v>
      </c>
      <c r="C7" s="4">
        <f ca="1">'Total Trip Tables Sup #2'!C7*(1-'Other Assumptions'!G6)</f>
        <v>93.320029439693656</v>
      </c>
      <c r="D7" s="4">
        <f ca="1">'Total Trip Tables Sup #2'!D7*(1-'Other Assumptions'!H6)</f>
        <v>96.617496619580535</v>
      </c>
      <c r="E7" s="4">
        <f ca="1">'Total Trip Tables Sup #2'!E7*(1-'Other Assumptions'!I6)</f>
        <v>89.394050200917391</v>
      </c>
      <c r="F7" s="4">
        <f ca="1">'Total Trip Tables Sup #2'!F7*(1-'Other Assumptions'!J6)</f>
        <v>81.022478222433577</v>
      </c>
      <c r="G7" s="4">
        <f ca="1">'Total Trip Tables Sup #2'!G7*(1-'Other Assumptions'!K6)</f>
        <v>71.380418936464949</v>
      </c>
      <c r="H7" s="4">
        <f ca="1">'Total Trip Tables Sup #2'!H7*(1-'Other Assumptions'!L6)</f>
        <v>61.241781306797691</v>
      </c>
      <c r="I7" s="1">
        <f ca="1">'Total Trip Tables Sup #2'!I7*(1-'Other Assumptions'!M6)</f>
        <v>51.305797556398872</v>
      </c>
      <c r="J7" s="1">
        <f ca="1">'Total Trip Tables Sup #2'!J7*(1-'Other Assumptions'!N6)</f>
        <v>41.131321043703075</v>
      </c>
      <c r="K7" s="1">
        <f ca="1">'Total Trip Tables Sup #2'!K7*(1-'Other Assumptions'!O6)</f>
        <v>41.129688066661721</v>
      </c>
    </row>
    <row r="8" spans="1:11" x14ac:dyDescent="0.25">
      <c r="A8" t="str">
        <f ca="1">OFFSET(Northland_Reference,21,2)</f>
        <v>Light Vehicle Passenger</v>
      </c>
      <c r="B8" s="4">
        <f ca="1">'Total Trip Tables Sup #2'!B8</f>
        <v>50.299563868000014</v>
      </c>
      <c r="C8" s="4">
        <f ca="1">'Total Trip Tables Sup #2'!C8*(1-'Other Assumptions'!G6)</f>
        <v>51.826843378551047</v>
      </c>
      <c r="D8" s="4">
        <f ca="1">'Total Trip Tables Sup #2'!D8*(1-'Other Assumptions'!H6)</f>
        <v>51.931223716119483</v>
      </c>
      <c r="E8" s="4">
        <f ca="1">'Total Trip Tables Sup #2'!E8*(1-'Other Assumptions'!I6)</f>
        <v>46.45645571756836</v>
      </c>
      <c r="F8" s="4">
        <f ca="1">'Total Trip Tables Sup #2'!F8*(1-'Other Assumptions'!J6)</f>
        <v>40.820826822068518</v>
      </c>
      <c r="G8" s="4">
        <f ca="1">'Total Trip Tables Sup #2'!G8*(1-'Other Assumptions'!K6)</f>
        <v>35.032886746371354</v>
      </c>
      <c r="H8" s="4">
        <f ca="1">'Total Trip Tables Sup #2'!H8*(1-'Other Assumptions'!L6)</f>
        <v>29.268582056917495</v>
      </c>
      <c r="I8" s="1">
        <f ca="1">'Total Trip Tables Sup #2'!I8*(1-'Other Assumptions'!M6)</f>
        <v>24.519889935068093</v>
      </c>
      <c r="J8" s="1">
        <f ca="1">'Total Trip Tables Sup #2'!J8*(1-'Other Assumptions'!N6)</f>
        <v>19.657162940366405</v>
      </c>
      <c r="K8" s="1">
        <f ca="1">'Total Trip Tables Sup #2'!K8*(1-'Other Assumptions'!O6)</f>
        <v>19.656110926364615</v>
      </c>
    </row>
    <row r="9" spans="1:11" x14ac:dyDescent="0.25">
      <c r="A9" t="str">
        <f ca="1">OFFSET(Northland_Reference,28,2)</f>
        <v>Taxi/Vehicle Share</v>
      </c>
      <c r="B9" s="4">
        <f ca="1">'Total Trip Tables Sup #2'!B9</f>
        <v>0.18126348840000001</v>
      </c>
      <c r="C9" s="4">
        <f ca="1">'Total Trip Tables Sup #2'!C9+((C7+C8)*'Other Assumptions'!G6/(1-'Other Assumptions'!G6))</f>
        <v>0.20478485668957155</v>
      </c>
      <c r="D9" s="4">
        <f ca="1">'Total Trip Tables Sup #2'!D9+((D7+D8)*'Other Assumptions'!H6/(1-'Other Assumptions'!H6))</f>
        <v>0.22112064469642531</v>
      </c>
      <c r="E9" s="4">
        <f ca="1">'Total Trip Tables Sup #2'!E9+((E7+E8)*'Other Assumptions'!I6/(1-'Other Assumptions'!I6))</f>
        <v>15.327069303470187</v>
      </c>
      <c r="F9" s="4">
        <f ca="1">'Total Trip Tables Sup #2'!F9+((F7+F8)*'Other Assumptions'!J6/(1-'Other Assumptions'!J6))</f>
        <v>30.701621099982336</v>
      </c>
      <c r="G9" s="4">
        <f ca="1">'Total Trip Tables Sup #2'!G9+((G7+G8)*'Other Assumptions'!K6/(1-'Other Assumptions'!K6))</f>
        <v>45.850662112033433</v>
      </c>
      <c r="H9" s="4">
        <f ca="1">'Total Trip Tables Sup #2'!H9+((H7+H8)*'Other Assumptions'!L6/(1-'Other Assumptions'!L6))</f>
        <v>60.588277888703679</v>
      </c>
      <c r="I9" s="1">
        <f ca="1">'Total Trip Tables Sup #2'!I9+((I7+I8)*'Other Assumptions'!M6/(1-'Other Assumptions'!M6))</f>
        <v>76.074641485801493</v>
      </c>
      <c r="J9" s="1">
        <f ca="1">'Total Trip Tables Sup #2'!J9+((J7+J8)*'Other Assumptions'!N6/(1-'Other Assumptions'!N6))</f>
        <v>91.431797535160797</v>
      </c>
      <c r="K9" s="1">
        <f ca="1">'Total Trip Tables Sup #2'!K9+((K7+K8)*'Other Assumptions'!O6/(1-'Other Assumptions'!O6))</f>
        <v>91.427343789543585</v>
      </c>
    </row>
    <row r="10" spans="1:11" x14ac:dyDescent="0.25">
      <c r="A10" t="str">
        <f ca="1">OFFSET(Northland_Reference,35,2)</f>
        <v>Motorcyclist</v>
      </c>
      <c r="B10" s="4">
        <f ca="1">'Total Trip Tables Sup #2'!B10</f>
        <v>1.4141085707000001</v>
      </c>
      <c r="C10" s="4">
        <f ca="1">'Total Trip Tables Sup #2'!C10</f>
        <v>1.4984036727621242</v>
      </c>
      <c r="D10" s="4">
        <f ca="1">'Total Trip Tables Sup #2'!D10</f>
        <v>1.5317188817685374</v>
      </c>
      <c r="E10" s="4">
        <f ca="1">'Total Trip Tables Sup #2'!E10</f>
        <v>1.5513655819529766</v>
      </c>
      <c r="F10" s="4">
        <f ca="1">'Total Trip Tables Sup #2'!F10</f>
        <v>1.5573054572708129</v>
      </c>
      <c r="G10" s="4">
        <f ca="1">'Total Trip Tables Sup #2'!G10</f>
        <v>1.5331027390180896</v>
      </c>
      <c r="H10" s="4">
        <f ca="1">'Total Trip Tables Sup #2'!H10</f>
        <v>1.4977908998678986</v>
      </c>
      <c r="I10" s="1">
        <f ca="1">'Total Trip Tables Sup #2'!I10</f>
        <v>1.5136953891038032</v>
      </c>
      <c r="J10" s="1">
        <f ca="1">'Total Trip Tables Sup #2'!J10</f>
        <v>1.5249270170748244</v>
      </c>
      <c r="K10" s="1">
        <f ca="1">'Total Trip Tables Sup #2'!K10</f>
        <v>1.5329632488025884</v>
      </c>
    </row>
    <row r="11" spans="1:11" x14ac:dyDescent="0.25">
      <c r="A11" t="str">
        <f ca="1">OFFSET(Auckland_Reference,42,2)</f>
        <v>Local Train</v>
      </c>
      <c r="B11" s="4">
        <f ca="1">'Total Trip Tables Sup #2'!B11</f>
        <v>0</v>
      </c>
      <c r="C11" s="4">
        <f ca="1">'Total Trip Tables Sup #2'!C11</f>
        <v>0</v>
      </c>
      <c r="D11" s="4">
        <f ca="1">'Total Trip Tables Sup #2'!D11</f>
        <v>0</v>
      </c>
      <c r="E11" s="4">
        <f ca="1">'Total Trip Tables Sup #2'!E11</f>
        <v>0</v>
      </c>
      <c r="F11" s="4">
        <f ca="1">'Total Trip Tables Sup #2'!F11</f>
        <v>0</v>
      </c>
      <c r="G11" s="4">
        <f ca="1">'Total Trip Tables Sup #2'!G11</f>
        <v>0</v>
      </c>
      <c r="H11" s="4">
        <f ca="1">'Total Trip Tables Sup #2'!H11</f>
        <v>0</v>
      </c>
      <c r="I11" s="1">
        <f ca="1">'Total Trip Tables Sup #2'!I11</f>
        <v>0</v>
      </c>
      <c r="J11" s="1">
        <f ca="1">'Total Trip Tables Sup #2'!J11</f>
        <v>0</v>
      </c>
      <c r="K11" s="1">
        <f ca="1">'Total Trip Tables Sup #2'!K11</f>
        <v>0</v>
      </c>
    </row>
    <row r="12" spans="1:11" x14ac:dyDescent="0.25">
      <c r="A12" t="str">
        <f ca="1">OFFSET(Northland_Reference,42,2)</f>
        <v>Local Bus</v>
      </c>
      <c r="B12" s="4">
        <f ca="1">'Total Trip Tables Sup #2'!B12</f>
        <v>3.6339219343</v>
      </c>
      <c r="C12" s="4">
        <f ca="1">'Total Trip Tables Sup #2'!C12</f>
        <v>3.5859763932292972</v>
      </c>
      <c r="D12" s="4">
        <f ca="1">'Total Trip Tables Sup #2'!D12</f>
        <v>3.5167069081268014</v>
      </c>
      <c r="E12" s="4">
        <f ca="1">'Total Trip Tables Sup #2'!E12</f>
        <v>3.4789797606205419</v>
      </c>
      <c r="F12" s="4">
        <f ca="1">'Total Trip Tables Sup #2'!F12</f>
        <v>3.3915722963531594</v>
      </c>
      <c r="G12" s="4">
        <f ca="1">'Total Trip Tables Sup #2'!G12</f>
        <v>3.3194963068344294</v>
      </c>
      <c r="H12" s="4">
        <f ca="1">'Total Trip Tables Sup #2'!H12</f>
        <v>3.2283463008547431</v>
      </c>
      <c r="I12" s="1">
        <f ca="1">'Total Trip Tables Sup #2'!I12</f>
        <v>3.2479265533636075</v>
      </c>
      <c r="J12" s="1">
        <f ca="1">'Total Trip Tables Sup #2'!J12</f>
        <v>3.2572438243741435</v>
      </c>
      <c r="K12" s="1">
        <f ca="1">'Total Trip Tables Sup #2'!K12</f>
        <v>3.2595865940241238</v>
      </c>
    </row>
    <row r="13" spans="1:11" x14ac:dyDescent="0.25">
      <c r="A13" t="str">
        <f ca="1">OFFSET(Northland_Reference,49,2)</f>
        <v>Local Ferry</v>
      </c>
      <c r="B13" s="4">
        <f ca="1">'Total Trip Tables Sup #2'!B13</f>
        <v>4.69171767E-2</v>
      </c>
      <c r="C13" s="4">
        <f ca="1">'Total Trip Tables Sup #2'!C13</f>
        <v>5.1689332076252675E-2</v>
      </c>
      <c r="D13" s="4">
        <f ca="1">'Total Trip Tables Sup #2'!D13</f>
        <v>5.4875060938372341E-2</v>
      </c>
      <c r="E13" s="4">
        <f ca="1">'Total Trip Tables Sup #2'!E13</f>
        <v>5.6270550167348117E-2</v>
      </c>
      <c r="F13" s="4">
        <f ca="1">'Total Trip Tables Sup #2'!F13</f>
        <v>5.666112750333005E-2</v>
      </c>
      <c r="G13" s="4">
        <f ca="1">'Total Trip Tables Sup #2'!G13</f>
        <v>5.8024556066389475E-2</v>
      </c>
      <c r="H13" s="4">
        <f ca="1">'Total Trip Tables Sup #2'!H13</f>
        <v>5.8758348527586594E-2</v>
      </c>
      <c r="I13" s="1">
        <f ca="1">'Total Trip Tables Sup #2'!I13</f>
        <v>5.8118284399395766E-2</v>
      </c>
      <c r="J13" s="1">
        <f ca="1">'Total Trip Tables Sup #2'!J13</f>
        <v>5.7314817648102229E-2</v>
      </c>
      <c r="K13" s="1">
        <f ca="1">'Total Trip Tables Sup #2'!K13</f>
        <v>5.6413448548801426E-2</v>
      </c>
    </row>
    <row r="14" spans="1:11" x14ac:dyDescent="0.25">
      <c r="A14" t="str">
        <f ca="1">OFFSET(Northland_Reference,56,2)</f>
        <v>Other Household Travel</v>
      </c>
      <c r="B14" s="4">
        <f ca="1">'Total Trip Tables Sup #2'!B14</f>
        <v>0.1184310407</v>
      </c>
      <c r="C14" s="4">
        <f ca="1">'Total Trip Tables Sup #2'!C14</f>
        <v>0.12648132784852439</v>
      </c>
      <c r="D14" s="4">
        <f ca="1">'Total Trip Tables Sup #2'!D14</f>
        <v>0.13301086240543603</v>
      </c>
      <c r="E14" s="4">
        <f ca="1">'Total Trip Tables Sup #2'!E14</f>
        <v>0.13762699270874143</v>
      </c>
      <c r="F14" s="4">
        <f ca="1">'Total Trip Tables Sup #2'!F14</f>
        <v>0.14081677298290643</v>
      </c>
      <c r="G14" s="4">
        <f ca="1">'Total Trip Tables Sup #2'!G14</f>
        <v>0.14268658848085408</v>
      </c>
      <c r="H14" s="4">
        <f ca="1">'Total Trip Tables Sup #2'!H14</f>
        <v>0.14241886215460972</v>
      </c>
      <c r="I14" s="1">
        <f ca="1">'Total Trip Tables Sup #2'!I14</f>
        <v>0.14362569413126888</v>
      </c>
      <c r="J14" s="1">
        <f ca="1">'Total Trip Tables Sup #2'!J14</f>
        <v>0.1443854861061426</v>
      </c>
      <c r="K14" s="1">
        <f ca="1">'Total Trip Tables Sup #2'!K14</f>
        <v>0.14484098310444557</v>
      </c>
    </row>
    <row r="15" spans="1:11" x14ac:dyDescent="0.25">
      <c r="A15" t="str">
        <f ca="1">OFFSET(Auckland_Reference,0,0)</f>
        <v>02 AUCKLAND</v>
      </c>
      <c r="B15" s="4">
        <f ca="1">SUM(B16:B25)</f>
        <v>1882.0466248072</v>
      </c>
      <c r="C15" s="4">
        <f t="shared" ref="C15" ca="1" si="2">SUM(C16:C25)</f>
        <v>2132.6113445404385</v>
      </c>
      <c r="D15" s="4">
        <f t="shared" ref="D15" ca="1" si="3">SUM(D16:D25)</f>
        <v>2325.8034987386022</v>
      </c>
      <c r="E15" s="4">
        <f t="shared" ref="E15" ca="1" si="4">SUM(E16:E25)</f>
        <v>2484.8116349862817</v>
      </c>
      <c r="F15" s="4">
        <f t="shared" ref="F15" ca="1" si="5">SUM(F16:F25)</f>
        <v>2625.1275538806649</v>
      </c>
      <c r="G15" s="4">
        <f t="shared" ref="G15" ca="1" si="6">SUM(G16:G25)</f>
        <v>2741.2508894797556</v>
      </c>
      <c r="H15" s="4">
        <f t="shared" ref="H15:K15" ca="1" si="7">SUM(H16:H25)</f>
        <v>2843.9530247103294</v>
      </c>
      <c r="I15" s="1">
        <f t="shared" ca="1" si="7"/>
        <v>2969.3072504121947</v>
      </c>
      <c r="J15" s="1">
        <f t="shared" ca="1" si="7"/>
        <v>3090.4105259978473</v>
      </c>
      <c r="K15" s="1">
        <f t="shared" ca="1" si="7"/>
        <v>3209.7412768988734</v>
      </c>
    </row>
    <row r="16" spans="1:11" x14ac:dyDescent="0.25">
      <c r="A16" t="str">
        <f ca="1">OFFSET(Auckland_Reference,0,2)</f>
        <v>Pedestrian</v>
      </c>
      <c r="B16" s="4">
        <f ca="1">'Total Trip Tables Sup #2'!B16</f>
        <v>324.81096006000001</v>
      </c>
      <c r="C16" s="4">
        <f ca="1">'Total Trip Tables Sup #2'!C16+'Total Trip Tables Sup #2'!C18*'Other Assumptions'!G66*'Other Assumptions'!G73+'Total Trip Tables Sup #2'!C19*'Other Assumptions'!G66*'Other Assumptions'!G73</f>
        <v>364.03911403793518</v>
      </c>
      <c r="D16" s="4">
        <f ca="1">'Total Trip Tables Sup #2'!D16+'Total Trip Tables Sup #2'!D18*'Other Assumptions'!H66*'Other Assumptions'!H73+'Total Trip Tables Sup #2'!D19*'Other Assumptions'!H66*'Other Assumptions'!H73</f>
        <v>426.55461227228329</v>
      </c>
      <c r="E16" s="4">
        <f ca="1">'Total Trip Tables Sup #2'!E16+'Total Trip Tables Sup #2'!E18*'Other Assumptions'!I66*'Other Assumptions'!I73+'Total Trip Tables Sup #2'!E19*'Other Assumptions'!I66*'Other Assumptions'!I73</f>
        <v>473.10871191910934</v>
      </c>
      <c r="F16" s="4">
        <f ca="1">'Total Trip Tables Sup #2'!F16+'Total Trip Tables Sup #2'!F18*'Other Assumptions'!J66*'Other Assumptions'!J73+'Total Trip Tables Sup #2'!F19*'Other Assumptions'!J66*'Other Assumptions'!J73</f>
        <v>516.33828750071586</v>
      </c>
      <c r="G16" s="4">
        <f ca="1">'Total Trip Tables Sup #2'!G16+'Total Trip Tables Sup #2'!G18*'Other Assumptions'!K66*'Other Assumptions'!K73+'Total Trip Tables Sup #2'!G19*'Other Assumptions'!K66*'Other Assumptions'!K73</f>
        <v>556.82249957326144</v>
      </c>
      <c r="H16" s="4">
        <f ca="1">'Total Trip Tables Sup #2'!H16+'Total Trip Tables Sup #2'!H18*'Other Assumptions'!L66*'Other Assumptions'!L73+'Total Trip Tables Sup #2'!H19*'Other Assumptions'!L66*'Other Assumptions'!L73</f>
        <v>595.71152731620009</v>
      </c>
      <c r="I16" s="1">
        <f ca="1">'Total Trip Tables Sup #2'!I16+'Total Trip Tables Sup #2'!I18*'Other Assumptions'!M66*'Other Assumptions'!M73+'Total Trip Tables Sup #2'!I19*'Other Assumptions'!M66*'Other Assumptions'!M73</f>
        <v>622.42221477351654</v>
      </c>
      <c r="J16" s="1">
        <f ca="1">'Total Trip Tables Sup #2'!J16+'Total Trip Tables Sup #2'!J18*'Other Assumptions'!N66*'Other Assumptions'!N73+'Total Trip Tables Sup #2'!J19*'Other Assumptions'!N66*'Other Assumptions'!N73</f>
        <v>648.0067650866481</v>
      </c>
      <c r="K16" s="1">
        <f ca="1">'Total Trip Tables Sup #2'!K16+'Total Trip Tables Sup #2'!K18*'Other Assumptions'!O66*'Other Assumptions'!O73+'Total Trip Tables Sup #2'!K19*'Other Assumptions'!O66*'Other Assumptions'!O73</f>
        <v>672.81342306290969</v>
      </c>
    </row>
    <row r="17" spans="1:11" x14ac:dyDescent="0.25">
      <c r="A17" t="str">
        <f ca="1">OFFSET(Auckland_Reference,7,2)</f>
        <v>Cyclist</v>
      </c>
      <c r="B17" s="4">
        <f ca="1">'Total Trip Tables Sup #2'!B17</f>
        <v>7.0506319707999996</v>
      </c>
      <c r="C17" s="4">
        <f ca="1">'Total Trip Tables Sup #2'!C17+'Total Trip Tables Sup #2'!C18*'Other Assumptions'!G66*'Other Assumptions'!G72+'Total Trip Tables Sup #2'!C19*'Other Assumptions'!G66*'Other Assumptions'!G72</f>
        <v>7.8903388534394159</v>
      </c>
      <c r="D17" s="4">
        <f ca="1">'Total Trip Tables Sup #2'!D17+'Total Trip Tables Sup #2'!D18*'Other Assumptions'!H66*'Other Assumptions'!H72+'Total Trip Tables Sup #2'!D19*'Other Assumptions'!H66*'Other Assumptions'!H72</f>
        <v>19.511315394915112</v>
      </c>
      <c r="E17" s="4">
        <f ca="1">'Total Trip Tables Sup #2'!E17+'Total Trip Tables Sup #2'!E18*'Other Assumptions'!I66*'Other Assumptions'!I72+'Total Trip Tables Sup #2'!E19*'Other Assumptions'!I66*'Other Assumptions'!I72</f>
        <v>25.174696610305794</v>
      </c>
      <c r="F17" s="4">
        <f ca="1">'Total Trip Tables Sup #2'!F17+'Total Trip Tables Sup #2'!F18*'Other Assumptions'!J66*'Other Assumptions'!J72+'Total Trip Tables Sup #2'!F19*'Other Assumptions'!J66*'Other Assumptions'!J72</f>
        <v>30.863899704963607</v>
      </c>
      <c r="G17" s="4">
        <f ca="1">'Total Trip Tables Sup #2'!G17+'Total Trip Tables Sup #2'!G18*'Other Assumptions'!K66*'Other Assumptions'!K72+'Total Trip Tables Sup #2'!G19*'Other Assumptions'!K66*'Other Assumptions'!K72</f>
        <v>36.227290635470709</v>
      </c>
      <c r="H17" s="4">
        <f ca="1">'Total Trip Tables Sup #2'!H17+'Total Trip Tables Sup #2'!H18*'Other Assumptions'!L66*'Other Assumptions'!L72+'Total Trip Tables Sup #2'!H19*'Other Assumptions'!L66*'Other Assumptions'!L72</f>
        <v>41.662273186446363</v>
      </c>
      <c r="I17" s="1">
        <f ca="1">'Total Trip Tables Sup #2'!I17+'Total Trip Tables Sup #2'!I18*'Other Assumptions'!M66*'Other Assumptions'!M72+'Total Trip Tables Sup #2'!I19*'Other Assumptions'!M66*'Other Assumptions'!M72</f>
        <v>44.396969459600612</v>
      </c>
      <c r="J17" s="1">
        <f ca="1">'Total Trip Tables Sup #2'!J17+'Total Trip Tables Sup #2'!J18*'Other Assumptions'!N66*'Other Assumptions'!N72+'Total Trip Tables Sup #2'!J19*'Other Assumptions'!N66*'Other Assumptions'!N72</f>
        <v>46.978567106451806</v>
      </c>
      <c r="K17" s="1">
        <f ca="1">'Total Trip Tables Sup #2'!K17+'Total Trip Tables Sup #2'!K18*'Other Assumptions'!O66*'Other Assumptions'!O72+'Total Trip Tables Sup #2'!K19*'Other Assumptions'!O66*'Other Assumptions'!O72</f>
        <v>49.349025880271697</v>
      </c>
    </row>
    <row r="18" spans="1:11" x14ac:dyDescent="0.25">
      <c r="A18" t="str">
        <f ca="1">OFFSET(Auckland_Reference,14,2)</f>
        <v>Light Vehicle Driver</v>
      </c>
      <c r="B18" s="4">
        <f ca="1">'Total Trip Tables Sup #2'!B18</f>
        <v>981.24355252999999</v>
      </c>
      <c r="C18" s="4">
        <f ca="1">'Total Trip Tables Sup #2'!C18*(1-'Other Assumptions'!G7)*(1-'Other Assumptions'!G66)</f>
        <v>1124.0249843336726</v>
      </c>
      <c r="D18" s="4">
        <f ca="1">'Total Trip Tables Sup #2'!D18*(1-'Other Assumptions'!H7)*(1-'Other Assumptions'!H66)</f>
        <v>950.35133707017042</v>
      </c>
      <c r="E18" s="4">
        <f ca="1">'Total Trip Tables Sup #2'!E18*(1-'Other Assumptions'!I7)*(1-'Other Assumptions'!I66)</f>
        <v>868.38698208887729</v>
      </c>
      <c r="F18" s="4">
        <f ca="1">'Total Trip Tables Sup #2'!F18*(1-'Other Assumptions'!J7)*(1-'Other Assumptions'!J66)</f>
        <v>783.70978941760563</v>
      </c>
      <c r="G18" s="4">
        <f ca="1">'Total Trip Tables Sup #2'!G18*(1-'Other Assumptions'!K7)*(1-'Other Assumptions'!K66)</f>
        <v>696.75659691248165</v>
      </c>
      <c r="H18" s="4">
        <f ca="1">'Total Trip Tables Sup #2'!H18*(1-'Other Assumptions'!L7)*(1-'Other Assumptions'!L66)</f>
        <v>604.15908621389406</v>
      </c>
      <c r="I18" s="1">
        <f ca="1">'Total Trip Tables Sup #2'!I18*(1-'Other Assumptions'!M7)*(1-'Other Assumptions'!M66)</f>
        <v>510.2349945541331</v>
      </c>
      <c r="J18" s="1">
        <f ca="1">'Total Trip Tables Sup #2'!J18*(1-'Other Assumptions'!N7)*(1-'Other Assumptions'!N66)</f>
        <v>414.29552475658994</v>
      </c>
      <c r="K18" s="1">
        <f ca="1">'Total Trip Tables Sup #2'!K18*(1-'Other Assumptions'!O7)*(1-'Other Assumptions'!O66)</f>
        <v>422.69996159463074</v>
      </c>
    </row>
    <row r="19" spans="1:11" x14ac:dyDescent="0.25">
      <c r="A19" t="str">
        <f ca="1">OFFSET(Auckland_Reference,21,2)</f>
        <v>Light Vehicle Passenger</v>
      </c>
      <c r="B19" s="4">
        <f ca="1">'Total Trip Tables Sup #2'!B19</f>
        <v>488.06073575000011</v>
      </c>
      <c r="C19" s="4">
        <f ca="1">'Total Trip Tables Sup #2'!C19*(1-'Other Assumptions'!G7)*(1-'Other Assumptions'!G66+'Other Assumptions'!G66*'Other Assumptions'!G69)+'Total Trip Tables Sup #2'!C18*(1-'Other Assumptions'!G7)*'Other Assumptions'!G66*'Other Assumptions'!G69</f>
        <v>530.15227546773019</v>
      </c>
      <c r="D19" s="4">
        <f ca="1">'Total Trip Tables Sup #2'!D19*(1-'Other Assumptions'!H7)*(1-'Other Assumptions'!H66+'Other Assumptions'!H66*'Other Assumptions'!H69)+'Total Trip Tables Sup #2'!D18*(1-'Other Assumptions'!H7)*'Other Assumptions'!H66*'Other Assumptions'!H69</f>
        <v>604.10211173330197</v>
      </c>
      <c r="E19" s="4">
        <f ca="1">'Total Trip Tables Sup #2'!E19*(1-'Other Assumptions'!I7)*(1-'Other Assumptions'!I66+'Other Assumptions'!I66*'Other Assumptions'!I69)+'Total Trip Tables Sup #2'!E18*(1-'Other Assumptions'!I7)*'Other Assumptions'!I66*'Other Assumptions'!I69</f>
        <v>568.62114142516521</v>
      </c>
      <c r="F19" s="4">
        <f ca="1">'Total Trip Tables Sup #2'!F19*(1-'Other Assumptions'!J7)*(1-'Other Assumptions'!J66+'Other Assumptions'!J66*'Other Assumptions'!J69)+'Total Trip Tables Sup #2'!F18*(1-'Other Assumptions'!J7)*'Other Assumptions'!J66*'Other Assumptions'!J69</f>
        <v>526.28721998157732</v>
      </c>
      <c r="G19" s="4">
        <f ca="1">'Total Trip Tables Sup #2'!G19*(1-'Other Assumptions'!K7)*(1-'Other Assumptions'!K66+'Other Assumptions'!K66*'Other Assumptions'!K69)+'Total Trip Tables Sup #2'!G18*(1-'Other Assumptions'!K7)*'Other Assumptions'!K66*'Other Assumptions'!K69</f>
        <v>472.65727660269818</v>
      </c>
      <c r="H19" s="4">
        <f ca="1">'Total Trip Tables Sup #2'!H19*(1-'Other Assumptions'!L7)*(1-'Other Assumptions'!L66+'Other Assumptions'!L66*'Other Assumptions'!L69)+'Total Trip Tables Sup #2'!H18*(1-'Other Assumptions'!L7)*'Other Assumptions'!L66*'Other Assumptions'!L69</f>
        <v>413.0908798417322</v>
      </c>
      <c r="I19" s="1">
        <f ca="1">'Total Trip Tables Sup #2'!I19*(1-'Other Assumptions'!M7)*(1-'Other Assumptions'!M66+'Other Assumptions'!M66*'Other Assumptions'!M69)+'Total Trip Tables Sup #2'!I18*(1-'Other Assumptions'!M7)*'Other Assumptions'!M66*'Other Assumptions'!M69</f>
        <v>361.33724247202048</v>
      </c>
      <c r="J19" s="1">
        <f ca="1">'Total Trip Tables Sup #2'!J19*(1-'Other Assumptions'!N7)*(1-'Other Assumptions'!N66+'Other Assumptions'!N66*'Other Assumptions'!N69)+'Total Trip Tables Sup #2'!J18*(1-'Other Assumptions'!N7)*'Other Assumptions'!N66*'Other Assumptions'!N69</f>
        <v>301.85017906286657</v>
      </c>
      <c r="K19" s="1">
        <f ca="1">'Total Trip Tables Sup #2'!K19*(1-'Other Assumptions'!O7)*(1-'Other Assumptions'!O66+'Other Assumptions'!O66*'Other Assumptions'!O69)+'Total Trip Tables Sup #2'!K18*(1-'Other Assumptions'!O7)*'Other Assumptions'!O66*'Other Assumptions'!O69</f>
        <v>313.59382761379766</v>
      </c>
    </row>
    <row r="20" spans="1:11" x14ac:dyDescent="0.25">
      <c r="A20" t="str">
        <f ca="1">OFFSET(Auckland_Reference,28,2)</f>
        <v>Taxi/Vehicle Share</v>
      </c>
      <c r="B20" s="4">
        <f ca="1">'Total Trip Tables Sup #2'!B20</f>
        <v>6.0232688673999997</v>
      </c>
      <c r="C20" s="4">
        <f ca="1">'Total Trip Tables Sup #2'!C20+((C18+C19)*'Other Assumptions'!G7/(1-'Other Assumptions'!G7))</f>
        <v>7.245350344740495</v>
      </c>
      <c r="D20" s="4">
        <f ca="1">'Total Trip Tables Sup #2'!D20+((D18+D19)*'Other Assumptions'!H7/(1-'Other Assumptions'!H7))</f>
        <v>8.2207952218594702</v>
      </c>
      <c r="E20" s="4">
        <f ca="1">'Total Trip Tables Sup #2'!E20+((E18+E19)*'Other Assumptions'!I7/(1-'Other Assumptions'!I7))</f>
        <v>168.66217041543322</v>
      </c>
      <c r="F20" s="4">
        <f ca="1">'Total Trip Tables Sup #2'!F20+((F18+F19)*'Other Assumptions'!J7/(1-'Other Assumptions'!J7))</f>
        <v>337.18220678123862</v>
      </c>
      <c r="G20" s="4">
        <f ca="1">'Total Trip Tables Sup #2'!G20+((G18+G19)*'Other Assumptions'!K7/(1-'Other Assumptions'!K7))</f>
        <v>511.4059630229097</v>
      </c>
      <c r="H20" s="4">
        <f ca="1">'Total Trip Tables Sup #2'!H20+((H18+H19)*'Other Assumptions'!L7/(1-'Other Assumptions'!L7))</f>
        <v>688.91777927718954</v>
      </c>
      <c r="I20" s="1">
        <f ca="1">'Total Trip Tables Sup #2'!I20+((I18+I19)*'Other Assumptions'!M7/(1-'Other Assumptions'!M7))</f>
        <v>882.77379511656227</v>
      </c>
      <c r="J20" s="1">
        <f ca="1">'Total Trip Tables Sup #2'!J20+((J18+J19)*'Other Assumptions'!N7/(1-'Other Assumptions'!N7))</f>
        <v>1085.8518466080229</v>
      </c>
      <c r="K20" s="1">
        <f ca="1">'Total Trip Tables Sup #2'!K20+((K18+K19)*'Other Assumptions'!O7/(1-'Other Assumptions'!O7))</f>
        <v>1116.4959780250879</v>
      </c>
    </row>
    <row r="21" spans="1:11" x14ac:dyDescent="0.25">
      <c r="A21" t="str">
        <f ca="1">OFFSET(Auckland_Reference,35,2)</f>
        <v>Motorcyclist</v>
      </c>
      <c r="B21" s="4">
        <f ca="1">'Total Trip Tables Sup #2'!B21</f>
        <v>4.1170216905999997</v>
      </c>
      <c r="C21" s="4">
        <f ca="1">'Total Trip Tables Sup #2'!C21</f>
        <v>4.6448197521644916</v>
      </c>
      <c r="D21" s="4">
        <f ca="1">'Total Trip Tables Sup #2'!D21</f>
        <v>4.9893283831154758</v>
      </c>
      <c r="E21" s="4">
        <f ca="1">'Total Trip Tables Sup #2'!E21</f>
        <v>5.2568233341911421</v>
      </c>
      <c r="F21" s="4">
        <f ca="1">'Total Trip Tables Sup #2'!F21</f>
        <v>5.4867226068560431</v>
      </c>
      <c r="G21" s="4">
        <f ca="1">'Total Trip Tables Sup #2'!G21</f>
        <v>5.6088116760408564</v>
      </c>
      <c r="H21" s="4">
        <f ca="1">'Total Trip Tables Sup #2'!H21</f>
        <v>5.688135031424018</v>
      </c>
      <c r="I21" s="1">
        <f ca="1">'Total Trip Tables Sup #2'!I21</f>
        <v>5.9672785278755267</v>
      </c>
      <c r="J21" s="1">
        <f ca="1">'Total Trip Tables Sup #2'!J21</f>
        <v>6.2403075131891805</v>
      </c>
      <c r="K21" s="1">
        <f ca="1">'Total Trip Tables Sup #2'!K21</f>
        <v>6.5119009690902345</v>
      </c>
    </row>
    <row r="22" spans="1:11" x14ac:dyDescent="0.25">
      <c r="A22" t="str">
        <f ca="1">OFFSET(Auckland_Reference,42,2)</f>
        <v>Local Train</v>
      </c>
      <c r="B22" s="4">
        <f ca="1">'Total Trip Tables Sup #2'!B22</f>
        <v>10.038805999999999</v>
      </c>
      <c r="C22" s="4">
        <f ca="1">'Total Trip Tables Sup #2'!C22+'Total Trip Tables Sup #2'!C18*'Other Assumptions'!G66*'Other Assumptions'!G71+'Total Trip Tables Sup #2'!C19*'Other Assumptions'!G66*'Other Assumptions'!G71</f>
        <v>22.712377671536682</v>
      </c>
      <c r="D22" s="4">
        <f ca="1">'Total Trip Tables Sup #2'!D22+'Total Trip Tables Sup #2'!D18*'Other Assumptions'!H66*'Other Assumptions'!H71+'Total Trip Tables Sup #2'!D19*'Other Assumptions'!H66*'Other Assumptions'!H71</f>
        <v>77.737662500412085</v>
      </c>
      <c r="E22" s="4">
        <f ca="1">'Total Trip Tables Sup #2'!E22+'Total Trip Tables Sup #2'!E18*'Other Assumptions'!I66*'Other Assumptions'!I71+'Total Trip Tables Sup #2'!E19*'Other Assumptions'!I66*'Other Assumptions'!I71</f>
        <v>101.71490751763913</v>
      </c>
      <c r="F22" s="4">
        <f ca="1">'Total Trip Tables Sup #2'!F22+'Total Trip Tables Sup #2'!F18*'Other Assumptions'!J66*'Other Assumptions'!J71+'Total Trip Tables Sup #2'!F19*'Other Assumptions'!J66*'Other Assumptions'!J71</f>
        <v>115.9038350157944</v>
      </c>
      <c r="G22" s="4">
        <f ca="1">'Total Trip Tables Sup #2'!G22+'Total Trip Tables Sup #2'!G18*'Other Assumptions'!K66*'Other Assumptions'!K71+'Total Trip Tables Sup #2'!G19*'Other Assumptions'!K66*'Other Assumptions'!K71</f>
        <v>127.32459294436265</v>
      </c>
      <c r="H22" s="4">
        <f ca="1">'Total Trip Tables Sup #2'!H22+'Total Trip Tables Sup #2'!H18*'Other Assumptions'!L66*'Other Assumptions'!L71+'Total Trip Tables Sup #2'!H19*'Other Assumptions'!L66*'Other Assumptions'!L71</f>
        <v>137.83855830041031</v>
      </c>
      <c r="I22" s="1">
        <f ca="1">'Total Trip Tables Sup #2'!I22+'Total Trip Tables Sup #2'!I18*'Other Assumptions'!M66*'Other Assumptions'!M71+'Total Trip Tables Sup #2'!I19*'Other Assumptions'!M66*'Other Assumptions'!M71</f>
        <v>151.93324297866943</v>
      </c>
      <c r="J22" s="1">
        <f ca="1">'Total Trip Tables Sup #2'!J22+'Total Trip Tables Sup #2'!J18*'Other Assumptions'!N66*'Other Assumptions'!N71+'Total Trip Tables Sup #2'!J19*'Other Assumptions'!N66*'Other Assumptions'!N71</f>
        <v>165.83715070122662</v>
      </c>
      <c r="K22" s="1">
        <f ca="1">'Total Trip Tables Sup #2'!K22+'Total Trip Tables Sup #2'!K18*'Other Assumptions'!O66*'Other Assumptions'!O71+'Total Trip Tables Sup #2'!K19*'Other Assumptions'!O66*'Other Assumptions'!O71</f>
        <v>179.48296784030435</v>
      </c>
    </row>
    <row r="23" spans="1:11" x14ac:dyDescent="0.25">
      <c r="A23" t="str">
        <f ca="1">OFFSET(Auckland_Reference,49,2)</f>
        <v>Local Bus</v>
      </c>
      <c r="B23" s="4">
        <f ca="1">'Total Trip Tables Sup #2'!B23</f>
        <v>53.530078000000003</v>
      </c>
      <c r="C23" s="4">
        <f ca="1">'Total Trip Tables Sup #2'!C23+'Total Trip Tables Sup #2'!C18*'Other Assumptions'!G66*'Other Assumptions'!G70+'Total Trip Tables Sup #2'!C19*'Other Assumptions'!G66*'Other Assumptions'!G70</f>
        <v>63.569180113505666</v>
      </c>
      <c r="D23" s="4">
        <f ca="1">'Total Trip Tables Sup #2'!D23+'Total Trip Tables Sup #2'!D18*'Other Assumptions'!H66*'Other Assumptions'!H70+'Total Trip Tables Sup #2'!D19*'Other Assumptions'!H66*'Other Assumptions'!H70</f>
        <v>225.06687428415341</v>
      </c>
      <c r="E23" s="4">
        <f ca="1">'Total Trip Tables Sup #2'!E23+'Total Trip Tables Sup #2'!E18*'Other Assumptions'!I66*'Other Assumptions'!I70+'Total Trip Tables Sup #2'!E19*'Other Assumptions'!I66*'Other Assumptions'!I70</f>
        <v>263.97139010529702</v>
      </c>
      <c r="F23" s="4">
        <f ca="1">'Total Trip Tables Sup #2'!F23+'Total Trip Tables Sup #2'!F18*'Other Assumptions'!J66*'Other Assumptions'!J70+'Total Trip Tables Sup #2'!F19*'Other Assumptions'!J66*'Other Assumptions'!J70</f>
        <v>298.92452474611719</v>
      </c>
      <c r="G23" s="4">
        <f ca="1">'Total Trip Tables Sup #2'!G23+'Total Trip Tables Sup #2'!G18*'Other Assumptions'!K66*'Other Assumptions'!K70+'Total Trip Tables Sup #2'!G19*'Other Assumptions'!K66*'Other Assumptions'!K70</f>
        <v>323.39139000620355</v>
      </c>
      <c r="H23" s="4">
        <f ca="1">'Total Trip Tables Sup #2'!H23+'Total Trip Tables Sup #2'!H18*'Other Assumptions'!L66*'Other Assumptions'!L70+'Total Trip Tables Sup #2'!H19*'Other Assumptions'!L66*'Other Assumptions'!L70</f>
        <v>345.31299607811269</v>
      </c>
      <c r="I23" s="1">
        <f ca="1">'Total Trip Tables Sup #2'!I23+'Total Trip Tables Sup #2'!I18*'Other Assumptions'!M66*'Other Assumptions'!M70+'Total Trip Tables Sup #2'!I19*'Other Assumptions'!M66*'Other Assumptions'!M70</f>
        <v>378.29040703632364</v>
      </c>
      <c r="J23" s="1">
        <f ca="1">'Total Trip Tables Sup #2'!J23+'Total Trip Tables Sup #2'!J18*'Other Assumptions'!N66*'Other Assumptions'!N70+'Total Trip Tables Sup #2'!J19*'Other Assumptions'!N66*'Other Assumptions'!N70</f>
        <v>409.04366752630426</v>
      </c>
      <c r="K23" s="1">
        <f ca="1">'Total Trip Tables Sup #2'!K23+'Total Trip Tables Sup #2'!K18*'Other Assumptions'!O66*'Other Assumptions'!O70+'Total Trip Tables Sup #2'!K19*'Other Assumptions'!O66*'Other Assumptions'!O70</f>
        <v>436.145913004823</v>
      </c>
    </row>
    <row r="24" spans="1:11" x14ac:dyDescent="0.25">
      <c r="A24" t="str">
        <f ca="1">OFFSET(Auckland_Reference,56,2)</f>
        <v>Local Ferry</v>
      </c>
      <c r="B24" s="4">
        <f ca="1">'Total Trip Tables Sup #2'!B24</f>
        <v>4.957052</v>
      </c>
      <c r="C24" s="4">
        <f ca="1">'Total Trip Tables Sup #2'!C24</f>
        <v>5.8147649084745439</v>
      </c>
      <c r="D24" s="4">
        <f ca="1">'Total Trip Tables Sup #2'!D24</f>
        <v>6.4867810972856068</v>
      </c>
      <c r="E24" s="4">
        <f ca="1">'Total Trip Tables Sup #2'!E24</f>
        <v>6.9196096438392969</v>
      </c>
      <c r="F24" s="4">
        <f ca="1">'Total Trip Tables Sup #2'!F24</f>
        <v>7.2446200748490117</v>
      </c>
      <c r="G24" s="4">
        <f ca="1">'Total Trip Tables Sup #2'!G24</f>
        <v>7.7037579546684265</v>
      </c>
      <c r="H24" s="4">
        <f ca="1">'Total Trip Tables Sup #2'!H24</f>
        <v>8.0980321201952492</v>
      </c>
      <c r="I24" s="1">
        <f ca="1">'Total Trip Tables Sup #2'!I24</f>
        <v>8.3146086216046413</v>
      </c>
      <c r="J24" s="1">
        <f ca="1">'Total Trip Tables Sup #2'!J24</f>
        <v>8.5116753755108654</v>
      </c>
      <c r="K24" s="1">
        <f ca="1">'Total Trip Tables Sup #2'!K24</f>
        <v>8.696608048742597</v>
      </c>
    </row>
    <row r="25" spans="1:11" x14ac:dyDescent="0.25">
      <c r="A25" t="str">
        <f ca="1">OFFSET(Auckland_Reference,63,2)</f>
        <v>Other Household Travel</v>
      </c>
      <c r="B25" s="4">
        <f ca="1">'Total Trip Tables Sup #2'!B25</f>
        <v>2.2145179384000002</v>
      </c>
      <c r="C25" s="4">
        <f ca="1">'Total Trip Tables Sup #2'!C25</f>
        <v>2.5181390572393614</v>
      </c>
      <c r="D25" s="4">
        <f ca="1">'Total Trip Tables Sup #2'!D25</f>
        <v>2.7826807811053764</v>
      </c>
      <c r="E25" s="4">
        <f ca="1">'Total Trip Tables Sup #2'!E25</f>
        <v>2.9952019264243521</v>
      </c>
      <c r="F25" s="4">
        <f ca="1">'Total Trip Tables Sup #2'!F25</f>
        <v>3.186448050947102</v>
      </c>
      <c r="G25" s="4">
        <f ca="1">'Total Trip Tables Sup #2'!G25</f>
        <v>3.3527101516584232</v>
      </c>
      <c r="H25" s="4">
        <f ca="1">'Total Trip Tables Sup #2'!H25</f>
        <v>3.4737573447258714</v>
      </c>
      <c r="I25" s="1">
        <f ca="1">'Total Trip Tables Sup #2'!I25</f>
        <v>3.6364968718879593</v>
      </c>
      <c r="J25" s="1">
        <f ca="1">'Total Trip Tables Sup #2'!J25</f>
        <v>3.7948422610366292</v>
      </c>
      <c r="K25" s="1">
        <f ca="1">'Total Trip Tables Sup #2'!K25</f>
        <v>3.9516708592153105</v>
      </c>
    </row>
    <row r="26" spans="1:11" x14ac:dyDescent="0.25">
      <c r="A26" t="str">
        <f ca="1">OFFSET(Waikato_Reference,0,0)</f>
        <v>03 WAIKATO</v>
      </c>
      <c r="B26" s="4">
        <f ca="1">SUM(B27:B36)</f>
        <v>529.4809706353002</v>
      </c>
      <c r="C26" s="4">
        <f t="shared" ref="C26" ca="1" si="8">SUM(C27:C36)</f>
        <v>579.04522742974416</v>
      </c>
      <c r="D26" s="4">
        <f t="shared" ref="D26" ca="1" si="9">SUM(D27:D36)</f>
        <v>608.75317120986176</v>
      </c>
      <c r="E26" s="4">
        <f t="shared" ref="E26" ca="1" si="10">SUM(E27:E36)</f>
        <v>633.52281592125541</v>
      </c>
      <c r="F26" s="4">
        <f t="shared" ref="F26" ca="1" si="11">SUM(F27:F36)</f>
        <v>654.72750998241418</v>
      </c>
      <c r="G26" s="4">
        <f t="shared" ref="G26" ca="1" si="12">SUM(G27:G36)</f>
        <v>669.97764910074773</v>
      </c>
      <c r="H26" s="4">
        <f t="shared" ref="H26:K26" ca="1" si="13">SUM(H27:H36)</f>
        <v>682.26134582017687</v>
      </c>
      <c r="I26" s="1">
        <f t="shared" ca="1" si="13"/>
        <v>697.23931450377347</v>
      </c>
      <c r="J26" s="1">
        <f t="shared" ca="1" si="13"/>
        <v>710.28239818553629</v>
      </c>
      <c r="K26" s="1">
        <f t="shared" ca="1" si="13"/>
        <v>722.01872960545484</v>
      </c>
    </row>
    <row r="27" spans="1:11" x14ac:dyDescent="0.25">
      <c r="A27" t="str">
        <f ca="1">OFFSET(Waikato_Reference,0,2)</f>
        <v>Pedestrian</v>
      </c>
      <c r="B27" s="4">
        <f ca="1">'Total Trip Tables Sup #2'!B27</f>
        <v>68.689195601999998</v>
      </c>
      <c r="C27" s="4">
        <f ca="1">'Total Trip Tables Sup #2'!C27</f>
        <v>74.468696370121833</v>
      </c>
      <c r="D27" s="4">
        <f ca="1">'Total Trip Tables Sup #2'!D27</f>
        <v>82.018322684857893</v>
      </c>
      <c r="E27" s="4">
        <f ca="1">'Total Trip Tables Sup #2'!E27</f>
        <v>88.396262245547163</v>
      </c>
      <c r="F27" s="4">
        <f ca="1">'Total Trip Tables Sup #2'!F27</f>
        <v>93.992824423987543</v>
      </c>
      <c r="G27" s="4">
        <f ca="1">'Total Trip Tables Sup #2'!G27</f>
        <v>99.089513957901303</v>
      </c>
      <c r="H27" s="4">
        <f ca="1">'Total Trip Tables Sup #2'!H27</f>
        <v>103.80228893049807</v>
      </c>
      <c r="I27" s="1">
        <f ca="1">'Total Trip Tables Sup #2'!I27</f>
        <v>106.03430736666608</v>
      </c>
      <c r="J27" s="1">
        <f ca="1">'Total Trip Tables Sup #2'!J27</f>
        <v>107.97088038650189</v>
      </c>
      <c r="K27" s="1">
        <f ca="1">'Total Trip Tables Sup #2'!K27</f>
        <v>109.70782720975409</v>
      </c>
    </row>
    <row r="28" spans="1:11" x14ac:dyDescent="0.25">
      <c r="A28" t="str">
        <f ca="1">OFFSET(Waikato_Reference,7,2)</f>
        <v>Cyclist</v>
      </c>
      <c r="B28" s="4">
        <f ca="1">'Total Trip Tables Sup #2'!B28</f>
        <v>5.8956498267999997</v>
      </c>
      <c r="C28" s="4">
        <f ca="1">'Total Trip Tables Sup #2'!C28</f>
        <v>6.3770047554585059</v>
      </c>
      <c r="D28" s="4">
        <f ca="1">'Total Trip Tables Sup #2'!D28</f>
        <v>9.1972525068593942</v>
      </c>
      <c r="E28" s="4">
        <f ca="1">'Total Trip Tables Sup #2'!E28</f>
        <v>11.945922829267861</v>
      </c>
      <c r="F28" s="4">
        <f ca="1">'Total Trip Tables Sup #2'!F28</f>
        <v>14.714023327355932</v>
      </c>
      <c r="G28" s="4">
        <f ca="1">'Total Trip Tables Sup #2'!G28</f>
        <v>17.492930337631144</v>
      </c>
      <c r="H28" s="4">
        <f ca="1">'Total Trip Tables Sup #2'!H28</f>
        <v>20.28746524249933</v>
      </c>
      <c r="I28" s="1">
        <f ca="1">'Total Trip Tables Sup #2'!I28</f>
        <v>20.841859134667576</v>
      </c>
      <c r="J28" s="1">
        <f ca="1">'Total Trip Tables Sup #2'!J28</f>
        <v>21.34539700869265</v>
      </c>
      <c r="K28" s="1">
        <f ca="1">'Total Trip Tables Sup #2'!K28</f>
        <v>21.816286316130324</v>
      </c>
    </row>
    <row r="29" spans="1:11" x14ac:dyDescent="0.25">
      <c r="A29" t="str">
        <f ca="1">OFFSET(Waikato_Reference,14,2)</f>
        <v>Light Vehicle Driver</v>
      </c>
      <c r="B29" s="4">
        <f ca="1">'Total Trip Tables Sup #2'!B29</f>
        <v>305.41478153000003</v>
      </c>
      <c r="C29" s="4">
        <f ca="1">'Total Trip Tables Sup #2'!C29*(1-'Other Assumptions'!G8)</f>
        <v>339.73609829213825</v>
      </c>
      <c r="D29" s="4">
        <f ca="1">'Total Trip Tables Sup #2'!D29*(1-'Other Assumptions'!H8)</f>
        <v>356.80906299371742</v>
      </c>
      <c r="E29" s="4">
        <f ca="1">'Total Trip Tables Sup #2'!E29*(1-'Other Assumptions'!I8)</f>
        <v>334.45691999726387</v>
      </c>
      <c r="F29" s="4">
        <f ca="1">'Total Trip Tables Sup #2'!F29*(1-'Other Assumptions'!J8)</f>
        <v>307.51001201100132</v>
      </c>
      <c r="G29" s="4">
        <f ca="1">'Total Trip Tables Sup #2'!G29*(1-'Other Assumptions'!K8)</f>
        <v>274.98372725380119</v>
      </c>
      <c r="H29" s="4">
        <f ca="1">'Total Trip Tables Sup #2'!H29*(1-'Other Assumptions'!L8)</f>
        <v>239.72457035175057</v>
      </c>
      <c r="I29" s="1">
        <f ca="1">'Total Trip Tables Sup #2'!I29*(1-'Other Assumptions'!M8)</f>
        <v>204.13088969592206</v>
      </c>
      <c r="J29" s="1">
        <f ca="1">'Total Trip Tables Sup #2'!J29*(1-'Other Assumptions'!N8)</f>
        <v>166.33828738823459</v>
      </c>
      <c r="K29" s="1">
        <f ca="1">'Total Trip Tables Sup #2'!K29*(1-'Other Assumptions'!O8)</f>
        <v>169.06433271756654</v>
      </c>
    </row>
    <row r="30" spans="1:11" x14ac:dyDescent="0.25">
      <c r="A30" t="str">
        <f ca="1">OFFSET(Waikato_Reference,21,2)</f>
        <v>Light Vehicle Passenger</v>
      </c>
      <c r="B30" s="4">
        <f ca="1">'Total Trip Tables Sup #2'!B30</f>
        <v>139.07206360000004</v>
      </c>
      <c r="C30" s="4">
        <f ca="1">'Total Trip Tables Sup #2'!C30*(1-'Other Assumptions'!G8)</f>
        <v>147.46451438669382</v>
      </c>
      <c r="D30" s="4">
        <f ca="1">'Total Trip Tables Sup #2'!D30*(1-'Other Assumptions'!H8)</f>
        <v>149.44375890120486</v>
      </c>
      <c r="E30" s="4">
        <f ca="1">'Total Trip Tables Sup #2'!E30*(1-'Other Assumptions'!I8)</f>
        <v>135.02605072078839</v>
      </c>
      <c r="F30" s="4">
        <f ca="1">'Total Trip Tables Sup #2'!F30*(1-'Other Assumptions'!J8)</f>
        <v>119.98305548153394</v>
      </c>
      <c r="G30" s="4">
        <f ca="1">'Total Trip Tables Sup #2'!G30*(1-'Other Assumptions'!K8)</f>
        <v>104.18026168747677</v>
      </c>
      <c r="H30" s="4">
        <f ca="1">'Total Trip Tables Sup #2'!H30*(1-'Other Assumptions'!L8)</f>
        <v>88.142039741633724</v>
      </c>
      <c r="I30" s="1">
        <f ca="1">'Total Trip Tables Sup #2'!I30*(1-'Other Assumptions'!M8)</f>
        <v>75.050438783644196</v>
      </c>
      <c r="J30" s="1">
        <f ca="1">'Total Trip Tables Sup #2'!J30*(1-'Other Assumptions'!N8)</f>
        <v>61.15161516528957</v>
      </c>
      <c r="K30" s="1">
        <f ca="1">'Total Trip Tables Sup #2'!K30*(1-'Other Assumptions'!O8)</f>
        <v>62.149283894138641</v>
      </c>
    </row>
    <row r="31" spans="1:11" x14ac:dyDescent="0.25">
      <c r="A31" t="str">
        <f ca="1">OFFSET(Waikato_Reference,28,2)</f>
        <v>Taxi/Vehicle Share</v>
      </c>
      <c r="B31" s="4">
        <f ca="1">'Total Trip Tables Sup #2'!B31</f>
        <v>0.69122996950000004</v>
      </c>
      <c r="C31" s="4">
        <f ca="1">'Total Trip Tables Sup #2'!C31+((C29+C30)*'Other Assumptions'!G8/(1-'Other Assumptions'!G8))</f>
        <v>0.80365037520357652</v>
      </c>
      <c r="D31" s="4">
        <f ca="1">'Total Trip Tables Sup #2'!D31+((D29+D30)*'Other Assumptions'!H8/(1-'Other Assumptions'!H8))</f>
        <v>0.88060230741104506</v>
      </c>
      <c r="E31" s="4">
        <f ca="1">'Total Trip Tables Sup #2'!E31+((E29+E30)*'Other Assumptions'!I8/(1-'Other Assumptions'!I8))</f>
        <v>53.103427568023733</v>
      </c>
      <c r="F31" s="4">
        <f ca="1">'Total Trip Tables Sup #2'!F31+((F29+F30)*'Other Assumptions'!J8/(1-'Other Assumptions'!J8))</f>
        <v>107.859477060559</v>
      </c>
      <c r="G31" s="4">
        <f ca="1">'Total Trip Tables Sup #2'!G31+((G29+G30)*'Other Assumptions'!K8/(1-'Other Assumptions'!K8))</f>
        <v>163.51753713656558</v>
      </c>
      <c r="H31" s="4">
        <f ca="1">'Total Trip Tables Sup #2'!H31+((H29+H30)*'Other Assumptions'!L8/(1-'Other Assumptions'!L8))</f>
        <v>219.62619352906009</v>
      </c>
      <c r="I31" s="1">
        <f ca="1">'Total Trip Tables Sup #2'!I31+((I29+I30)*'Other Assumptions'!M8/(1-'Other Assumptions'!M8))</f>
        <v>280.25098420977616</v>
      </c>
      <c r="J31" s="1">
        <f ca="1">'Total Trip Tables Sup #2'!J31+((J29+J30)*'Other Assumptions'!N8/(1-'Other Assumptions'!N8))</f>
        <v>342.32262845984008</v>
      </c>
      <c r="K31" s="1">
        <f ca="1">'Total Trip Tables Sup #2'!K31+((K29+K30)*'Other Assumptions'!O8/(1-'Other Assumptions'!O8))</f>
        <v>347.92421097389996</v>
      </c>
    </row>
    <row r="32" spans="1:11" x14ac:dyDescent="0.25">
      <c r="A32" t="str">
        <f ca="1">OFFSET(Waikato_Reference,35,2)</f>
        <v>Motorcyclist</v>
      </c>
      <c r="B32" s="4">
        <f ca="1">'Total Trip Tables Sup #2'!B32</f>
        <v>1.8680965575999999</v>
      </c>
      <c r="C32" s="4">
        <f ca="1">'Total Trip Tables Sup #2'!C32</f>
        <v>2.0370537196244198</v>
      </c>
      <c r="D32" s="4">
        <f ca="1">'Total Trip Tables Sup #2'!D32</f>
        <v>2.1131675503928826</v>
      </c>
      <c r="E32" s="4">
        <f ca="1">'Total Trip Tables Sup #2'!E32</f>
        <v>2.169064270651647</v>
      </c>
      <c r="F32" s="4">
        <f ca="1">'Total Trip Tables Sup #2'!F32</f>
        <v>2.2095328140302763</v>
      </c>
      <c r="G32" s="4">
        <f ca="1">'Total Trip Tables Sup #2'!G32</f>
        <v>2.2086189651644754</v>
      </c>
      <c r="H32" s="4">
        <f ca="1">'Total Trip Tables Sup #2'!H32</f>
        <v>2.1932623727828453</v>
      </c>
      <c r="I32" s="1">
        <f ca="1">'Total Trip Tables Sup #2'!I32</f>
        <v>2.2530340293684485</v>
      </c>
      <c r="J32" s="1">
        <f ca="1">'Total Trip Tables Sup #2'!J32</f>
        <v>2.307109380421652</v>
      </c>
      <c r="K32" s="1">
        <f ca="1">'Total Trip Tables Sup #2'!K32</f>
        <v>2.3574404560439346</v>
      </c>
    </row>
    <row r="33" spans="1:11" x14ac:dyDescent="0.25">
      <c r="A33" t="str">
        <f ca="1">OFFSET(Waikato_Reference,42,2)</f>
        <v>Local Train</v>
      </c>
      <c r="B33" s="4">
        <f ca="1">'Total Trip Tables Sup #2'!B33</f>
        <v>0</v>
      </c>
      <c r="C33" s="4">
        <f ca="1">'Total Trip Tables Sup #2'!C33</f>
        <v>0</v>
      </c>
      <c r="D33" s="4">
        <f ca="1">'Total Trip Tables Sup #2'!D33</f>
        <v>0</v>
      </c>
      <c r="E33" s="4">
        <f ca="1">'Total Trip Tables Sup #2'!E33</f>
        <v>0</v>
      </c>
      <c r="F33" s="4">
        <f ca="1">'Total Trip Tables Sup #2'!F33</f>
        <v>0</v>
      </c>
      <c r="G33" s="4">
        <f ca="1">'Total Trip Tables Sup #2'!G33</f>
        <v>0</v>
      </c>
      <c r="H33" s="4">
        <f ca="1">'Total Trip Tables Sup #2'!H33</f>
        <v>0</v>
      </c>
      <c r="I33" s="1">
        <f ca="1">'Total Trip Tables Sup #2'!I33</f>
        <v>0</v>
      </c>
      <c r="J33" s="1">
        <f ca="1">'Total Trip Tables Sup #2'!J33</f>
        <v>0</v>
      </c>
      <c r="K33" s="1">
        <f ca="1">'Total Trip Tables Sup #2'!K33</f>
        <v>0</v>
      </c>
    </row>
    <row r="34" spans="1:11" x14ac:dyDescent="0.25">
      <c r="A34" t="str">
        <f ca="1">OFFSET(Waikato_Reference,49,2)</f>
        <v>Local Bus</v>
      </c>
      <c r="B34" s="4">
        <f ca="1">'Total Trip Tables Sup #2'!B34</f>
        <v>5.7199103379</v>
      </c>
      <c r="C34" s="4">
        <f ca="1">'Total Trip Tables Sup #2'!C34</f>
        <v>5.8086892233529737</v>
      </c>
      <c r="D34" s="4">
        <f ca="1">'Total Trip Tables Sup #2'!D34</f>
        <v>5.7808021224380397</v>
      </c>
      <c r="E34" s="4">
        <f ca="1">'Total Trip Tables Sup #2'!E34</f>
        <v>5.7957178230213913</v>
      </c>
      <c r="F34" s="4">
        <f ca="1">'Total Trip Tables Sup #2'!F34</f>
        <v>5.7335656737355416</v>
      </c>
      <c r="G34" s="4">
        <f ca="1">'Total Trip Tables Sup #2'!G34</f>
        <v>5.6979520395586416</v>
      </c>
      <c r="H34" s="4">
        <f ca="1">'Total Trip Tables Sup #2'!H34</f>
        <v>5.6326994308403773</v>
      </c>
      <c r="I34" s="1">
        <f ca="1">'Total Trip Tables Sup #2'!I34</f>
        <v>5.7601331835320595</v>
      </c>
      <c r="J34" s="1">
        <f ca="1">'Total Trip Tables Sup #2'!J34</f>
        <v>5.8717351421846855</v>
      </c>
      <c r="K34" s="1">
        <f ca="1">'Total Trip Tables Sup #2'!K34</f>
        <v>5.9726707439268125</v>
      </c>
    </row>
    <row r="35" spans="1:11" x14ac:dyDescent="0.25">
      <c r="A35" t="str">
        <f ca="1">OFFSET(Waikato_Reference,56,2)</f>
        <v>Local Ferry</v>
      </c>
      <c r="B35" s="4">
        <f ca="1">'Total Trip Tables Sup #2'!B35</f>
        <v>0.2446181519</v>
      </c>
      <c r="C35" s="4">
        <f ca="1">'Total Trip Tables Sup #2'!C35</f>
        <v>0.27734147343122051</v>
      </c>
      <c r="D35" s="4">
        <f ca="1">'Total Trip Tables Sup #2'!D35</f>
        <v>0.29879279968787342</v>
      </c>
      <c r="E35" s="4">
        <f ca="1">'Total Trip Tables Sup #2'!E35</f>
        <v>0.31051291972975442</v>
      </c>
      <c r="F35" s="4">
        <f ca="1">'Total Trip Tables Sup #2'!F35</f>
        <v>0.31728687519923687</v>
      </c>
      <c r="G35" s="4">
        <f ca="1">'Total Trip Tables Sup #2'!G35</f>
        <v>0.32991465609154286</v>
      </c>
      <c r="H35" s="4">
        <f ca="1">'Total Trip Tables Sup #2'!H35</f>
        <v>0.3395855691143152</v>
      </c>
      <c r="I35" s="1">
        <f ca="1">'Total Trip Tables Sup #2'!I35</f>
        <v>0.34141476123244568</v>
      </c>
      <c r="J35" s="1">
        <f ca="1">'Total Trip Tables Sup #2'!J35</f>
        <v>0.34223646876605635</v>
      </c>
      <c r="K35" s="1">
        <f ca="1">'Total Trip Tables Sup #2'!K35</f>
        <v>0.34239852325712838</v>
      </c>
    </row>
    <row r="36" spans="1:11" x14ac:dyDescent="0.25">
      <c r="A36" t="str">
        <f ca="1">OFFSET(Waikato_Reference,63,2)</f>
        <v>Other Household Travel</v>
      </c>
      <c r="B36" s="4">
        <f ca="1">'Total Trip Tables Sup #2'!B36</f>
        <v>1.8854250596</v>
      </c>
      <c r="C36" s="4">
        <f ca="1">'Total Trip Tables Sup #2'!C36</f>
        <v>2.0721788337195424</v>
      </c>
      <c r="D36" s="4">
        <f ca="1">'Total Trip Tables Sup #2'!D36</f>
        <v>2.2114093432923965</v>
      </c>
      <c r="E36" s="4">
        <f ca="1">'Total Trip Tables Sup #2'!E36</f>
        <v>2.3189375469615814</v>
      </c>
      <c r="F36" s="4">
        <f ca="1">'Total Trip Tables Sup #2'!F36</f>
        <v>2.407732315011363</v>
      </c>
      <c r="G36" s="4">
        <f ca="1">'Total Trip Tables Sup #2'!G36</f>
        <v>2.4771930665570725</v>
      </c>
      <c r="H36" s="4">
        <f ca="1">'Total Trip Tables Sup #2'!H36</f>
        <v>2.5132406519975445</v>
      </c>
      <c r="I36" s="1">
        <f ca="1">'Total Trip Tables Sup #2'!I36</f>
        <v>2.5762533389644489</v>
      </c>
      <c r="J36" s="1">
        <f ca="1">'Total Trip Tables Sup #2'!J36</f>
        <v>2.6325087856050469</v>
      </c>
      <c r="K36" s="1">
        <f ca="1">'Total Trip Tables Sup #2'!K36</f>
        <v>2.6842787707373454</v>
      </c>
    </row>
    <row r="37" spans="1:11" x14ac:dyDescent="0.25">
      <c r="A37" t="str">
        <f ca="1">OFFSET(BOP_Reference,0,0)</f>
        <v>04 BAY OF PLENTY</v>
      </c>
      <c r="B37" s="4">
        <f ca="1">SUM(B38:B47)</f>
        <v>334.99924989919998</v>
      </c>
      <c r="C37" s="4">
        <f t="shared" ref="C37" ca="1" si="14">SUM(C38:C47)</f>
        <v>360.32126416450154</v>
      </c>
      <c r="D37" s="4">
        <f t="shared" ref="D37" ca="1" si="15">SUM(D38:D47)</f>
        <v>375.91154383938238</v>
      </c>
      <c r="E37" s="4">
        <f t="shared" ref="E37" ca="1" si="16">SUM(E38:E47)</f>
        <v>388.32589873914327</v>
      </c>
      <c r="F37" s="4">
        <f t="shared" ref="F37" ca="1" si="17">SUM(F38:F47)</f>
        <v>398.49181981519314</v>
      </c>
      <c r="G37" s="4">
        <f t="shared" ref="G37" ca="1" si="18">SUM(G38:G47)</f>
        <v>404.89198227666498</v>
      </c>
      <c r="H37" s="4">
        <f t="shared" ref="H37:K37" ca="1" si="19">SUM(H38:H47)</f>
        <v>409.42936348529992</v>
      </c>
      <c r="I37" s="1">
        <f t="shared" ca="1" si="19"/>
        <v>415.61132317495174</v>
      </c>
      <c r="J37" s="1">
        <f t="shared" ca="1" si="19"/>
        <v>420.54657783435954</v>
      </c>
      <c r="K37" s="1">
        <f t="shared" ca="1" si="19"/>
        <v>424.62868519092518</v>
      </c>
    </row>
    <row r="38" spans="1:11" x14ac:dyDescent="0.25">
      <c r="A38" t="str">
        <f ca="1">OFFSET(BOP_Reference,0,2)</f>
        <v>Pedestrian</v>
      </c>
      <c r="B38" s="4">
        <f ca="1">'Total Trip Tables Sup #2'!B38</f>
        <v>43.402809341999998</v>
      </c>
      <c r="C38" s="4">
        <f ca="1">'Total Trip Tables Sup #2'!C38</f>
        <v>46.40305209463807</v>
      </c>
      <c r="D38" s="4">
        <f ca="1">'Total Trip Tables Sup #2'!D38</f>
        <v>50.759077383608684</v>
      </c>
      <c r="E38" s="4">
        <f ca="1">'Total Trip Tables Sup #2'!E38</f>
        <v>54.341510379102395</v>
      </c>
      <c r="F38" s="4">
        <f ca="1">'Total Trip Tables Sup #2'!F38</f>
        <v>57.41115221582529</v>
      </c>
      <c r="G38" s="4">
        <f ca="1">'Total Trip Tables Sup #2'!G38</f>
        <v>60.113539505052813</v>
      </c>
      <c r="H38" s="4">
        <f ca="1">'Total Trip Tables Sup #2'!H38</f>
        <v>62.547217819621117</v>
      </c>
      <c r="I38" s="1">
        <f ca="1">'Total Trip Tables Sup #2'!I38</f>
        <v>63.460565014785459</v>
      </c>
      <c r="J38" s="1">
        <f ca="1">'Total Trip Tables Sup #2'!J38</f>
        <v>64.183092340484848</v>
      </c>
      <c r="K38" s="1">
        <f ca="1">'Total Trip Tables Sup #2'!K38</f>
        <v>64.775097169714627</v>
      </c>
    </row>
    <row r="39" spans="1:11" x14ac:dyDescent="0.25">
      <c r="A39" t="str">
        <f ca="1">OFFSET(BOP_Reference,7,2)</f>
        <v>Cyclist</v>
      </c>
      <c r="B39" s="4">
        <f ca="1">'Total Trip Tables Sup #2'!B39</f>
        <v>5.1579391552000002</v>
      </c>
      <c r="C39" s="4">
        <f ca="1">'Total Trip Tables Sup #2'!C39</f>
        <v>5.5017982361115134</v>
      </c>
      <c r="D39" s="4">
        <f ca="1">'Total Trip Tables Sup #2'!D39</f>
        <v>7.8809045884807718</v>
      </c>
      <c r="E39" s="4">
        <f ca="1">'Total Trip Tables Sup #2'!E39</f>
        <v>10.1679319712092</v>
      </c>
      <c r="F39" s="4">
        <f ca="1">'Total Trip Tables Sup #2'!F39</f>
        <v>12.44365972690189</v>
      </c>
      <c r="G39" s="4">
        <f ca="1">'Total Trip Tables Sup #2'!G39</f>
        <v>14.693399680747516</v>
      </c>
      <c r="H39" s="4">
        <f ca="1">'Total Trip Tables Sup #2'!H39</f>
        <v>16.925596320616929</v>
      </c>
      <c r="I39" s="1">
        <f ca="1">'Total Trip Tables Sup #2'!I39</f>
        <v>17.270666998232247</v>
      </c>
      <c r="J39" s="1">
        <f ca="1">'Total Trip Tables Sup #2'!J39</f>
        <v>17.56844629192446</v>
      </c>
      <c r="K39" s="1">
        <f ca="1">'Total Trip Tables Sup #2'!K39</f>
        <v>17.834724602762851</v>
      </c>
    </row>
    <row r="40" spans="1:11" x14ac:dyDescent="0.25">
      <c r="A40" t="str">
        <f ca="1">OFFSET(BOP_Reference,14,2)</f>
        <v>Light Vehicle Driver</v>
      </c>
      <c r="B40" s="4">
        <f ca="1">'Total Trip Tables Sup #2'!B40</f>
        <v>178.59124365</v>
      </c>
      <c r="C40" s="4">
        <f ca="1">'Total Trip Tables Sup #2'!C40*(1-'Other Assumptions'!G9)</f>
        <v>195.90936134101173</v>
      </c>
      <c r="D40" s="4">
        <f ca="1">'Total Trip Tables Sup #2'!D40*(1-'Other Assumptions'!H9)</f>
        <v>204.11200285008144</v>
      </c>
      <c r="E40" s="4">
        <f ca="1">'Total Trip Tables Sup #2'!E40*(1-'Other Assumptions'!I9)</f>
        <v>189.83878530791964</v>
      </c>
      <c r="F40" s="4">
        <f ca="1">'Total Trip Tables Sup #2'!F40*(1-'Other Assumptions'!J9)</f>
        <v>173.23992243799538</v>
      </c>
      <c r="G40" s="4">
        <f ca="1">'Total Trip Tables Sup #2'!G40*(1-'Other Assumptions'!K9)</f>
        <v>153.70386350864825</v>
      </c>
      <c r="H40" s="4">
        <f ca="1">'Total Trip Tables Sup #2'!H40*(1-'Other Assumptions'!L9)</f>
        <v>132.95352293342663</v>
      </c>
      <c r="I40" s="1">
        <f ca="1">'Total Trip Tables Sup #2'!I40*(1-'Other Assumptions'!M9)</f>
        <v>112.44568453709203</v>
      </c>
      <c r="J40" s="1">
        <f ca="1">'Total Trip Tables Sup #2'!J40*(1-'Other Assumptions'!N9)</f>
        <v>91.006583527388841</v>
      </c>
      <c r="K40" s="1">
        <f ca="1">'Total Trip Tables Sup #2'!K40*(1-'Other Assumptions'!O9)</f>
        <v>91.871087469247314</v>
      </c>
    </row>
    <row r="41" spans="1:11" x14ac:dyDescent="0.25">
      <c r="A41" t="str">
        <f ca="1">OFFSET(BOP_Reference,21,2)</f>
        <v>Light Vehicle Passenger</v>
      </c>
      <c r="B41" s="4">
        <f ca="1">'Total Trip Tables Sup #2'!B41</f>
        <v>98.719582360000032</v>
      </c>
      <c r="C41" s="4">
        <f ca="1">'Total Trip Tables Sup #2'!C41*(1-'Other Assumptions'!G9)</f>
        <v>103.22724107286597</v>
      </c>
      <c r="D41" s="4">
        <f ca="1">'Total Trip Tables Sup #2'!D41*(1-'Other Assumptions'!H9)</f>
        <v>103.88222982759441</v>
      </c>
      <c r="E41" s="4">
        <f ca="1">'Total Trip Tables Sup #2'!E41*(1-'Other Assumptions'!I9)</f>
        <v>93.219970481405426</v>
      </c>
      <c r="F41" s="4">
        <f ca="1">'Total Trip Tables Sup #2'!F41*(1-'Other Assumptions'!J9)</f>
        <v>82.289573413197616</v>
      </c>
      <c r="G41" s="4">
        <f ca="1">'Total Trip Tables Sup #2'!G41*(1-'Other Assumptions'!K9)</f>
        <v>70.953702459413933</v>
      </c>
      <c r="H41" s="4">
        <f ca="1">'Total Trip Tables Sup #2'!H41*(1-'Other Assumptions'!L9)</f>
        <v>59.612699118282343</v>
      </c>
      <c r="I41" s="1">
        <f ca="1">'Total Trip Tables Sup #2'!I41*(1-'Other Assumptions'!M9)</f>
        <v>50.414124395634651</v>
      </c>
      <c r="J41" s="1">
        <f ca="1">'Total Trip Tables Sup #2'!J41*(1-'Other Assumptions'!N9)</f>
        <v>40.79904006091725</v>
      </c>
      <c r="K41" s="1">
        <f ca="1">'Total Trip Tables Sup #2'!K41*(1-'Other Assumptions'!O9)</f>
        <v>41.183274492251513</v>
      </c>
    </row>
    <row r="42" spans="1:11" x14ac:dyDescent="0.25">
      <c r="A42" t="str">
        <f ca="1">OFFSET(BOP_Reference,28,2)</f>
        <v>Taxi/Vehicle Share</v>
      </c>
      <c r="B42" s="4">
        <f ca="1">'Total Trip Tables Sup #2'!B42</f>
        <v>0.15552198610000001</v>
      </c>
      <c r="C42" s="4">
        <f ca="1">'Total Trip Tables Sup #2'!C42+((C40+C41)*'Other Assumptions'!G9/(1-'Other Assumptions'!G9))</f>
        <v>0.17831167140090309</v>
      </c>
      <c r="D42" s="4">
        <f ca="1">'Total Trip Tables Sup #2'!D42+((D40+D41)*'Other Assumptions'!H9/(1-'Other Assumptions'!H9))</f>
        <v>0.19405394625383088</v>
      </c>
      <c r="E42" s="4">
        <f ca="1">'Total Trip Tables Sup #2'!E42+((E40+E41)*'Other Assumptions'!I9/(1-'Other Assumptions'!I9))</f>
        <v>31.656440168313662</v>
      </c>
      <c r="F42" s="4">
        <f ca="1">'Total Trip Tables Sup #2'!F42+((F40+F41)*'Other Assumptions'!J9/(1-'Other Assumptions'!J9))</f>
        <v>64.096865850385086</v>
      </c>
      <c r="G42" s="4">
        <f ca="1">'Total Trip Tables Sup #2'!G42+((G40+G41)*'Other Assumptions'!K9/(1-'Other Assumptions'!K9))</f>
        <v>96.501865430525513</v>
      </c>
      <c r="H42" s="4">
        <f ca="1">'Total Trip Tables Sup #2'!H42+((H40+H41)*'Other Assumptions'!L9/(1-'Other Assumptions'!L9))</f>
        <v>128.60243346692786</v>
      </c>
      <c r="I42" s="1">
        <f ca="1">'Total Trip Tables Sup #2'!I42+((I40+I41)*'Other Assumptions'!M9/(1-'Other Assumptions'!M9))</f>
        <v>163.08775986694624</v>
      </c>
      <c r="J42" s="1">
        <f ca="1">'Total Trip Tables Sup #2'!J42+((J40+J41)*'Other Assumptions'!N9/(1-'Other Assumptions'!N9))</f>
        <v>197.93868172711345</v>
      </c>
      <c r="K42" s="1">
        <f ca="1">'Total Trip Tables Sup #2'!K42+((K40+K41)*'Other Assumptions'!O9/(1-'Other Assumptions'!O9))</f>
        <v>199.81360021642067</v>
      </c>
    </row>
    <row r="43" spans="1:11" x14ac:dyDescent="0.25">
      <c r="A43" t="str">
        <f ca="1">OFFSET(BOP_Reference,35,2)</f>
        <v>Motorcyclist</v>
      </c>
      <c r="B43" s="4">
        <f ca="1">'Total Trip Tables Sup #2'!B43</f>
        <v>0.90641599910000004</v>
      </c>
      <c r="C43" s="4">
        <f ca="1">'Total Trip Tables Sup #2'!C43</f>
        <v>0.97470705442943806</v>
      </c>
      <c r="D43" s="4">
        <f ca="1">'Total Trip Tables Sup #2'!D43</f>
        <v>1.0042355724627932</v>
      </c>
      <c r="E43" s="4">
        <f ca="1">'Total Trip Tables Sup #2'!E43</f>
        <v>1.0239271435513992</v>
      </c>
      <c r="F43" s="4">
        <f ca="1">'Total Trip Tables Sup #2'!F43</f>
        <v>1.0363366341657039</v>
      </c>
      <c r="G43" s="4">
        <f ca="1">'Total Trip Tables Sup #2'!G43</f>
        <v>1.0288788290332733</v>
      </c>
      <c r="H43" s="4">
        <f ca="1">'Total Trip Tables Sup #2'!H43</f>
        <v>1.0148234315504896</v>
      </c>
      <c r="I43" s="1">
        <f ca="1">'Total Trip Tables Sup #2'!I43</f>
        <v>1.0354380345931529</v>
      </c>
      <c r="J43" s="1">
        <f ca="1">'Total Trip Tables Sup #2'!J43</f>
        <v>1.0531276414869231</v>
      </c>
      <c r="K43" s="1">
        <f ca="1">'Total Trip Tables Sup #2'!K43</f>
        <v>1.0688334167092575</v>
      </c>
    </row>
    <row r="44" spans="1:11" x14ac:dyDescent="0.25">
      <c r="A44" t="str">
        <f ca="1">OFFSET(Auckland_Reference,42,2)</f>
        <v>Local Train</v>
      </c>
      <c r="B44" s="4">
        <f ca="1">'Total Trip Tables Sup #2'!B44</f>
        <v>0</v>
      </c>
      <c r="C44" s="4">
        <f ca="1">'Total Trip Tables Sup #2'!C44</f>
        <v>0</v>
      </c>
      <c r="D44" s="4">
        <f ca="1">'Total Trip Tables Sup #2'!D44</f>
        <v>0</v>
      </c>
      <c r="E44" s="4">
        <f ca="1">'Total Trip Tables Sup #2'!E44</f>
        <v>0</v>
      </c>
      <c r="F44" s="4">
        <f ca="1">'Total Trip Tables Sup #2'!F44</f>
        <v>0</v>
      </c>
      <c r="G44" s="4">
        <f ca="1">'Total Trip Tables Sup #2'!G44</f>
        <v>0</v>
      </c>
      <c r="H44" s="4">
        <f ca="1">'Total Trip Tables Sup #2'!H44</f>
        <v>0</v>
      </c>
      <c r="I44" s="1">
        <f ca="1">'Total Trip Tables Sup #2'!I44</f>
        <v>0</v>
      </c>
      <c r="J44" s="1">
        <f ca="1">'Total Trip Tables Sup #2'!J44</f>
        <v>0</v>
      </c>
      <c r="K44" s="1">
        <f ca="1">'Total Trip Tables Sup #2'!K44</f>
        <v>0</v>
      </c>
    </row>
    <row r="45" spans="1:11" x14ac:dyDescent="0.25">
      <c r="A45" t="str">
        <f ca="1">OFFSET(BOP_Reference,42,2)</f>
        <v>Local Bus</v>
      </c>
      <c r="B45" s="4">
        <f ca="1">'Total Trip Tables Sup #2'!B45</f>
        <v>7.4672006229000001</v>
      </c>
      <c r="C45" s="4">
        <f ca="1">'Total Trip Tables Sup #2'!C45</f>
        <v>7.4780803101247901</v>
      </c>
      <c r="D45" s="4">
        <f ca="1">'Total Trip Tables Sup #2'!D45</f>
        <v>7.391458244929157</v>
      </c>
      <c r="E45" s="4">
        <f ca="1">'Total Trip Tables Sup #2'!E45</f>
        <v>7.3611255378605271</v>
      </c>
      <c r="F45" s="4">
        <f ca="1">'Total Trip Tables Sup #2'!F45</f>
        <v>7.2354499295986097</v>
      </c>
      <c r="G45" s="4">
        <f ca="1">'Total Trip Tables Sup #2'!G45</f>
        <v>7.1417160588566757</v>
      </c>
      <c r="H45" s="4">
        <f ca="1">'Total Trip Tables Sup #2'!H45</f>
        <v>7.0122409669141241</v>
      </c>
      <c r="I45" s="1">
        <f ca="1">'Total Trip Tables Sup #2'!I45</f>
        <v>7.1224472894215927</v>
      </c>
      <c r="J45" s="1">
        <f ca="1">'Total Trip Tables Sup #2'!J45</f>
        <v>7.2114009140511977</v>
      </c>
      <c r="K45" s="1">
        <f ca="1">'Total Trip Tables Sup #2'!K45</f>
        <v>7.2858163740875979</v>
      </c>
    </row>
    <row r="46" spans="1:11" x14ac:dyDescent="0.25">
      <c r="A46" t="str">
        <f ca="1">OFFSET(Waikato_Reference,56,2)</f>
        <v>Local Ferry</v>
      </c>
      <c r="B46" s="4">
        <f ca="1">'Total Trip Tables Sup #2'!B46</f>
        <v>0</v>
      </c>
      <c r="C46" s="4">
        <f ca="1">'Total Trip Tables Sup #2'!C46</f>
        <v>0</v>
      </c>
      <c r="D46" s="4">
        <f ca="1">'Total Trip Tables Sup #2'!D46</f>
        <v>0</v>
      </c>
      <c r="E46" s="4">
        <f ca="1">'Total Trip Tables Sup #2'!E46</f>
        <v>0</v>
      </c>
      <c r="F46" s="4">
        <f ca="1">'Total Trip Tables Sup #2'!F46</f>
        <v>0</v>
      </c>
      <c r="G46" s="4">
        <f ca="1">'Total Trip Tables Sup #2'!G46</f>
        <v>0</v>
      </c>
      <c r="H46" s="4">
        <f ca="1">'Total Trip Tables Sup #2'!H46</f>
        <v>0</v>
      </c>
      <c r="I46" s="1">
        <f ca="1">'Total Trip Tables Sup #2'!I46</f>
        <v>0</v>
      </c>
      <c r="J46" s="1">
        <f ca="1">'Total Trip Tables Sup #2'!J46</f>
        <v>0</v>
      </c>
      <c r="K46" s="1">
        <f ca="1">'Total Trip Tables Sup #2'!K46</f>
        <v>0</v>
      </c>
    </row>
    <row r="47" spans="1:11" x14ac:dyDescent="0.25">
      <c r="A47" t="str">
        <f ca="1">OFFSET(BOP_Reference,49,2)</f>
        <v>Other Household Travel</v>
      </c>
      <c r="B47" s="4">
        <f ca="1">'Total Trip Tables Sup #2'!B47</f>
        <v>0.59853678389999998</v>
      </c>
      <c r="C47" s="4">
        <f ca="1">'Total Trip Tables Sup #2'!C47</f>
        <v>0.64871238391921104</v>
      </c>
      <c r="D47" s="4">
        <f ca="1">'Total Trip Tables Sup #2'!D47</f>
        <v>0.68758142597129324</v>
      </c>
      <c r="E47" s="4">
        <f ca="1">'Total Trip Tables Sup #2'!E47</f>
        <v>0.71620774978098345</v>
      </c>
      <c r="F47" s="4">
        <f ca="1">'Total Trip Tables Sup #2'!F47</f>
        <v>0.7388596071235829</v>
      </c>
      <c r="G47" s="4">
        <f ca="1">'Total Trip Tables Sup #2'!G47</f>
        <v>0.75501680438697027</v>
      </c>
      <c r="H47" s="4">
        <f ca="1">'Total Trip Tables Sup #2'!H47</f>
        <v>0.76082942796036013</v>
      </c>
      <c r="I47" s="1">
        <f ca="1">'Total Trip Tables Sup #2'!I47</f>
        <v>0.77463703824639107</v>
      </c>
      <c r="J47" s="1">
        <f ca="1">'Total Trip Tables Sup #2'!J47</f>
        <v>0.78620533099263323</v>
      </c>
      <c r="K47" s="1">
        <f ca="1">'Total Trip Tables Sup #2'!K47</f>
        <v>0.7962514497313572</v>
      </c>
    </row>
    <row r="48" spans="1:11" x14ac:dyDescent="0.25">
      <c r="A48" t="str">
        <f ca="1">OFFSET(Gisborne_Reference,0,0)</f>
        <v>05 GISBORNE</v>
      </c>
      <c r="B48" s="4">
        <f ca="1">SUM(B49:B58)</f>
        <v>61.908168304900002</v>
      </c>
      <c r="C48" s="4">
        <f t="shared" ref="C48" ca="1" si="20">SUM(C49:C58)</f>
        <v>63.262758278542144</v>
      </c>
      <c r="D48" s="4">
        <f t="shared" ref="D48" ca="1" si="21">SUM(D49:D58)</f>
        <v>64.209242146183385</v>
      </c>
      <c r="E48" s="4">
        <f t="shared" ref="E48" ca="1" si="22">SUM(E49:E58)</f>
        <v>64.87612711493621</v>
      </c>
      <c r="F48" s="4">
        <f t="shared" ref="F48" ca="1" si="23">SUM(F49:F58)</f>
        <v>65.125902964770518</v>
      </c>
      <c r="G48" s="4">
        <f t="shared" ref="G48" ca="1" si="24">SUM(G49:G58)</f>
        <v>64.673494563369985</v>
      </c>
      <c r="H48" s="4">
        <f t="shared" ref="H48:K48" ca="1" si="25">SUM(H49:H58)</f>
        <v>63.928080040733505</v>
      </c>
      <c r="I48" s="1">
        <f t="shared" ca="1" si="25"/>
        <v>63.371730273384365</v>
      </c>
      <c r="J48" s="1">
        <f t="shared" ca="1" si="25"/>
        <v>62.62076906633645</v>
      </c>
      <c r="K48" s="1">
        <f t="shared" ca="1" si="25"/>
        <v>61.746207338615804</v>
      </c>
    </row>
    <row r="49" spans="1:11" x14ac:dyDescent="0.25">
      <c r="A49" t="str">
        <f ca="1">OFFSET(Gisborne_Reference,0,2)</f>
        <v>Pedestrian</v>
      </c>
      <c r="B49" s="4">
        <f ca="1">'Total Trip Tables Sup #2'!B49</f>
        <v>12.564280467</v>
      </c>
      <c r="C49" s="4">
        <f ca="1">'Total Trip Tables Sup #2'!C49</f>
        <v>12.774502026432819</v>
      </c>
      <c r="D49" s="4">
        <f ca="1">'Total Trip Tables Sup #2'!D49</f>
        <v>13.566942963729852</v>
      </c>
      <c r="E49" s="4">
        <f ca="1">'Total Trip Tables Sup #2'!E49</f>
        <v>14.192713888645935</v>
      </c>
      <c r="F49" s="4">
        <f ca="1">'Total Trip Tables Sup #2'!F49</f>
        <v>14.657732777232795</v>
      </c>
      <c r="G49" s="4">
        <f ca="1">'Total Trip Tables Sup #2'!G49</f>
        <v>14.98601307516693</v>
      </c>
      <c r="H49" s="4">
        <f ca="1">'Total Trip Tables Sup #2'!H49</f>
        <v>15.22738100231618</v>
      </c>
      <c r="I49" s="1">
        <f ca="1">'Total Trip Tables Sup #2'!I49</f>
        <v>15.087752909240047</v>
      </c>
      <c r="J49" s="1">
        <f ca="1">'Total Trip Tables Sup #2'!J49</f>
        <v>14.902004043201638</v>
      </c>
      <c r="K49" s="1">
        <f ca="1">'Total Trip Tables Sup #2'!K49</f>
        <v>14.687082122743336</v>
      </c>
    </row>
    <row r="50" spans="1:11" x14ac:dyDescent="0.25">
      <c r="A50" t="str">
        <f ca="1">OFFSET(Gisborne_Reference,7,2)</f>
        <v>Cyclist</v>
      </c>
      <c r="B50" s="4">
        <f ca="1">'Total Trip Tables Sup #2'!B50</f>
        <v>1.1119455742</v>
      </c>
      <c r="C50" s="4">
        <f ca="1">'Total Trip Tables Sup #2'!C50</f>
        <v>1.1279494250697324</v>
      </c>
      <c r="D50" s="4">
        <f ca="1">'Total Trip Tables Sup #2'!D50</f>
        <v>1.5686710577387575</v>
      </c>
      <c r="E50" s="4">
        <f ca="1">'Total Trip Tables Sup #2'!E50</f>
        <v>1.9776703806375544</v>
      </c>
      <c r="F50" s="4">
        <f ca="1">'Total Trip Tables Sup #2'!F50</f>
        <v>2.3659534634488324</v>
      </c>
      <c r="G50" s="4">
        <f ca="1">'Total Trip Tables Sup #2'!G50</f>
        <v>2.7278697745500615</v>
      </c>
      <c r="H50" s="4">
        <f ca="1">'Total Trip Tables Sup #2'!H50</f>
        <v>3.0686597077721829</v>
      </c>
      <c r="I50" s="1">
        <f ca="1">'Total Trip Tables Sup #2'!I50</f>
        <v>3.057857716067744</v>
      </c>
      <c r="J50" s="1">
        <f ca="1">'Total Trip Tables Sup #2'!J50</f>
        <v>3.0377003355681844</v>
      </c>
      <c r="K50" s="1">
        <f ca="1">'Total Trip Tables Sup #2'!K50</f>
        <v>3.0114897693440916</v>
      </c>
    </row>
    <row r="51" spans="1:11" x14ac:dyDescent="0.25">
      <c r="A51" t="str">
        <f ca="1">OFFSET(Gisborne_Reference,14,2)</f>
        <v>Light Vehicle Driver</v>
      </c>
      <c r="B51" s="4">
        <f ca="1">'Total Trip Tables Sup #2'!B51</f>
        <v>28.776347379000001</v>
      </c>
      <c r="C51" s="4">
        <f ca="1">'Total Trip Tables Sup #2'!C51*(1-'Other Assumptions'!G10)</f>
        <v>30.019838147489846</v>
      </c>
      <c r="D51" s="4">
        <f ca="1">'Total Trip Tables Sup #2'!D51*(1-'Other Assumptions'!H10)</f>
        <v>30.252923379054725</v>
      </c>
      <c r="E51" s="4">
        <f ca="1">'Total Trip Tables Sup #2'!E51*(1-'Other Assumptions'!I10)</f>
        <v>27.396144107403558</v>
      </c>
      <c r="F51" s="4">
        <f ca="1">'Total Trip Tables Sup #2'!F51*(1-'Other Assumptions'!J10)</f>
        <v>24.355752275374623</v>
      </c>
      <c r="G51" s="4">
        <f ca="1">'Total Trip Tables Sup #2'!G51*(1-'Other Assumptions'!K10)</f>
        <v>21.02894904282202</v>
      </c>
      <c r="H51" s="4">
        <f ca="1">'Total Trip Tables Sup #2'!H51*(1-'Other Assumptions'!L10)</f>
        <v>17.705383366842103</v>
      </c>
      <c r="I51" s="1">
        <f ca="1">'Total Trip Tables Sup #2'!I51*(1-'Other Assumptions'!M10)</f>
        <v>14.623223101886207</v>
      </c>
      <c r="J51" s="1">
        <f ca="1">'Total Trip Tables Sup #2'!J51*(1-'Other Assumptions'!N10)</f>
        <v>11.557599461009765</v>
      </c>
      <c r="K51" s="1">
        <f ca="1">'Total Trip Tables Sup #2'!K51*(1-'Other Assumptions'!O10)</f>
        <v>11.393781585515089</v>
      </c>
    </row>
    <row r="52" spans="1:11" x14ac:dyDescent="0.25">
      <c r="A52" t="str">
        <f ca="1">OFFSET(Gisborne_Reference,21,2)</f>
        <v>Light Vehicle Passenger</v>
      </c>
      <c r="B52" s="4">
        <f ca="1">'Total Trip Tables Sup #2'!B52</f>
        <v>18.791024854000003</v>
      </c>
      <c r="C52" s="4">
        <f ca="1">'Total Trip Tables Sup #2'!C52*(1-'Other Assumptions'!G10)</f>
        <v>18.686119824994321</v>
      </c>
      <c r="D52" s="4">
        <f ca="1">'Total Trip Tables Sup #2'!D52*(1-'Other Assumptions'!H10)</f>
        <v>18.178455389985213</v>
      </c>
      <c r="E52" s="4">
        <f ca="1">'Total Trip Tables Sup #2'!E52*(1-'Other Assumptions'!I10)</f>
        <v>15.86890090217487</v>
      </c>
      <c r="F52" s="4">
        <f ca="1">'Total Trip Tables Sup #2'!F52*(1-'Other Assumptions'!J10)</f>
        <v>13.631391670537404</v>
      </c>
      <c r="G52" s="4">
        <f ca="1">'Total Trip Tables Sup #2'!G52*(1-'Other Assumptions'!K10)</f>
        <v>11.422769151176123</v>
      </c>
      <c r="H52" s="4">
        <f ca="1">'Total Trip Tables Sup #2'!H52*(1-'Other Assumptions'!L10)</f>
        <v>9.3265426639353173</v>
      </c>
      <c r="I52" s="1">
        <f ca="1">'Total Trip Tables Sup #2'!I52*(1-'Other Assumptions'!M10)</f>
        <v>7.7024749050741645</v>
      </c>
      <c r="J52" s="1">
        <f ca="1">'Total Trip Tables Sup #2'!J52*(1-'Other Assumptions'!N10)</f>
        <v>6.0872872655039174</v>
      </c>
      <c r="K52" s="1">
        <f ca="1">'Total Trip Tables Sup #2'!K52*(1-'Other Assumptions'!O10)</f>
        <v>6.0005372797061902</v>
      </c>
    </row>
    <row r="53" spans="1:11" x14ac:dyDescent="0.25">
      <c r="A53" t="str">
        <f ca="1">OFFSET(Gisborne_Reference,28,2)</f>
        <v>Taxi/Vehicle Share</v>
      </c>
      <c r="B53" s="4">
        <f ca="1">'Total Trip Tables Sup #2'!B53</f>
        <v>2.27015811E-2</v>
      </c>
      <c r="C53" s="4">
        <f ca="1">'Total Trip Tables Sup #2'!C53+((C51+C52)*'Other Assumptions'!G10/(1-'Other Assumptions'!G10))</f>
        <v>2.4752651899281941E-2</v>
      </c>
      <c r="D53" s="4">
        <f ca="1">'Total Trip Tables Sup #2'!D53+((D51+D52)*'Other Assumptions'!H10/(1-'Other Assumptions'!H10))</f>
        <v>2.615382955042447E-2</v>
      </c>
      <c r="E53" s="4">
        <f ca="1">'Total Trip Tables Sup #2'!E53+((E51+E52)*'Other Assumptions'!I10/(1-'Other Assumptions'!I10))</f>
        <v>4.8342867996585372</v>
      </c>
      <c r="F53" s="4">
        <f ca="1">'Total Trip Tables Sup #2'!F53+((F51+F52)*'Other Assumptions'!J10/(1-'Other Assumptions'!J10))</f>
        <v>9.5243997714365634</v>
      </c>
      <c r="G53" s="4">
        <f ca="1">'Total Trip Tables Sup #2'!G53+((G51+G52)*'Other Assumptions'!K10/(1-'Other Assumptions'!K10))</f>
        <v>13.935541161272285</v>
      </c>
      <c r="H53" s="4">
        <f ca="1">'Total Trip Tables Sup #2'!H53+((H51+H52)*'Other Assumptions'!L10/(1-'Other Assumptions'!L10))</f>
        <v>18.048899449780897</v>
      </c>
      <c r="I53" s="1">
        <f ca="1">'Total Trip Tables Sup #2'!I53+((I51+I52)*'Other Assumptions'!M10/(1-'Other Assumptions'!M10))</f>
        <v>22.353025924307751</v>
      </c>
      <c r="J53" s="1">
        <f ca="1">'Total Trip Tables Sup #2'!J53+((J51+J52)*'Other Assumptions'!N10/(1-'Other Assumptions'!N10))</f>
        <v>26.494286453884012</v>
      </c>
      <c r="K53" s="1">
        <f ca="1">'Total Trip Tables Sup #2'!K53+((K51+K52)*'Other Assumptions'!O10/(1-'Other Assumptions'!O10))</f>
        <v>26.118010125462071</v>
      </c>
    </row>
    <row r="54" spans="1:11" x14ac:dyDescent="0.25">
      <c r="A54" t="str">
        <f ca="1">OFFSET(Gisborne_Reference,35,2)</f>
        <v>Motorcyclist</v>
      </c>
      <c r="B54" s="4">
        <f ca="1">'Total Trip Tables Sup #2'!B54</f>
        <v>0.20072163900000001</v>
      </c>
      <c r="C54" s="4">
        <f ca="1">'Total Trip Tables Sup #2'!C54</f>
        <v>0.20526664917559082</v>
      </c>
      <c r="D54" s="4">
        <f ca="1">'Total Trip Tables Sup #2'!D54</f>
        <v>0.20532920767895782</v>
      </c>
      <c r="E54" s="4">
        <f ca="1">'Total Trip Tables Sup #2'!E54</f>
        <v>0.20457362902326812</v>
      </c>
      <c r="F54" s="4">
        <f ca="1">'Total Trip Tables Sup #2'!F54</f>
        <v>0.20240360248801348</v>
      </c>
      <c r="G54" s="4">
        <f ca="1">'Total Trip Tables Sup #2'!G54</f>
        <v>0.1962116946062748</v>
      </c>
      <c r="H54" s="4">
        <f ca="1">'Total Trip Tables Sup #2'!H54</f>
        <v>0.18899684511623024</v>
      </c>
      <c r="I54" s="1">
        <f ca="1">'Total Trip Tables Sup #2'!I54</f>
        <v>0.18831789585940106</v>
      </c>
      <c r="J54" s="1">
        <f ca="1">'Total Trip Tables Sup #2'!J54</f>
        <v>0.18704749734693937</v>
      </c>
      <c r="K54" s="1">
        <f ca="1">'Total Trip Tables Sup #2'!K54</f>
        <v>0.18538915464580108</v>
      </c>
    </row>
    <row r="55" spans="1:11" x14ac:dyDescent="0.25">
      <c r="A55" t="str">
        <f ca="1">OFFSET(Gisborne_Reference,42,2)</f>
        <v>Local Train</v>
      </c>
      <c r="B55" s="4">
        <f ca="1">'Total Trip Tables Sup #2'!B55</f>
        <v>0</v>
      </c>
      <c r="C55" s="4">
        <f ca="1">'Total Trip Tables Sup #2'!C55</f>
        <v>0</v>
      </c>
      <c r="D55" s="4">
        <f ca="1">'Total Trip Tables Sup #2'!D55</f>
        <v>0</v>
      </c>
      <c r="E55" s="4">
        <f ca="1">'Total Trip Tables Sup #2'!E55</f>
        <v>0</v>
      </c>
      <c r="F55" s="4">
        <f ca="1">'Total Trip Tables Sup #2'!F55</f>
        <v>0</v>
      </c>
      <c r="G55" s="4">
        <f ca="1">'Total Trip Tables Sup #2'!G55</f>
        <v>0</v>
      </c>
      <c r="H55" s="4">
        <f ca="1">'Total Trip Tables Sup #2'!H55</f>
        <v>0</v>
      </c>
      <c r="I55" s="1">
        <f ca="1">'Total Trip Tables Sup #2'!I55</f>
        <v>0</v>
      </c>
      <c r="J55" s="1">
        <f ca="1">'Total Trip Tables Sup #2'!J55</f>
        <v>0</v>
      </c>
      <c r="K55" s="1">
        <f ca="1">'Total Trip Tables Sup #2'!K55</f>
        <v>0</v>
      </c>
    </row>
    <row r="56" spans="1:11" x14ac:dyDescent="0.25">
      <c r="A56" t="str">
        <f ca="1">OFFSET(Gisborne_Reference,49,2)</f>
        <v>Local Bus</v>
      </c>
      <c r="B56" s="4">
        <f ca="1">'Total Trip Tables Sup #2'!B56</f>
        <v>0.39415976190000002</v>
      </c>
      <c r="C56" s="4">
        <f ca="1">'Total Trip Tables Sup #2'!C56</f>
        <v>0.37538960619646417</v>
      </c>
      <c r="D56" s="4">
        <f ca="1">'Total Trip Tables Sup #2'!D56</f>
        <v>0.36024096167632241</v>
      </c>
      <c r="E56" s="4">
        <f ca="1">'Total Trip Tables Sup #2'!E56</f>
        <v>0.35056830832711955</v>
      </c>
      <c r="F56" s="4">
        <f ca="1">'Total Trip Tables Sup #2'!F56</f>
        <v>0.3368455118407721</v>
      </c>
      <c r="G56" s="4">
        <f ca="1">'Total Trip Tables Sup #2'!G56</f>
        <v>0.32464675957121503</v>
      </c>
      <c r="H56" s="4">
        <f ca="1">'Total Trip Tables Sup #2'!H56</f>
        <v>0.31129255591297961</v>
      </c>
      <c r="I56" s="1">
        <f ca="1">'Total Trip Tables Sup #2'!I56</f>
        <v>0.30877672618754726</v>
      </c>
      <c r="J56" s="1">
        <f ca="1">'Total Trip Tables Sup #2'!J56</f>
        <v>0.30530812758268716</v>
      </c>
      <c r="K56" s="1">
        <f ca="1">'Total Trip Tables Sup #2'!K56</f>
        <v>0.30123148124193833</v>
      </c>
    </row>
    <row r="57" spans="1:11" x14ac:dyDescent="0.25">
      <c r="A57" t="str">
        <f ca="1">OFFSET(Gisborne_Reference,56,2)</f>
        <v>Local Ferry</v>
      </c>
      <c r="B57" s="4">
        <f ca="1">'Total Trip Tables Sup #2'!B57</f>
        <v>1.5651153399999999E-2</v>
      </c>
      <c r="C57" s="4">
        <f ca="1">'Total Trip Tables Sup #2'!C57</f>
        <v>1.6641540345166208E-2</v>
      </c>
      <c r="D57" s="4">
        <f ca="1">'Total Trip Tables Sup #2'!D57</f>
        <v>1.728819763956101E-2</v>
      </c>
      <c r="E57" s="4">
        <f ca="1">'Total Trip Tables Sup #2'!E57</f>
        <v>1.7438924464866952E-2</v>
      </c>
      <c r="F57" s="4">
        <f ca="1">'Total Trip Tables Sup #2'!F57</f>
        <v>1.7307433947001707E-2</v>
      </c>
      <c r="G57" s="4">
        <f ca="1">'Total Trip Tables Sup #2'!G57</f>
        <v>1.7452935893696748E-2</v>
      </c>
      <c r="H57" s="4">
        <f ca="1">'Total Trip Tables Sup #2'!H57</f>
        <v>1.742512835869817E-2</v>
      </c>
      <c r="I57" s="1">
        <f ca="1">'Total Trip Tables Sup #2'!I57</f>
        <v>1.6992955838754032E-2</v>
      </c>
      <c r="J57" s="1">
        <f ca="1">'Total Trip Tables Sup #2'!J57</f>
        <v>1.6522387212179461E-2</v>
      </c>
      <c r="K57" s="1">
        <f ca="1">'Total Trip Tables Sup #2'!K57</f>
        <v>1.6033866665554074E-2</v>
      </c>
    </row>
    <row r="58" spans="1:11" x14ac:dyDescent="0.25">
      <c r="A58" t="str">
        <f ca="1">OFFSET(Gisborne_Reference,63,2)</f>
        <v>Other Household Travel</v>
      </c>
      <c r="B58" s="4">
        <f ca="1">'Total Trip Tables Sup #2'!B58</f>
        <v>3.13358953E-2</v>
      </c>
      <c r="C58" s="4">
        <f ca="1">'Total Trip Tables Sup #2'!C58</f>
        <v>3.2298406938918986E-2</v>
      </c>
      <c r="D58" s="4">
        <f ca="1">'Total Trip Tables Sup #2'!D58</f>
        <v>3.3237159129563022E-2</v>
      </c>
      <c r="E58" s="4">
        <f ca="1">'Total Trip Tables Sup #2'!E58</f>
        <v>3.3830174600488275E-2</v>
      </c>
      <c r="F58" s="4">
        <f ca="1">'Total Trip Tables Sup #2'!F58</f>
        <v>3.4116458464509003E-2</v>
      </c>
      <c r="G58" s="4">
        <f ca="1">'Total Trip Tables Sup #2'!G58</f>
        <v>3.404096831136795E-2</v>
      </c>
      <c r="H58" s="4">
        <f ca="1">'Total Trip Tables Sup #2'!H58</f>
        <v>3.3499320698932772E-2</v>
      </c>
      <c r="I58" s="1">
        <f ca="1">'Total Trip Tables Sup #2'!I58</f>
        <v>3.3308138922764484E-2</v>
      </c>
      <c r="J58" s="1">
        <f ca="1">'Total Trip Tables Sup #2'!J58</f>
        <v>3.3013495027127603E-2</v>
      </c>
      <c r="K58" s="1">
        <f ca="1">'Total Trip Tables Sup #2'!K58</f>
        <v>3.2651953291736369E-2</v>
      </c>
    </row>
    <row r="59" spans="1:11" x14ac:dyDescent="0.25">
      <c r="A59" t="str">
        <f ca="1">OFFSET(Hawkes_Bay_Reference,0,0)</f>
        <v>06 HAWKE`S BAY</v>
      </c>
      <c r="B59" s="4">
        <f ca="1">SUM(B60:B69)</f>
        <v>205.37636075960003</v>
      </c>
      <c r="C59" s="4">
        <f t="shared" ref="C59" ca="1" si="26">SUM(C60:C69)</f>
        <v>211.55057633601916</v>
      </c>
      <c r="D59" s="4">
        <f t="shared" ref="D59" ca="1" si="27">SUM(D60:D69)</f>
        <v>214.68043467841861</v>
      </c>
      <c r="E59" s="4">
        <f t="shared" ref="E59" ca="1" si="28">SUM(E60:E69)</f>
        <v>217.37065119980821</v>
      </c>
      <c r="F59" s="4">
        <f t="shared" ref="F59" ca="1" si="29">SUM(F60:F69)</f>
        <v>218.47081997316201</v>
      </c>
      <c r="G59" s="4">
        <f t="shared" ref="G59" ca="1" si="30">SUM(G60:G69)</f>
        <v>217.48052058506744</v>
      </c>
      <c r="H59" s="4">
        <f t="shared" ref="H59:K59" ca="1" si="31">SUM(H60:H69)</f>
        <v>215.34440282795785</v>
      </c>
      <c r="I59" s="1">
        <f t="shared" ca="1" si="31"/>
        <v>214.00639606660553</v>
      </c>
      <c r="J59" s="1">
        <f t="shared" ca="1" si="31"/>
        <v>212.00118155676512</v>
      </c>
      <c r="K59" s="1">
        <f t="shared" ca="1" si="31"/>
        <v>209.56479146766839</v>
      </c>
    </row>
    <row r="60" spans="1:11" x14ac:dyDescent="0.25">
      <c r="A60" t="str">
        <f ca="1">OFFSET(Hawkes_Bay_Reference,0,2)</f>
        <v>Pedestrian</v>
      </c>
      <c r="B60" s="4">
        <f ca="1">'Total Trip Tables Sup #2'!B60</f>
        <v>26.538300281000001</v>
      </c>
      <c r="C60" s="4">
        <f ca="1">'Total Trip Tables Sup #2'!C60</f>
        <v>27.157330299061282</v>
      </c>
      <c r="D60" s="4">
        <f ca="1">'Total Trip Tables Sup #2'!D60</f>
        <v>28.885956728968065</v>
      </c>
      <c r="E60" s="4">
        <f ca="1">'Total Trip Tables Sup #2'!E60</f>
        <v>30.301566083768584</v>
      </c>
      <c r="F60" s="4">
        <f ca="1">'Total Trip Tables Sup #2'!F60</f>
        <v>31.345761695261828</v>
      </c>
      <c r="G60" s="4">
        <f ca="1">'Total Trip Tables Sup #2'!G60</f>
        <v>32.149147412254905</v>
      </c>
      <c r="H60" s="4">
        <f ca="1">'Total Trip Tables Sup #2'!H60</f>
        <v>32.748302052483382</v>
      </c>
      <c r="I60" s="1">
        <f ca="1">'Total Trip Tables Sup #2'!I60</f>
        <v>32.528823532572893</v>
      </c>
      <c r="J60" s="1">
        <f ca="1">'Total Trip Tables Sup #2'!J60</f>
        <v>32.208365845845918</v>
      </c>
      <c r="K60" s="1">
        <f ca="1">'Total Trip Tables Sup #2'!K60</f>
        <v>31.82290023037277</v>
      </c>
    </row>
    <row r="61" spans="1:11" x14ac:dyDescent="0.25">
      <c r="A61" t="str">
        <f ca="1">OFFSET(Hawkes_Bay_Reference,7,2)</f>
        <v>Cyclist</v>
      </c>
      <c r="B61" s="4">
        <f ca="1">'Total Trip Tables Sup #2'!B61</f>
        <v>3.1819840940000002</v>
      </c>
      <c r="C61" s="4">
        <f ca="1">'Total Trip Tables Sup #2'!C61</f>
        <v>3.2487157537945328</v>
      </c>
      <c r="D61" s="4">
        <f ca="1">'Total Trip Tables Sup #2'!D61</f>
        <v>4.5249692611398</v>
      </c>
      <c r="E61" s="4">
        <f ca="1">'Total Trip Tables Sup #2'!E61</f>
        <v>5.7204807501545192</v>
      </c>
      <c r="F61" s="4">
        <f ca="1">'Total Trip Tables Sup #2'!F61</f>
        <v>6.8548383565901592</v>
      </c>
      <c r="G61" s="4">
        <f ca="1">'Total Trip Tables Sup #2'!G61</f>
        <v>7.9284077788870242</v>
      </c>
      <c r="H61" s="4">
        <f ca="1">'Total Trip Tables Sup #2'!H61</f>
        <v>8.9411070880697405</v>
      </c>
      <c r="I61" s="1">
        <f ca="1">'Total Trip Tables Sup #2'!I61</f>
        <v>8.9318219961608296</v>
      </c>
      <c r="J61" s="1">
        <f ca="1">'Total Trip Tables Sup #2'!J61</f>
        <v>8.8950406111663796</v>
      </c>
      <c r="K61" s="1">
        <f ca="1">'Total Trip Tables Sup #2'!K61</f>
        <v>8.8402514566486481</v>
      </c>
    </row>
    <row r="62" spans="1:11" x14ac:dyDescent="0.25">
      <c r="A62" t="str">
        <f ca="1">OFFSET(Hawkes_Bay_Reference,14,2)</f>
        <v>Light Vehicle Driver</v>
      </c>
      <c r="B62" s="4">
        <f ca="1">'Total Trip Tables Sup #2'!B62</f>
        <v>111.16933473</v>
      </c>
      <c r="C62" s="4">
        <f ca="1">'Total Trip Tables Sup #2'!C62*(1-'Other Assumptions'!G11)</f>
        <v>116.72538069900506</v>
      </c>
      <c r="D62" s="4">
        <f ca="1">'Total Trip Tables Sup #2'!D62*(1-'Other Assumptions'!H11)</f>
        <v>118.26302312456087</v>
      </c>
      <c r="E62" s="4">
        <f ca="1">'Total Trip Tables Sup #2'!E62*(1-'Other Assumptions'!I11)</f>
        <v>107.78587270039407</v>
      </c>
      <c r="F62" s="4">
        <f ca="1">'Total Trip Tables Sup #2'!F62*(1-'Other Assumptions'!J11)</f>
        <v>96.318212923534475</v>
      </c>
      <c r="G62" s="4">
        <f ca="1">'Total Trip Tables Sup #2'!G62*(1-'Other Assumptions'!K11)</f>
        <v>83.713116954080633</v>
      </c>
      <c r="H62" s="4">
        <f ca="1">'Total Trip Tables Sup #2'!H62*(1-'Other Assumptions'!L11)</f>
        <v>70.896541916031325</v>
      </c>
      <c r="I62" s="1">
        <f ca="1">'Total Trip Tables Sup #2'!I62*(1-'Other Assumptions'!M11)</f>
        <v>58.701859245412834</v>
      </c>
      <c r="J62" s="1">
        <f ca="1">'Total Trip Tables Sup #2'!J62*(1-'Other Assumptions'!N11)</f>
        <v>46.51207814283287</v>
      </c>
      <c r="K62" s="1">
        <f ca="1">'Total Trip Tables Sup #2'!K62*(1-'Other Assumptions'!O11)</f>
        <v>45.968006206017435</v>
      </c>
    </row>
    <row r="63" spans="1:11" x14ac:dyDescent="0.25">
      <c r="A63" t="str">
        <f ca="1">OFFSET(Hawkes_Bay_Reference,21,2)</f>
        <v>Light Vehicle Passenger</v>
      </c>
      <c r="B63" s="4">
        <f ca="1">'Total Trip Tables Sup #2'!B63</f>
        <v>58.497679762000011</v>
      </c>
      <c r="C63" s="4">
        <f ca="1">'Total Trip Tables Sup #2'!C63*(1-'Other Assumptions'!G11)</f>
        <v>58.548384539922644</v>
      </c>
      <c r="D63" s="4">
        <f ca="1">'Total Trip Tables Sup #2'!D63*(1-'Other Assumptions'!H11)</f>
        <v>57.266675174449688</v>
      </c>
      <c r="E63" s="4">
        <f ca="1">'Total Trip Tables Sup #2'!E63*(1-'Other Assumptions'!I11)</f>
        <v>50.330722722056294</v>
      </c>
      <c r="F63" s="4">
        <f ca="1">'Total Trip Tables Sup #2'!F63*(1-'Other Assumptions'!J11)</f>
        <v>43.482869907153145</v>
      </c>
      <c r="G63" s="4">
        <f ca="1">'Total Trip Tables Sup #2'!G63*(1-'Other Assumptions'!K11)</f>
        <v>36.707651417481692</v>
      </c>
      <c r="H63" s="4">
        <f ca="1">'Total Trip Tables Sup #2'!H63*(1-'Other Assumptions'!L11)</f>
        <v>30.177923185239351</v>
      </c>
      <c r="I63" s="1">
        <f ca="1">'Total Trip Tables Sup #2'!I63*(1-'Other Assumptions'!M11)</f>
        <v>24.985253358294898</v>
      </c>
      <c r="J63" s="1">
        <f ca="1">'Total Trip Tables Sup #2'!J63*(1-'Other Assumptions'!N11)</f>
        <v>19.795312475169336</v>
      </c>
      <c r="K63" s="1">
        <f ca="1">'Total Trip Tables Sup #2'!K63*(1-'Other Assumptions'!O11)</f>
        <v>19.562038080431318</v>
      </c>
    </row>
    <row r="64" spans="1:11" x14ac:dyDescent="0.25">
      <c r="A64" t="str">
        <f ca="1">OFFSET(Hawkes_Bay_Reference,28,2)</f>
        <v>Taxi/Vehicle Share</v>
      </c>
      <c r="B64" s="4">
        <f ca="1">'Total Trip Tables Sup #2'!B64</f>
        <v>0.32519619989999998</v>
      </c>
      <c r="C64" s="4">
        <f ca="1">'Total Trip Tables Sup #2'!C64+((C62+C63)*'Other Assumptions'!G11/(1-'Other Assumptions'!G11))</f>
        <v>0.35687711887411033</v>
      </c>
      <c r="D64" s="4">
        <f ca="1">'Total Trip Tables Sup #2'!D64+((D62+D63)*'Other Assumptions'!H11/(1-'Other Assumptions'!H11))</f>
        <v>0.37765385402619789</v>
      </c>
      <c r="E64" s="4">
        <f ca="1">'Total Trip Tables Sup #2'!E64+((E62+E63)*'Other Assumptions'!I11/(1-'Other Assumptions'!I11))</f>
        <v>17.960319681406624</v>
      </c>
      <c r="F64" s="4">
        <f ca="1">'Total Trip Tables Sup #2'!F64+((F62+F63)*'Other Assumptions'!J11/(1-'Other Assumptions'!J11))</f>
        <v>35.350760859486236</v>
      </c>
      <c r="G64" s="4">
        <f ca="1">'Total Trip Tables Sup #2'!G64+((G62+G63)*'Other Assumptions'!K11/(1-'Other Assumptions'!K11))</f>
        <v>52.011358011468069</v>
      </c>
      <c r="H64" s="4">
        <f ca="1">'Total Trip Tables Sup #2'!H64+((H62+H63)*'Other Assumptions'!L11/(1-'Other Assumptions'!L11))</f>
        <v>67.785757985223469</v>
      </c>
      <c r="I64" s="1">
        <f ca="1">'Total Trip Tables Sup #2'!I64+((I62+I63)*'Other Assumptions'!M11/(1-'Other Assumptions'!M11))</f>
        <v>84.086693028146286</v>
      </c>
      <c r="J64" s="1">
        <f ca="1">'Total Trip Tables Sup #2'!J64+((J62+J63)*'Other Assumptions'!N11/(1-'Other Assumptions'!N11))</f>
        <v>99.856215197471514</v>
      </c>
      <c r="K64" s="1">
        <f ca="1">'Total Trip Tables Sup #2'!K64+((K62+K63)*'Other Assumptions'!O11/(1-'Other Assumptions'!O11))</f>
        <v>98.684941329415466</v>
      </c>
    </row>
    <row r="65" spans="1:11" x14ac:dyDescent="0.25">
      <c r="A65" t="str">
        <f ca="1">OFFSET(Hawkes_Bay_Reference,35,2)</f>
        <v>Motorcyclist</v>
      </c>
      <c r="B65" s="4">
        <f ca="1">'Total Trip Tables Sup #2'!B65</f>
        <v>0.65061969099999994</v>
      </c>
      <c r="C65" s="4">
        <f ca="1">'Total Trip Tables Sup #2'!C65</f>
        <v>0.66966717973912493</v>
      </c>
      <c r="D65" s="4">
        <f ca="1">'Total Trip Tables Sup #2'!D65</f>
        <v>0.67089262150094364</v>
      </c>
      <c r="E65" s="4">
        <f ca="1">'Total Trip Tables Sup #2'!E65</f>
        <v>0.67026540351653652</v>
      </c>
      <c r="F65" s="4">
        <f ca="1">'Total Trip Tables Sup #2'!F65</f>
        <v>0.6642442334149361</v>
      </c>
      <c r="G65" s="4">
        <f ca="1">'Total Trip Tables Sup #2'!G65</f>
        <v>0.64596021222418454</v>
      </c>
      <c r="H65" s="4">
        <f ca="1">'Total Trip Tables Sup #2'!H65</f>
        <v>0.62375731943042578</v>
      </c>
      <c r="I65" s="1">
        <f ca="1">'Total Trip Tables Sup #2'!I65</f>
        <v>0.62306436527728126</v>
      </c>
      <c r="J65" s="1">
        <f ca="1">'Total Trip Tables Sup #2'!J65</f>
        <v>0.62040236199840082</v>
      </c>
      <c r="K65" s="1">
        <f ca="1">'Total Trip Tables Sup #2'!K65</f>
        <v>0.61643329109285705</v>
      </c>
    </row>
    <row r="66" spans="1:11" x14ac:dyDescent="0.25">
      <c r="A66" t="str">
        <f ca="1">OFFSET(Auckland_Reference,42,2)</f>
        <v>Local Train</v>
      </c>
      <c r="B66" s="4">
        <f ca="1">'Total Trip Tables Sup #2'!B66</f>
        <v>0</v>
      </c>
      <c r="C66" s="4">
        <f ca="1">'Total Trip Tables Sup #2'!C66</f>
        <v>0</v>
      </c>
      <c r="D66" s="4">
        <f ca="1">'Total Trip Tables Sup #2'!D66</f>
        <v>0</v>
      </c>
      <c r="E66" s="4">
        <f ca="1">'Total Trip Tables Sup #2'!E66</f>
        <v>0</v>
      </c>
      <c r="F66" s="4">
        <f ca="1">'Total Trip Tables Sup #2'!F66</f>
        <v>0</v>
      </c>
      <c r="G66" s="4">
        <f ca="1">'Total Trip Tables Sup #2'!G66</f>
        <v>0</v>
      </c>
      <c r="H66" s="4">
        <f ca="1">'Total Trip Tables Sup #2'!H66</f>
        <v>0</v>
      </c>
      <c r="I66" s="1">
        <f ca="1">'Total Trip Tables Sup #2'!I66</f>
        <v>0</v>
      </c>
      <c r="J66" s="1">
        <f ca="1">'Total Trip Tables Sup #2'!J66</f>
        <v>0</v>
      </c>
      <c r="K66" s="1">
        <f ca="1">'Total Trip Tables Sup #2'!K66</f>
        <v>0</v>
      </c>
    </row>
    <row r="67" spans="1:11" x14ac:dyDescent="0.25">
      <c r="A67" t="str">
        <f ca="1">OFFSET(Hawkes_Bay_Reference,42,2)</f>
        <v>Local Bus</v>
      </c>
      <c r="B67" s="4">
        <f ca="1">'Total Trip Tables Sup #2'!B67</f>
        <v>4.5218645043999999</v>
      </c>
      <c r="C67" s="4">
        <f ca="1">'Total Trip Tables Sup #2'!C67</f>
        <v>4.3344611526437342</v>
      </c>
      <c r="D67" s="4">
        <f ca="1">'Total Trip Tables Sup #2'!D67</f>
        <v>4.1658883561759605</v>
      </c>
      <c r="E67" s="4">
        <f ca="1">'Total Trip Tables Sup #2'!E67</f>
        <v>4.065201304812514</v>
      </c>
      <c r="F67" s="4">
        <f ca="1">'Total Trip Tables Sup #2'!F67</f>
        <v>3.9124839526112805</v>
      </c>
      <c r="G67" s="4">
        <f ca="1">'Total Trip Tables Sup #2'!G67</f>
        <v>3.7827200520919804</v>
      </c>
      <c r="H67" s="4">
        <f ca="1">'Total Trip Tables Sup #2'!H67</f>
        <v>3.636152463653691</v>
      </c>
      <c r="I67" s="1">
        <f ca="1">'Total Trip Tables Sup #2'!I67</f>
        <v>3.6157477791432235</v>
      </c>
      <c r="J67" s="1">
        <f ca="1">'Total Trip Tables Sup #2'!J67</f>
        <v>3.5840342884321985</v>
      </c>
      <c r="K67" s="1">
        <f ca="1">'Total Trip Tables Sup #2'!K67</f>
        <v>3.544984721596431</v>
      </c>
    </row>
    <row r="68" spans="1:11" x14ac:dyDescent="0.25">
      <c r="A68" t="str">
        <f ca="1">OFFSET(Waikato_Reference,56,2)</f>
        <v>Local Ferry</v>
      </c>
      <c r="B68" s="4">
        <f ca="1">'Total Trip Tables Sup #2'!B68</f>
        <v>0</v>
      </c>
      <c r="C68" s="4">
        <f ca="1">'Total Trip Tables Sup #2'!C68</f>
        <v>0</v>
      </c>
      <c r="D68" s="4">
        <f ca="1">'Total Trip Tables Sup #2'!D68</f>
        <v>0</v>
      </c>
      <c r="E68" s="4">
        <f ca="1">'Total Trip Tables Sup #2'!E68</f>
        <v>0</v>
      </c>
      <c r="F68" s="4">
        <f ca="1">'Total Trip Tables Sup #2'!F68</f>
        <v>0</v>
      </c>
      <c r="G68" s="4">
        <f ca="1">'Total Trip Tables Sup #2'!G68</f>
        <v>0</v>
      </c>
      <c r="H68" s="4">
        <f ca="1">'Total Trip Tables Sup #2'!H68</f>
        <v>0</v>
      </c>
      <c r="I68" s="1">
        <f ca="1">'Total Trip Tables Sup #2'!I68</f>
        <v>0</v>
      </c>
      <c r="J68" s="1">
        <f ca="1">'Total Trip Tables Sup #2'!J68</f>
        <v>0</v>
      </c>
      <c r="K68" s="1">
        <f ca="1">'Total Trip Tables Sup #2'!K68</f>
        <v>0</v>
      </c>
    </row>
    <row r="69" spans="1:11" x14ac:dyDescent="0.25">
      <c r="A69" t="str">
        <f ca="1">OFFSET(Hawkes_Bay_Reference,49,2)</f>
        <v>Other Household Travel</v>
      </c>
      <c r="B69" s="4">
        <f ca="1">'Total Trip Tables Sup #2'!B69</f>
        <v>0.49138149730000003</v>
      </c>
      <c r="C69" s="4">
        <f ca="1">'Total Trip Tables Sup #2'!C69</f>
        <v>0.5097595929786729</v>
      </c>
      <c r="D69" s="4">
        <f ca="1">'Total Trip Tables Sup #2'!D69</f>
        <v>0.52537555759706633</v>
      </c>
      <c r="E69" s="4">
        <f ca="1">'Total Trip Tables Sup #2'!E69</f>
        <v>0.53622255369908933</v>
      </c>
      <c r="F69" s="4">
        <f ca="1">'Total Trip Tables Sup #2'!F69</f>
        <v>0.54164804510998721</v>
      </c>
      <c r="G69" s="4">
        <f ca="1">'Total Trip Tables Sup #2'!G69</f>
        <v>0.54215874657893026</v>
      </c>
      <c r="H69" s="4">
        <f ca="1">'Total Trip Tables Sup #2'!H69</f>
        <v>0.53486081782646921</v>
      </c>
      <c r="I69" s="1">
        <f ca="1">'Total Trip Tables Sup #2'!I69</f>
        <v>0.53313276159727063</v>
      </c>
      <c r="J69" s="1">
        <f ca="1">'Total Trip Tables Sup #2'!J69</f>
        <v>0.52973263384850133</v>
      </c>
      <c r="K69" s="1">
        <f ca="1">'Total Trip Tables Sup #2'!K69</f>
        <v>0.52523615209345687</v>
      </c>
    </row>
    <row r="70" spans="1:11" x14ac:dyDescent="0.25">
      <c r="A70" t="str">
        <f ca="1">OFFSET(Taranaki_Reference,0,0)</f>
        <v>07 TARANAKI</v>
      </c>
      <c r="B70" s="4">
        <f ca="1">SUM(B71:B80)</f>
        <v>164.86299707219999</v>
      </c>
      <c r="C70" s="4">
        <f t="shared" ref="C70" ca="1" si="32">SUM(C71:C80)</f>
        <v>171.67583001701183</v>
      </c>
      <c r="D70" s="4">
        <f t="shared" ref="D70" ca="1" si="33">SUM(D71:D80)</f>
        <v>175.79317566765289</v>
      </c>
      <c r="E70" s="4">
        <f t="shared" ref="E70" ca="1" si="34">SUM(E71:E80)</f>
        <v>179.75173327273774</v>
      </c>
      <c r="F70" s="4">
        <f t="shared" ref="F70" ca="1" si="35">SUM(F71:F80)</f>
        <v>182.65113629728427</v>
      </c>
      <c r="G70" s="4">
        <f t="shared" ref="G70" ca="1" si="36">SUM(G71:G80)</f>
        <v>184.05760052517067</v>
      </c>
      <c r="H70" s="4">
        <f t="shared" ref="H70:K70" ca="1" si="37">SUM(H71:H80)</f>
        <v>184.75756643422864</v>
      </c>
      <c r="I70" s="1">
        <f t="shared" ca="1" si="37"/>
        <v>186.09924455392664</v>
      </c>
      <c r="J70" s="1">
        <f t="shared" ca="1" si="37"/>
        <v>186.85519075884085</v>
      </c>
      <c r="K70" s="1">
        <f t="shared" ca="1" si="37"/>
        <v>187.21215637530122</v>
      </c>
    </row>
    <row r="71" spans="1:11" x14ac:dyDescent="0.25">
      <c r="A71" t="str">
        <f ca="1">OFFSET(Taranaki_Reference,0,2)</f>
        <v>Pedestrian</v>
      </c>
      <c r="B71" s="4">
        <f ca="1">'Total Trip Tables Sup #2'!B71</f>
        <v>23.308571313000002</v>
      </c>
      <c r="C71" s="4">
        <f ca="1">'Total Trip Tables Sup #2'!C71</f>
        <v>24.077509398465246</v>
      </c>
      <c r="D71" s="4">
        <f ca="1">'Total Trip Tables Sup #2'!D71</f>
        <v>25.821929889592884</v>
      </c>
      <c r="E71" s="4">
        <f ca="1">'Total Trip Tables Sup #2'!E71</f>
        <v>27.342406017746942</v>
      </c>
      <c r="F71" s="4">
        <f ca="1">'Total Trip Tables Sup #2'!F71</f>
        <v>28.584278018282706</v>
      </c>
      <c r="G71" s="4">
        <f ca="1">'Total Trip Tables Sup #2'!G71</f>
        <v>29.672197914504149</v>
      </c>
      <c r="H71" s="4">
        <f ca="1">'Total Trip Tables Sup #2'!H71</f>
        <v>30.635852599076209</v>
      </c>
      <c r="I71" s="1">
        <f ca="1">'Total Trip Tables Sup #2'!I71</f>
        <v>30.843983856260081</v>
      </c>
      <c r="J71" s="1">
        <f ca="1">'Total Trip Tables Sup #2'!J71</f>
        <v>30.955065555278832</v>
      </c>
      <c r="K71" s="1">
        <f ca="1">'Total Trip Tables Sup #2'!K71</f>
        <v>31.000144736218346</v>
      </c>
    </row>
    <row r="72" spans="1:11" x14ac:dyDescent="0.25">
      <c r="A72" t="str">
        <f ca="1">OFFSET(Taranaki_Reference,7,2)</f>
        <v>Cyclist</v>
      </c>
      <c r="B72" s="4">
        <f ca="1">'Total Trip Tables Sup #2'!B72</f>
        <v>2.1611397319000001</v>
      </c>
      <c r="C72" s="4">
        <f ca="1">'Total Trip Tables Sup #2'!C72</f>
        <v>2.2272988552405679</v>
      </c>
      <c r="D72" s="4">
        <f ca="1">'Total Trip Tables Sup #2'!D72</f>
        <v>3.1279504686055843</v>
      </c>
      <c r="E72" s="4">
        <f ca="1">'Total Trip Tables Sup #2'!E72</f>
        <v>3.991595041352809</v>
      </c>
      <c r="F72" s="4">
        <f ca="1">'Total Trip Tables Sup #2'!F72</f>
        <v>4.8337914662099353</v>
      </c>
      <c r="G72" s="4">
        <f ca="1">'Total Trip Tables Sup #2'!G72</f>
        <v>5.6585939223073236</v>
      </c>
      <c r="H72" s="4">
        <f ca="1">'Total Trip Tables Sup #2'!H72</f>
        <v>6.4680709194200956</v>
      </c>
      <c r="I72" s="1">
        <f ca="1">'Total Trip Tables Sup #2'!I72</f>
        <v>6.5491428411444987</v>
      </c>
      <c r="J72" s="1">
        <f ca="1">'Total Trip Tables Sup #2'!J72</f>
        <v>6.6107885386494187</v>
      </c>
      <c r="K72" s="1">
        <f ca="1">'Total Trip Tables Sup #2'!K72</f>
        <v>6.6593351955838536</v>
      </c>
    </row>
    <row r="73" spans="1:11" x14ac:dyDescent="0.25">
      <c r="A73" t="str">
        <f ca="1">OFFSET(Taranaki_Reference,14,2)</f>
        <v>Light Vehicle Driver</v>
      </c>
      <c r="B73" s="4">
        <f ca="1">'Total Trip Tables Sup #2'!B73</f>
        <v>90.801950900999998</v>
      </c>
      <c r="C73" s="4">
        <f ca="1">'Total Trip Tables Sup #2'!C73*(1-'Other Assumptions'!G12)</f>
        <v>96.240397452286885</v>
      </c>
      <c r="D73" s="4">
        <f ca="1">'Total Trip Tables Sup #2'!D73*(1-'Other Assumptions'!H12)</f>
        <v>98.334396632818112</v>
      </c>
      <c r="E73" s="4">
        <f ca="1">'Total Trip Tables Sup #2'!E73*(1-'Other Assumptions'!I12)</f>
        <v>90.483160026440288</v>
      </c>
      <c r="F73" s="4">
        <f ca="1">'Total Trip Tables Sup #2'!F73*(1-'Other Assumptions'!J12)</f>
        <v>81.727406551206997</v>
      </c>
      <c r="G73" s="4">
        <f ca="1">'Total Trip Tables Sup #2'!G73*(1-'Other Assumptions'!K12)</f>
        <v>71.905502659764323</v>
      </c>
      <c r="H73" s="4">
        <f ca="1">'Total Trip Tables Sup #2'!H73*(1-'Other Assumptions'!L12)</f>
        <v>61.735290506864658</v>
      </c>
      <c r="I73" s="1">
        <f ca="1">'Total Trip Tables Sup #2'!I73*(1-'Other Assumptions'!M12)</f>
        <v>51.811523658634052</v>
      </c>
      <c r="J73" s="1">
        <f ca="1">'Total Trip Tables Sup #2'!J73*(1-'Other Assumptions'!N12)</f>
        <v>41.610834797625273</v>
      </c>
      <c r="K73" s="1">
        <f ca="1">'Total Trip Tables Sup #2'!K73*(1-'Other Assumptions'!O12)</f>
        <v>41.683352770016683</v>
      </c>
    </row>
    <row r="74" spans="1:11" x14ac:dyDescent="0.25">
      <c r="A74" t="str">
        <f ca="1">OFFSET(Taranaki_Reference,21,2)</f>
        <v>Light Vehicle Passenger</v>
      </c>
      <c r="B74" s="4">
        <f ca="1">'Total Trip Tables Sup #2'!B74</f>
        <v>45.484067730000007</v>
      </c>
      <c r="C74" s="4">
        <f ca="1">'Total Trip Tables Sup #2'!C74*(1-'Other Assumptions'!G12)</f>
        <v>45.953385184898764</v>
      </c>
      <c r="D74" s="4">
        <f ca="1">'Total Trip Tables Sup #2'!D74*(1-'Other Assumptions'!H12)</f>
        <v>45.309611719427764</v>
      </c>
      <c r="E74" s="4">
        <f ca="1">'Total Trip Tables Sup #2'!E74*(1-'Other Assumptions'!I12)</f>
        <v>40.187448747453345</v>
      </c>
      <c r="F74" s="4">
        <f ca="1">'Total Trip Tables Sup #2'!F74*(1-'Other Assumptions'!J12)</f>
        <v>35.079355529406591</v>
      </c>
      <c r="G74" s="4">
        <f ca="1">'Total Trip Tables Sup #2'!G74*(1-'Other Assumptions'!K12)</f>
        <v>29.965605856647802</v>
      </c>
      <c r="H74" s="4">
        <f ca="1">'Total Trip Tables Sup #2'!H74*(1-'Other Assumptions'!L12)</f>
        <v>24.964444282641796</v>
      </c>
      <c r="I74" s="1">
        <f ca="1">'Total Trip Tables Sup #2'!I74*(1-'Other Assumptions'!M12)</f>
        <v>20.950125804581578</v>
      </c>
      <c r="J74" s="1">
        <f ca="1">'Total Trip Tables Sup #2'!J74*(1-'Other Assumptions'!N12)</f>
        <v>16.824251357907446</v>
      </c>
      <c r="K74" s="1">
        <f ca="1">'Total Trip Tables Sup #2'!K74*(1-'Other Assumptions'!O12)</f>
        <v>16.852261269823575</v>
      </c>
    </row>
    <row r="75" spans="1:11" x14ac:dyDescent="0.25">
      <c r="A75" t="str">
        <f ca="1">OFFSET(Taranaki_Reference,28,2)</f>
        <v>Taxi/Vehicle Share</v>
      </c>
      <c r="B75" s="4">
        <f ca="1">'Total Trip Tables Sup #2'!B75</f>
        <v>0.56194422089999996</v>
      </c>
      <c r="C75" s="4">
        <f ca="1">'Total Trip Tables Sup #2'!C75+((C73+C74)*'Other Assumptions'!G12/(1-'Other Assumptions'!G12))</f>
        <v>0.62251294569361981</v>
      </c>
      <c r="D75" s="4">
        <f ca="1">'Total Trip Tables Sup #2'!D75+((D73+D74)*'Other Assumptions'!H12/(1-'Other Assumptions'!H12))</f>
        <v>0.6642033458755684</v>
      </c>
      <c r="E75" s="4">
        <f ca="1">'Total Trip Tables Sup #2'!E75+((E73+E74)*'Other Assumptions'!I12/(1-'Other Assumptions'!I12))</f>
        <v>15.214543351321856</v>
      </c>
      <c r="F75" s="4">
        <f ca="1">'Total Trip Tables Sup #2'!F75+((F73+F74)*'Other Assumptions'!J12/(1-'Other Assumptions'!J12))</f>
        <v>29.920221400262115</v>
      </c>
      <c r="G75" s="4">
        <f ca="1">'Total Trip Tables Sup #2'!G75+((G73+G74)*'Other Assumptions'!K12/(1-'Other Assumptions'!K12))</f>
        <v>44.389857787380656</v>
      </c>
      <c r="H75" s="4">
        <f ca="1">'Total Trip Tables Sup #2'!H75+((H73+H74)*'Other Assumptions'!L12/(1-'Other Assumptions'!L12))</f>
        <v>58.541160108928658</v>
      </c>
      <c r="I75" s="1">
        <f ca="1">'Total Trip Tables Sup #2'!I75+((I73+I74)*'Other Assumptions'!M12/(1-'Other Assumptions'!M12))</f>
        <v>73.507087434455016</v>
      </c>
      <c r="J75" s="1">
        <f ca="1">'Total Trip Tables Sup #2'!J75+((J73+J74)*'Other Assumptions'!N12/(1-'Other Assumptions'!N12))</f>
        <v>88.399778606959757</v>
      </c>
      <c r="K75" s="1">
        <f ca="1">'Total Trip Tables Sup #2'!K75+((K73+K74)*'Other Assumptions'!O12/(1-'Other Assumptions'!O12))</f>
        <v>88.550651295869415</v>
      </c>
    </row>
    <row r="76" spans="1:11" x14ac:dyDescent="0.25">
      <c r="A76" t="str">
        <f ca="1">OFFSET(Taranaki_Reference,35,2)</f>
        <v>Motorcyclist</v>
      </c>
      <c r="B76" s="4">
        <f ca="1">'Total Trip Tables Sup #2'!B76</f>
        <v>1.091812341</v>
      </c>
      <c r="C76" s="4">
        <f ca="1">'Total Trip Tables Sup #2'!C76</f>
        <v>1.1343883210504198</v>
      </c>
      <c r="D76" s="4">
        <f ca="1">'Total Trip Tables Sup #2'!D76</f>
        <v>1.1458643343944455</v>
      </c>
      <c r="E76" s="4">
        <f ca="1">'Total Trip Tables Sup #2'!E76</f>
        <v>1.1555711794505104</v>
      </c>
      <c r="F76" s="4">
        <f ca="1">'Total Trip Tables Sup #2'!F76</f>
        <v>1.157322609838733</v>
      </c>
      <c r="G76" s="4">
        <f ca="1">'Total Trip Tables Sup #2'!G76</f>
        <v>1.1391063446428311</v>
      </c>
      <c r="H76" s="4">
        <f ca="1">'Total Trip Tables Sup #2'!H76</f>
        <v>1.1148978653432529</v>
      </c>
      <c r="I76" s="1">
        <f ca="1">'Total Trip Tables Sup #2'!I76</f>
        <v>1.1287903016310192</v>
      </c>
      <c r="J76" s="1">
        <f ca="1">'Total Trip Tables Sup #2'!J76</f>
        <v>1.139238688796171</v>
      </c>
      <c r="K76" s="1">
        <f ca="1">'Total Trip Tables Sup #2'!K76</f>
        <v>1.1473298551154976</v>
      </c>
    </row>
    <row r="77" spans="1:11" x14ac:dyDescent="0.25">
      <c r="A77" t="str">
        <f ca="1">OFFSET(Taranaki_Reference,42,2)</f>
        <v>Local Train</v>
      </c>
      <c r="B77" s="4">
        <f ca="1">'Total Trip Tables Sup #2'!B77</f>
        <v>0</v>
      </c>
      <c r="C77" s="4">
        <f ca="1">'Total Trip Tables Sup #2'!C77</f>
        <v>0</v>
      </c>
      <c r="D77" s="4">
        <f ca="1">'Total Trip Tables Sup #2'!D77</f>
        <v>0</v>
      </c>
      <c r="E77" s="4">
        <f ca="1">'Total Trip Tables Sup #2'!E77</f>
        <v>0</v>
      </c>
      <c r="F77" s="4">
        <f ca="1">'Total Trip Tables Sup #2'!F77</f>
        <v>0</v>
      </c>
      <c r="G77" s="4">
        <f ca="1">'Total Trip Tables Sup #2'!G77</f>
        <v>0</v>
      </c>
      <c r="H77" s="4">
        <f ca="1">'Total Trip Tables Sup #2'!H77</f>
        <v>0</v>
      </c>
      <c r="I77" s="1">
        <f ca="1">'Total Trip Tables Sup #2'!I77</f>
        <v>0</v>
      </c>
      <c r="J77" s="1">
        <f ca="1">'Total Trip Tables Sup #2'!J77</f>
        <v>0</v>
      </c>
      <c r="K77" s="1">
        <f ca="1">'Total Trip Tables Sup #2'!K77</f>
        <v>0</v>
      </c>
    </row>
    <row r="78" spans="1:11" x14ac:dyDescent="0.25">
      <c r="A78" t="str">
        <f ca="1">OFFSET(Taranaki_Reference,49,2)</f>
        <v>Local Bus</v>
      </c>
      <c r="B78" s="4">
        <f ca="1">'Total Trip Tables Sup #2'!B78</f>
        <v>1.2787514622</v>
      </c>
      <c r="C78" s="4">
        <f ca="1">'Total Trip Tables Sup #2'!C78</f>
        <v>1.2373303039182844</v>
      </c>
      <c r="D78" s="4">
        <f ca="1">'Total Trip Tables Sup #2'!D78</f>
        <v>1.1990453689549225</v>
      </c>
      <c r="E78" s="4">
        <f ca="1">'Total Trip Tables Sup #2'!E78</f>
        <v>1.1810812020359189</v>
      </c>
      <c r="F78" s="4">
        <f ca="1">'Total Trip Tables Sup #2'!F78</f>
        <v>1.1487539477525668</v>
      </c>
      <c r="G78" s="4">
        <f ca="1">'Total Trip Tables Sup #2'!G78</f>
        <v>1.1241143880798701</v>
      </c>
      <c r="H78" s="4">
        <f ca="1">'Total Trip Tables Sup #2'!H78</f>
        <v>1.0952400505879929</v>
      </c>
      <c r="I78" s="1">
        <f ca="1">'Total Trip Tables Sup #2'!I78</f>
        <v>1.1038912392571263</v>
      </c>
      <c r="J78" s="1">
        <f ca="1">'Total Trip Tables Sup #2'!J78</f>
        <v>1.1090758310868936</v>
      </c>
      <c r="K78" s="1">
        <f ca="1">'Total Trip Tables Sup #2'!K78</f>
        <v>1.1118965429632519</v>
      </c>
    </row>
    <row r="79" spans="1:11" x14ac:dyDescent="0.25">
      <c r="A79" t="str">
        <f ca="1">OFFSET(Waikato_Reference,56,2)</f>
        <v>Local Ferry</v>
      </c>
      <c r="B79" s="4">
        <f ca="1">'Total Trip Tables Sup #2'!B79</f>
        <v>0</v>
      </c>
      <c r="C79" s="4">
        <f ca="1">'Total Trip Tables Sup #2'!C79</f>
        <v>0</v>
      </c>
      <c r="D79" s="4">
        <f ca="1">'Total Trip Tables Sup #2'!D79</f>
        <v>0</v>
      </c>
      <c r="E79" s="4">
        <f ca="1">'Total Trip Tables Sup #2'!E79</f>
        <v>0</v>
      </c>
      <c r="F79" s="4">
        <f ca="1">'Total Trip Tables Sup #2'!F79</f>
        <v>0</v>
      </c>
      <c r="G79" s="4">
        <f ca="1">'Total Trip Tables Sup #2'!G79</f>
        <v>0</v>
      </c>
      <c r="H79" s="4">
        <f ca="1">'Total Trip Tables Sup #2'!H79</f>
        <v>0</v>
      </c>
      <c r="I79" s="1">
        <f ca="1">'Total Trip Tables Sup #2'!I79</f>
        <v>0</v>
      </c>
      <c r="J79" s="1">
        <f ca="1">'Total Trip Tables Sup #2'!J79</f>
        <v>0</v>
      </c>
      <c r="K79" s="1">
        <f ca="1">'Total Trip Tables Sup #2'!K79</f>
        <v>0</v>
      </c>
    </row>
    <row r="80" spans="1:11" x14ac:dyDescent="0.25">
      <c r="A80" t="str">
        <f ca="1">OFFSET(Taranaki_Reference,56,2)</f>
        <v>Other Household Travel</v>
      </c>
      <c r="B80" s="4">
        <f ca="1">'Total Trip Tables Sup #2'!B80</f>
        <v>0.17475937220000001</v>
      </c>
      <c r="C80" s="4">
        <f ca="1">'Total Trip Tables Sup #2'!C80</f>
        <v>0.18300755545806294</v>
      </c>
      <c r="D80" s="4">
        <f ca="1">'Total Trip Tables Sup #2'!D80</f>
        <v>0.19017390798362618</v>
      </c>
      <c r="E80" s="4">
        <f ca="1">'Total Trip Tables Sup #2'!E80</f>
        <v>0.19592770693607944</v>
      </c>
      <c r="F80" s="4">
        <f ca="1">'Total Trip Tables Sup #2'!F80</f>
        <v>0.20000677432462391</v>
      </c>
      <c r="G80" s="4">
        <f ca="1">'Total Trip Tables Sup #2'!G80</f>
        <v>0.20262165184368772</v>
      </c>
      <c r="H80" s="4">
        <f ca="1">'Total Trip Tables Sup #2'!H80</f>
        <v>0.20261010136597246</v>
      </c>
      <c r="I80" s="1">
        <f ca="1">'Total Trip Tables Sup #2'!I80</f>
        <v>0.20469941796326921</v>
      </c>
      <c r="J80" s="1">
        <f ca="1">'Total Trip Tables Sup #2'!J80</f>
        <v>0.20615738253705307</v>
      </c>
      <c r="K80" s="1">
        <f ca="1">'Total Trip Tables Sup #2'!K80</f>
        <v>0.2071847097106142</v>
      </c>
    </row>
    <row r="81" spans="1:11" x14ac:dyDescent="0.25">
      <c r="A81" t="str">
        <f ca="1">OFFSET(Manawatu_Reference,0,0)</f>
        <v>08 MANAWATU-WANGANUI</v>
      </c>
      <c r="B81" s="4">
        <f ca="1">SUM(B82:B91)</f>
        <v>314.31283259870003</v>
      </c>
      <c r="C81" s="4">
        <f t="shared" ref="C81" ca="1" si="38">SUM(C82:C91)</f>
        <v>324.76310847897525</v>
      </c>
      <c r="D81" s="4">
        <f t="shared" ref="D81" ca="1" si="39">SUM(D82:D91)</f>
        <v>328.8057698172135</v>
      </c>
      <c r="E81" s="4">
        <f t="shared" ref="E81" ca="1" si="40">SUM(E82:E91)</f>
        <v>332.12627575582786</v>
      </c>
      <c r="F81" s="4">
        <f t="shared" ref="F81" ca="1" si="41">SUM(F82:F91)</f>
        <v>333.3474698409463</v>
      </c>
      <c r="G81" s="4">
        <f t="shared" ref="G81" ca="1" si="42">SUM(G82:G91)</f>
        <v>331.45107659205564</v>
      </c>
      <c r="H81" s="4">
        <f t="shared" ref="H81:K81" ca="1" si="43">SUM(H82:H91)</f>
        <v>327.89629997503533</v>
      </c>
      <c r="I81" s="1">
        <f t="shared" ca="1" si="43"/>
        <v>325.41812359309205</v>
      </c>
      <c r="J81" s="1">
        <f t="shared" ca="1" si="43"/>
        <v>321.93283144366353</v>
      </c>
      <c r="K81" s="1">
        <f t="shared" ca="1" si="43"/>
        <v>317.80246635971571</v>
      </c>
    </row>
    <row r="82" spans="1:11" x14ac:dyDescent="0.25">
      <c r="A82" t="str">
        <f ca="1">OFFSET(Manawatu_Reference,0,2)</f>
        <v>Pedestrian</v>
      </c>
      <c r="B82" s="4">
        <f ca="1">'Total Trip Tables Sup #2'!B82</f>
        <v>39.544031846000003</v>
      </c>
      <c r="C82" s="4">
        <f ca="1">'Total Trip Tables Sup #2'!C82</f>
        <v>40.529446677176722</v>
      </c>
      <c r="D82" s="4">
        <f ca="1">'Total Trip Tables Sup #2'!D82</f>
        <v>42.979846090983379</v>
      </c>
      <c r="E82" s="4">
        <f ca="1">'Total Trip Tables Sup #2'!E82</f>
        <v>44.949410435460912</v>
      </c>
      <c r="F82" s="4">
        <f ca="1">'Total Trip Tables Sup #2'!F82</f>
        <v>46.406312946192735</v>
      </c>
      <c r="G82" s="4">
        <f ca="1">'Total Trip Tables Sup #2'!G82</f>
        <v>47.521059959706072</v>
      </c>
      <c r="H82" s="4">
        <f ca="1">'Total Trip Tables Sup #2'!H82</f>
        <v>48.342450589421482</v>
      </c>
      <c r="I82" s="1">
        <f ca="1">'Total Trip Tables Sup #2'!I82</f>
        <v>47.954729612654198</v>
      </c>
      <c r="J82" s="1">
        <f ca="1">'Total Trip Tables Sup #2'!J82</f>
        <v>47.419284456170807</v>
      </c>
      <c r="K82" s="1">
        <f ca="1">'Total Trip Tables Sup #2'!K82</f>
        <v>46.789594185898501</v>
      </c>
    </row>
    <row r="83" spans="1:11" x14ac:dyDescent="0.25">
      <c r="A83" t="str">
        <f ca="1">OFFSET(Manawatu_Reference,7,2)</f>
        <v>Cyclist</v>
      </c>
      <c r="B83" s="4">
        <f ca="1">'Total Trip Tables Sup #2'!B83</f>
        <v>4.6745036201000003</v>
      </c>
      <c r="C83" s="4">
        <f ca="1">'Total Trip Tables Sup #2'!C83</f>
        <v>4.7799677598181143</v>
      </c>
      <c r="D83" s="4">
        <f ca="1">'Total Trip Tables Sup #2'!D83</f>
        <v>6.6377881221635553</v>
      </c>
      <c r="E83" s="4">
        <f ca="1">'Total Trip Tables Sup #2'!E83</f>
        <v>8.3660625281683707</v>
      </c>
      <c r="F83" s="4">
        <f ca="1">'Total Trip Tables Sup #2'!F83</f>
        <v>10.005184640513054</v>
      </c>
      <c r="G83" s="4">
        <f ca="1">'Total Trip Tables Sup #2'!G83</f>
        <v>11.553998070237991</v>
      </c>
      <c r="H83" s="4">
        <f ca="1">'Total Trip Tables Sup #2'!H83</f>
        <v>13.0125024338735</v>
      </c>
      <c r="I83" s="1">
        <f ca="1">'Total Trip Tables Sup #2'!I83</f>
        <v>12.981736873813706</v>
      </c>
      <c r="J83" s="1">
        <f ca="1">'Total Trip Tables Sup #2'!J83</f>
        <v>12.911119287225088</v>
      </c>
      <c r="K83" s="1">
        <f ca="1">'Total Trip Tables Sup #2'!K83</f>
        <v>12.814562761252571</v>
      </c>
    </row>
    <row r="84" spans="1:11" x14ac:dyDescent="0.25">
      <c r="A84" t="str">
        <f ca="1">OFFSET(Manawatu_Reference,14,2)</f>
        <v>Light Vehicle Driver</v>
      </c>
      <c r="B84" s="4">
        <f ca="1">'Total Trip Tables Sup #2'!B84</f>
        <v>178.69640117</v>
      </c>
      <c r="C84" s="4">
        <f ca="1">'Total Trip Tables Sup #2'!C84*(1-'Other Assumptions'!G13)</f>
        <v>187.91950308915213</v>
      </c>
      <c r="D84" s="4">
        <f ca="1">'Total Trip Tables Sup #2'!D84*(1-'Other Assumptions'!H13)</f>
        <v>189.91608244901781</v>
      </c>
      <c r="E84" s="4">
        <f ca="1">'Total Trip Tables Sup #2'!E84*(1-'Other Assumptions'!I13)</f>
        <v>172.64611835091779</v>
      </c>
      <c r="F84" s="4">
        <f ca="1">'Total Trip Tables Sup #2'!F84*(1-'Other Assumptions'!J13)</f>
        <v>154.04025935986181</v>
      </c>
      <c r="G84" s="4">
        <f ca="1">'Total Trip Tables Sup #2'!G84*(1-'Other Assumptions'!K13)</f>
        <v>133.7291669815431</v>
      </c>
      <c r="H84" s="4">
        <f ca="1">'Total Trip Tables Sup #2'!H84*(1-'Other Assumptions'!L13)</f>
        <v>113.15278011230507</v>
      </c>
      <c r="I84" s="1">
        <f ca="1">'Total Trip Tables Sup #2'!I84*(1-'Other Assumptions'!M13)</f>
        <v>93.565909067738147</v>
      </c>
      <c r="J84" s="1">
        <f ca="1">'Total Trip Tables Sup #2'!J84*(1-'Other Assumptions'!N13)</f>
        <v>74.038430513887278</v>
      </c>
      <c r="K84" s="1">
        <f ca="1">'Total Trip Tables Sup #2'!K84*(1-'Other Assumptions'!O13)</f>
        <v>73.075680640544803</v>
      </c>
    </row>
    <row r="85" spans="1:11" x14ac:dyDescent="0.25">
      <c r="A85" t="str">
        <f ca="1">OFFSET(Manawatu_Reference,21,2)</f>
        <v>Light Vehicle Passenger</v>
      </c>
      <c r="B85" s="4">
        <f ca="1">'Total Trip Tables Sup #2'!B85</f>
        <v>84.046137803000008</v>
      </c>
      <c r="C85" s="4">
        <f ca="1">'Total Trip Tables Sup #2'!C85*(1-'Other Assumptions'!G13)</f>
        <v>84.249977533974771</v>
      </c>
      <c r="D85" s="4">
        <f ca="1">'Total Trip Tables Sup #2'!D85*(1-'Other Assumptions'!H13)</f>
        <v>82.126085360911119</v>
      </c>
      <c r="E85" s="4">
        <f ca="1">'Total Trip Tables Sup #2'!E85*(1-'Other Assumptions'!I13)</f>
        <v>71.931357390785479</v>
      </c>
      <c r="F85" s="4">
        <f ca="1">'Total Trip Tables Sup #2'!F85*(1-'Other Assumptions'!J13)</f>
        <v>61.996175316852828</v>
      </c>
      <c r="G85" s="4">
        <f ca="1">'Total Trip Tables Sup #2'!G85*(1-'Other Assumptions'!K13)</f>
        <v>52.232230469660685</v>
      </c>
      <c r="H85" s="4">
        <f ca="1">'Total Trip Tables Sup #2'!H85*(1-'Other Assumptions'!L13)</f>
        <v>42.865180728850852</v>
      </c>
      <c r="I85" s="1">
        <f ca="1">'Total Trip Tables Sup #2'!I85*(1-'Other Assumptions'!M13)</f>
        <v>35.44221282404488</v>
      </c>
      <c r="J85" s="1">
        <f ca="1">'Total Trip Tables Sup #2'!J85*(1-'Other Assumptions'!N13)</f>
        <v>28.042785062026713</v>
      </c>
      <c r="K85" s="1">
        <f ca="1">'Total Trip Tables Sup #2'!K85*(1-'Other Assumptions'!O13)</f>
        <v>27.67544043697859</v>
      </c>
    </row>
    <row r="86" spans="1:11" x14ac:dyDescent="0.25">
      <c r="A86" t="str">
        <f ca="1">OFFSET(Manawatu_Reference,28,2)</f>
        <v>Taxi/Vehicle Share</v>
      </c>
      <c r="B86" s="4">
        <f ca="1">'Total Trip Tables Sup #2'!B86</f>
        <v>0.99874441920000001</v>
      </c>
      <c r="C86" s="4">
        <f ca="1">'Total Trip Tables Sup #2'!C86+((C84+C85)*'Other Assumptions'!G13/(1-'Other Assumptions'!G13))</f>
        <v>1.097749794752535</v>
      </c>
      <c r="D86" s="4">
        <f ca="1">'Total Trip Tables Sup #2'!D86+((D84+D85)*'Other Assumptions'!H13/(1-'Other Assumptions'!H13))</f>
        <v>1.1581720526551078</v>
      </c>
      <c r="E86" s="4">
        <f ca="1">'Total Trip Tables Sup #2'!E86+((E84+E85)*'Other Assumptions'!I13/(1-'Other Assumptions'!I13))</f>
        <v>28.373213465510688</v>
      </c>
      <c r="F86" s="4">
        <f ca="1">'Total Trip Tables Sup #2'!F86+((F84+F85)*'Other Assumptions'!J13/(1-'Other Assumptions'!J13))</f>
        <v>55.231164755061563</v>
      </c>
      <c r="G86" s="4">
        <f ca="1">'Total Trip Tables Sup #2'!G86+((G84+G85)*'Other Assumptions'!K13/(1-'Other Assumptions'!K13))</f>
        <v>80.923874557719529</v>
      </c>
      <c r="H86" s="4">
        <f ca="1">'Total Trip Tables Sup #2'!H86+((H84+H85)*'Other Assumptions'!L13/(1-'Other Assumptions'!L13))</f>
        <v>105.23746504971491</v>
      </c>
      <c r="I86" s="1">
        <f ca="1">'Total Trip Tables Sup #2'!I86+((I84+I85)*'Other Assumptions'!M13/(1-'Other Assumptions'!M13))</f>
        <v>130.22226073713506</v>
      </c>
      <c r="J86" s="1">
        <f ca="1">'Total Trip Tables Sup #2'!J86+((J84+J85)*'Other Assumptions'!N13/(1-'Other Assumptions'!N13))</f>
        <v>154.32084375380032</v>
      </c>
      <c r="K86" s="1">
        <f ca="1">'Total Trip Tables Sup #2'!K86+((K84+K85)*'Other Assumptions'!O13/(1-'Other Assumptions'!O13))</f>
        <v>152.3081874153321</v>
      </c>
    </row>
    <row r="87" spans="1:11" x14ac:dyDescent="0.25">
      <c r="A87" t="str">
        <f ca="1">OFFSET(Manawatu_Reference,35,2)</f>
        <v>Motorcyclist</v>
      </c>
      <c r="B87" s="4">
        <f ca="1">'Total Trip Tables Sup #2'!B87</f>
        <v>0.79000583589999995</v>
      </c>
      <c r="C87" s="4">
        <f ca="1">'Total Trip Tables Sup #2'!C87</f>
        <v>0.81440019329711577</v>
      </c>
      <c r="D87" s="4">
        <f ca="1">'Total Trip Tables Sup #2'!D87</f>
        <v>0.81344158020737212</v>
      </c>
      <c r="E87" s="4">
        <f ca="1">'Total Trip Tables Sup #2'!E87</f>
        <v>0.81021630993597338</v>
      </c>
      <c r="F87" s="4">
        <f ca="1">'Total Trip Tables Sup #2'!F87</f>
        <v>0.80134823131764987</v>
      </c>
      <c r="G87" s="4">
        <f ca="1">'Total Trip Tables Sup #2'!G87</f>
        <v>0.77806822644357088</v>
      </c>
      <c r="H87" s="4">
        <f ca="1">'Total Trip Tables Sup #2'!H87</f>
        <v>0.75032735932324468</v>
      </c>
      <c r="I87" s="1">
        <f ca="1">'Total Trip Tables Sup #2'!I87</f>
        <v>0.74849905557445406</v>
      </c>
      <c r="J87" s="1">
        <f ca="1">'Total Trip Tables Sup #2'!J87</f>
        <v>0.7443119665802963</v>
      </c>
      <c r="K87" s="1">
        <f ca="1">'Total Trip Tables Sup #2'!K87</f>
        <v>0.73856863349708168</v>
      </c>
    </row>
    <row r="88" spans="1:11" x14ac:dyDescent="0.25">
      <c r="A88" t="str">
        <f ca="1">OFFSET(Taranaki_Reference,42,2)</f>
        <v>Local Train</v>
      </c>
      <c r="B88" s="4">
        <f ca="1">'Total Trip Tables Sup #2'!B88</f>
        <v>0</v>
      </c>
      <c r="C88" s="4">
        <f ca="1">'Total Trip Tables Sup #2'!C88</f>
        <v>0</v>
      </c>
      <c r="D88" s="4">
        <f ca="1">'Total Trip Tables Sup #2'!D88</f>
        <v>0</v>
      </c>
      <c r="E88" s="4">
        <f ca="1">'Total Trip Tables Sup #2'!E88</f>
        <v>0</v>
      </c>
      <c r="F88" s="4">
        <f ca="1">'Total Trip Tables Sup #2'!F88</f>
        <v>0</v>
      </c>
      <c r="G88" s="4">
        <f ca="1">'Total Trip Tables Sup #2'!G88</f>
        <v>0</v>
      </c>
      <c r="H88" s="4">
        <f ca="1">'Total Trip Tables Sup #2'!H88</f>
        <v>0</v>
      </c>
      <c r="I88" s="1">
        <f ca="1">'Total Trip Tables Sup #2'!I88</f>
        <v>0</v>
      </c>
      <c r="J88" s="1">
        <f ca="1">'Total Trip Tables Sup #2'!J88</f>
        <v>0</v>
      </c>
      <c r="K88" s="1">
        <f ca="1">'Total Trip Tables Sup #2'!K88</f>
        <v>0</v>
      </c>
    </row>
    <row r="89" spans="1:11" x14ac:dyDescent="0.25">
      <c r="A89" t="str">
        <f ca="1">OFFSET(Manawatu_Reference,42,2)</f>
        <v>Local Bus</v>
      </c>
      <c r="B89" s="4">
        <f ca="1">'Total Trip Tables Sup #2'!B89</f>
        <v>5.2110099151</v>
      </c>
      <c r="C89" s="4">
        <f ca="1">'Total Trip Tables Sup #2'!C89</f>
        <v>5.0028240224953873</v>
      </c>
      <c r="D89" s="4">
        <f ca="1">'Total Trip Tables Sup #2'!D89</f>
        <v>4.7938256836270465</v>
      </c>
      <c r="E89" s="4">
        <f ca="1">'Total Trip Tables Sup #2'!E89</f>
        <v>4.6637739537666665</v>
      </c>
      <c r="F89" s="4">
        <f ca="1">'Total Trip Tables Sup #2'!F89</f>
        <v>4.4796833587175033</v>
      </c>
      <c r="G89" s="4">
        <f ca="1">'Total Trip Tables Sup #2'!G89</f>
        <v>4.3243154965677917</v>
      </c>
      <c r="H89" s="4">
        <f ca="1">'Total Trip Tables Sup #2'!H89</f>
        <v>4.1512460064901768</v>
      </c>
      <c r="I89" s="1">
        <f ca="1">'Total Trip Tables Sup #2'!I89</f>
        <v>4.1224721428346491</v>
      </c>
      <c r="J89" s="1">
        <f ca="1">'Total Trip Tables Sup #2'!J89</f>
        <v>4.0808907931254694</v>
      </c>
      <c r="K89" s="1">
        <f ca="1">'Total Trip Tables Sup #2'!K89</f>
        <v>4.0310705625886518</v>
      </c>
    </row>
    <row r="90" spans="1:11" x14ac:dyDescent="0.25">
      <c r="A90" t="str">
        <f ca="1">OFFSET(Manawatu_Reference,49,2)</f>
        <v>Local Ferry</v>
      </c>
      <c r="B90" s="4">
        <f ca="1">'Total Trip Tables Sup #2'!B90</f>
        <v>0.1068619116</v>
      </c>
      <c r="C90" s="4">
        <f ca="1">'Total Trip Tables Sup #2'!C90</f>
        <v>0.11453902535150884</v>
      </c>
      <c r="D90" s="4">
        <f ca="1">'Total Trip Tables Sup #2'!D90</f>
        <v>0.11881351422212748</v>
      </c>
      <c r="E90" s="4">
        <f ca="1">'Total Trip Tables Sup #2'!E90</f>
        <v>0.1198150889266871</v>
      </c>
      <c r="F90" s="4">
        <f ca="1">'Total Trip Tables Sup #2'!F90</f>
        <v>0.1188710813126717</v>
      </c>
      <c r="G90" s="4">
        <f ca="1">'Total Trip Tables Sup #2'!G90</f>
        <v>0.12006094884445996</v>
      </c>
      <c r="H90" s="4">
        <f ca="1">'Total Trip Tables Sup #2'!H90</f>
        <v>0.12000869124274796</v>
      </c>
      <c r="I90" s="1">
        <f ca="1">'Total Trip Tables Sup #2'!I90</f>
        <v>0.11716801658337482</v>
      </c>
      <c r="J90" s="1">
        <f ca="1">'Total Trip Tables Sup #2'!J90</f>
        <v>0.11405553900389739</v>
      </c>
      <c r="K90" s="1">
        <f ca="1">'Total Trip Tables Sup #2'!K90</f>
        <v>0.11081161615046334</v>
      </c>
    </row>
    <row r="91" spans="1:11" x14ac:dyDescent="0.25">
      <c r="A91" t="str">
        <f ca="1">OFFSET(Manawatu_Reference,56,2)</f>
        <v>Other Household Travel</v>
      </c>
      <c r="B91" s="4">
        <f ca="1">'Total Trip Tables Sup #2'!B91</f>
        <v>0.24513607779999999</v>
      </c>
      <c r="C91" s="4">
        <f ca="1">'Total Trip Tables Sup #2'!C91</f>
        <v>0.25470038295698183</v>
      </c>
      <c r="D91" s="4">
        <f ca="1">'Total Trip Tables Sup #2'!D91</f>
        <v>0.26171496342590583</v>
      </c>
      <c r="E91" s="4">
        <f ca="1">'Total Trip Tables Sup #2'!E91</f>
        <v>0.26630823235531687</v>
      </c>
      <c r="F91" s="4">
        <f ca="1">'Total Trip Tables Sup #2'!F91</f>
        <v>0.26847015111649769</v>
      </c>
      <c r="G91" s="4">
        <f ca="1">'Total Trip Tables Sup #2'!G91</f>
        <v>0.26830188133245719</v>
      </c>
      <c r="H91" s="4">
        <f ca="1">'Total Trip Tables Sup #2'!H91</f>
        <v>0.26433900381333059</v>
      </c>
      <c r="I91" s="1">
        <f ca="1">'Total Trip Tables Sup #2'!I91</f>
        <v>0.26313526271365711</v>
      </c>
      <c r="J91" s="1">
        <f ca="1">'Total Trip Tables Sup #2'!J91</f>
        <v>0.26111007184357288</v>
      </c>
      <c r="K91" s="1">
        <f ca="1">'Total Trip Tables Sup #2'!K91</f>
        <v>0.25855010747298107</v>
      </c>
    </row>
    <row r="92" spans="1:11" x14ac:dyDescent="0.25">
      <c r="A92" t="str">
        <f ca="1">OFFSET(Wellington_Reference,0,0)</f>
        <v>09 WELLINGTON</v>
      </c>
      <c r="B92" s="4">
        <f ca="1">SUM(B93:B102)</f>
        <v>793.10387762659991</v>
      </c>
      <c r="C92" s="4">
        <f t="shared" ref="C92" ca="1" si="44">SUM(C93:C102)</f>
        <v>833.49613417964281</v>
      </c>
      <c r="D92" s="4">
        <f t="shared" ref="D92" ca="1" si="45">SUM(D93:D102)</f>
        <v>859.81871866002211</v>
      </c>
      <c r="E92" s="4">
        <f t="shared" ref="E92" ca="1" si="46">SUM(E93:E102)</f>
        <v>880.6089967787276</v>
      </c>
      <c r="F92" s="4">
        <f t="shared" ref="F92" ca="1" si="47">SUM(F93:F102)</f>
        <v>896.14887623774064</v>
      </c>
      <c r="G92" s="4">
        <f t="shared" ref="G92" ca="1" si="48">SUM(G93:G102)</f>
        <v>904.19846357683525</v>
      </c>
      <c r="H92" s="4">
        <f t="shared" ref="H92:K92" ca="1" si="49">SUM(H93:H102)</f>
        <v>907.59915475629055</v>
      </c>
      <c r="I92" s="1">
        <f t="shared" ca="1" si="49"/>
        <v>914.53041685183678</v>
      </c>
      <c r="J92" s="1">
        <f t="shared" ca="1" si="49"/>
        <v>918.63322866932617</v>
      </c>
      <c r="K92" s="1">
        <f t="shared" ca="1" si="49"/>
        <v>920.82138858754263</v>
      </c>
    </row>
    <row r="93" spans="1:11" x14ac:dyDescent="0.25">
      <c r="A93" t="str">
        <f ca="1">OFFSET(Wellington_Reference,0,2)</f>
        <v>Pedestrian</v>
      </c>
      <c r="B93" s="4">
        <f ca="1">'Total Trip Tables Sup #2'!B93</f>
        <v>182.29561206</v>
      </c>
      <c r="C93" s="4">
        <f ca="1">'Total Trip Tables Sup #2'!C93+'Total Trip Tables Sup #2'!C95*'Other Assumptions'!G77*'Other Assumptions'!G84+'Total Trip Tables Sup #2'!C96*'Other Assumptions'!G77*'Other Assumptions'!G84</f>
        <v>190.11052264537355</v>
      </c>
      <c r="D93" s="4">
        <f ca="1">'Total Trip Tables Sup #2'!D93+'Total Trip Tables Sup #2'!D95*'Other Assumptions'!H77*'Other Assumptions'!H84+'Total Trip Tables Sup #2'!D96*'Other Assumptions'!H77*'Other Assumptions'!H84</f>
        <v>207.68634903140611</v>
      </c>
      <c r="E93" s="4">
        <f ca="1">'Total Trip Tables Sup #2'!E93+'Total Trip Tables Sup #2'!E95*'Other Assumptions'!I77*'Other Assumptions'!I84+'Total Trip Tables Sup #2'!E96*'Other Assumptions'!I77*'Other Assumptions'!I84</f>
        <v>220.25128978778349</v>
      </c>
      <c r="F93" s="4">
        <f ca="1">'Total Trip Tables Sup #2'!F93+'Total Trip Tables Sup #2'!F95*'Other Assumptions'!J77*'Other Assumptions'!J84+'Total Trip Tables Sup #2'!F96*'Other Assumptions'!J77*'Other Assumptions'!J84</f>
        <v>230.76861660136041</v>
      </c>
      <c r="G93" s="4">
        <f ca="1">'Total Trip Tables Sup #2'!G93+'Total Trip Tables Sup #2'!G95*'Other Assumptions'!K77*'Other Assumptions'!K84+'Total Trip Tables Sup #2'!G96*'Other Assumptions'!K77*'Other Assumptions'!K84</f>
        <v>239.69219329562804</v>
      </c>
      <c r="H93" s="4">
        <f ca="1">'Total Trip Tables Sup #2'!H93+'Total Trip Tables Sup #2'!H95*'Other Assumptions'!L77*'Other Assumptions'!L84+'Total Trip Tables Sup #2'!H96*'Other Assumptions'!L77*'Other Assumptions'!L84</f>
        <v>247.24548255639885</v>
      </c>
      <c r="I93" s="1">
        <f ca="1">'Total Trip Tables Sup #2'!I93+'Total Trip Tables Sup #2'!I95*'Other Assumptions'!M77*'Other Assumptions'!M84+'Total Trip Tables Sup #2'!I96*'Other Assumptions'!M77*'Other Assumptions'!M84</f>
        <v>248.867896330549</v>
      </c>
      <c r="J93" s="1">
        <f ca="1">'Total Trip Tables Sup #2'!J93+'Total Trip Tables Sup #2'!J95*'Other Assumptions'!N77*'Other Assumptions'!N84+'Total Trip Tables Sup #2'!J96*'Other Assumptions'!N77*'Other Assumptions'!N84</f>
        <v>249.62137811972735</v>
      </c>
      <c r="K93" s="1">
        <f ca="1">'Total Trip Tables Sup #2'!K93+'Total Trip Tables Sup #2'!K95*'Other Assumptions'!O77*'Other Assumptions'!O84+'Total Trip Tables Sup #2'!K96*'Other Assumptions'!O77*'Other Assumptions'!O84</f>
        <v>249.74753296454941</v>
      </c>
    </row>
    <row r="94" spans="1:11" x14ac:dyDescent="0.25">
      <c r="A94" t="str">
        <f ca="1">OFFSET(Wellington_Reference,7,2)</f>
        <v>Cyclist</v>
      </c>
      <c r="B94" s="4">
        <f ca="1">'Total Trip Tables Sup #2'!B94</f>
        <v>8.1327913301999999</v>
      </c>
      <c r="C94" s="4">
        <f ca="1">'Total Trip Tables Sup #2'!C94+'Total Trip Tables Sup #2'!C95*'Other Assumptions'!G77*'Other Assumptions'!G83+'Total Trip Tables Sup #2'!C96*'Other Assumptions'!G77*'Other Assumptions'!G83</f>
        <v>8.4628443523403014</v>
      </c>
      <c r="D94" s="4">
        <f ca="1">'Total Trip Tables Sup #2'!D94+'Total Trip Tables Sup #2'!D95*'Other Assumptions'!H77*'Other Assumptions'!H83+'Total Trip Tables Sup #2'!D96*'Other Assumptions'!H77*'Other Assumptions'!H83</f>
        <v>13.900088193126004</v>
      </c>
      <c r="E94" s="4">
        <f ca="1">'Total Trip Tables Sup #2'!E94+'Total Trip Tables Sup #2'!E95*'Other Assumptions'!I77*'Other Assumptions'!I83+'Total Trip Tables Sup #2'!E96*'Other Assumptions'!I77*'Other Assumptions'!I83</f>
        <v>17.435949469689287</v>
      </c>
      <c r="F94" s="4">
        <f ca="1">'Total Trip Tables Sup #2'!F94+'Total Trip Tables Sup #2'!F95*'Other Assumptions'!J77*'Other Assumptions'!J83+'Total Trip Tables Sup #2'!F96*'Other Assumptions'!J77*'Other Assumptions'!J83</f>
        <v>20.836502766599896</v>
      </c>
      <c r="G94" s="4">
        <f ca="1">'Total Trip Tables Sup #2'!G94+'Total Trip Tables Sup #2'!G95*'Other Assumptions'!K77*'Other Assumptions'!K83+'Total Trip Tables Sup #2'!G96*'Other Assumptions'!K77*'Other Assumptions'!K83</f>
        <v>24.0187377995167</v>
      </c>
      <c r="H94" s="4">
        <f ca="1">'Total Trip Tables Sup #2'!H94+'Total Trip Tables Sup #2'!H95*'Other Assumptions'!L77*'Other Assumptions'!L83+'Total Trip Tables Sup #2'!H96*'Other Assumptions'!L77*'Other Assumptions'!L83</f>
        <v>27.073008117110948</v>
      </c>
      <c r="I94" s="1">
        <f ca="1">'Total Trip Tables Sup #2'!I94+'Total Trip Tables Sup #2'!I95*'Other Assumptions'!M77*'Other Assumptions'!M83+'Total Trip Tables Sup #2'!I96*'Other Assumptions'!M77*'Other Assumptions'!M83</f>
        <v>27.38030578370239</v>
      </c>
      <c r="J94" s="1">
        <f ca="1">'Total Trip Tables Sup #2'!J94+'Total Trip Tables Sup #2'!J95*'Other Assumptions'!N77*'Other Assumptions'!N83+'Total Trip Tables Sup #2'!J96*'Other Assumptions'!N77*'Other Assumptions'!N83</f>
        <v>27.553040092706446</v>
      </c>
      <c r="K94" s="1">
        <f ca="1">'Total Trip Tables Sup #2'!K94+'Total Trip Tables Sup #2'!K95*'Other Assumptions'!O77*'Other Assumptions'!O83+'Total Trip Tables Sup #2'!K96*'Other Assumptions'!O77*'Other Assumptions'!O83</f>
        <v>27.610863906993977</v>
      </c>
    </row>
    <row r="95" spans="1:11" x14ac:dyDescent="0.25">
      <c r="A95" t="str">
        <f ca="1">OFFSET(Wellington_Reference,14,2)</f>
        <v>Light Vehicle Driver</v>
      </c>
      <c r="B95" s="4">
        <f ca="1">'Total Trip Tables Sup #2'!B95</f>
        <v>377.93589692</v>
      </c>
      <c r="C95" s="4">
        <f ca="1">'Total Trip Tables Sup #2'!C95*(1-'Other Assumptions'!G14)*(1-'Other Assumptions'!G77)</f>
        <v>404.20995175072181</v>
      </c>
      <c r="D95" s="4">
        <f ca="1">'Total Trip Tables Sup #2'!D95*(1-'Other Assumptions'!H14)*(1-'Other Assumptions'!H77)</f>
        <v>344.6430091368573</v>
      </c>
      <c r="E95" s="4">
        <f ca="1">'Total Trip Tables Sup #2'!E95*(1-'Other Assumptions'!I14)*(1-'Other Assumptions'!I77)</f>
        <v>309.2014753283961</v>
      </c>
      <c r="F95" s="4">
        <f ca="1">'Total Trip Tables Sup #2'!F95*(1-'Other Assumptions'!J14)*(1-'Other Assumptions'!J77)</f>
        <v>274.84008979756936</v>
      </c>
      <c r="G95" s="4">
        <f ca="1">'Total Trip Tables Sup #2'!G95*(1-'Other Assumptions'!K14)*(1-'Other Assumptions'!K77)</f>
        <v>240.86899970207523</v>
      </c>
      <c r="H95" s="4">
        <f ca="1">'Total Trip Tables Sup #2'!H95*(1-'Other Assumptions'!L14)*(1-'Other Assumptions'!L77)</f>
        <v>206.39176270402683</v>
      </c>
      <c r="I95" s="1">
        <f ca="1">'Total Trip Tables Sup #2'!I95*(1-'Other Assumptions'!M14)*(1-'Other Assumptions'!M77)</f>
        <v>173.30367097667815</v>
      </c>
      <c r="J95" s="1">
        <f ca="1">'Total Trip Tables Sup #2'!J95*(1-'Other Assumptions'!N14)*(1-'Other Assumptions'!N77)</f>
        <v>139.98844463814939</v>
      </c>
      <c r="K95" s="1">
        <f ca="1">'Total Trip Tables Sup #2'!K95*(1-'Other Assumptions'!O14)*(1-'Other Assumptions'!O77)</f>
        <v>141.87854043060904</v>
      </c>
    </row>
    <row r="96" spans="1:11" x14ac:dyDescent="0.25">
      <c r="A96" t="str">
        <f ca="1">OFFSET(Wellington_Reference,21,2)</f>
        <v>Light Vehicle Passenger</v>
      </c>
      <c r="B96" s="4">
        <f ca="1">'Total Trip Tables Sup #2'!B96</f>
        <v>183.55442563000003</v>
      </c>
      <c r="C96" s="4">
        <f ca="1">'Total Trip Tables Sup #2'!C96*(1-'Other Assumptions'!G14)*(1-'Other Assumptions'!G77+'Other Assumptions'!G77*'Other Assumptions'!G80)+'Total Trip Tables Sup #2'!C95*(1-'Other Assumptions'!G14)*'Other Assumptions'!G77*'Other Assumptions'!G80</f>
        <v>187.00548724075162</v>
      </c>
      <c r="D96" s="4">
        <f ca="1">'Total Trip Tables Sup #2'!D96*(1-'Other Assumptions'!H14)*(1-'Other Assumptions'!H77+'Other Assumptions'!H77*'Other Assumptions'!H80)+'Total Trip Tables Sup #2'!D95*(1-'Other Assumptions'!H14)*'Other Assumptions'!H77*'Other Assumptions'!H80</f>
        <v>196.64181375567861</v>
      </c>
      <c r="E96" s="4">
        <f ca="1">'Total Trip Tables Sup #2'!E96*(1-'Other Assumptions'!I14)*(1-'Other Assumptions'!I77+'Other Assumptions'!I77*'Other Assumptions'!I80)+'Total Trip Tables Sup #2'!E95*(1-'Other Assumptions'!I14)*'Other Assumptions'!I77*'Other Assumptions'!I80</f>
        <v>175.00183464399413</v>
      </c>
      <c r="F96" s="4">
        <f ca="1">'Total Trip Tables Sup #2'!F96*(1-'Other Assumptions'!J14)*(1-'Other Assumptions'!J77+'Other Assumptions'!J77*'Other Assumptions'!J80)+'Total Trip Tables Sup #2'!F95*(1-'Other Assumptions'!J14)*'Other Assumptions'!J77*'Other Assumptions'!J80</f>
        <v>153.37093319198223</v>
      </c>
      <c r="G96" s="4">
        <f ca="1">'Total Trip Tables Sup #2'!G96*(1-'Other Assumptions'!K14)*(1-'Other Assumptions'!K77+'Other Assumptions'!K77*'Other Assumptions'!K80)+'Total Trip Tables Sup #2'!G95*(1-'Other Assumptions'!K14)*'Other Assumptions'!K77*'Other Assumptions'!K80</f>
        <v>130.6212845746638</v>
      </c>
      <c r="H96" s="4">
        <f ca="1">'Total Trip Tables Sup #2'!H96*(1-'Other Assumptions'!L14)*(1-'Other Assumptions'!L77+'Other Assumptions'!L77*'Other Assumptions'!L80)+'Total Trip Tables Sup #2'!H95*(1-'Other Assumptions'!L14)*'Other Assumptions'!L77*'Other Assumptions'!L80</f>
        <v>108.12692388748584</v>
      </c>
      <c r="I96" s="1">
        <f ca="1">'Total Trip Tables Sup #2'!I96*(1-'Other Assumptions'!M14)*(1-'Other Assumptions'!M77+'Other Assumptions'!M77*'Other Assumptions'!M80)+'Total Trip Tables Sup #2'!I95*(1-'Other Assumptions'!M14)*'Other Assumptions'!M77*'Other Assumptions'!M80</f>
        <v>90.40372508370595</v>
      </c>
      <c r="J96" s="1">
        <f ca="1">'Total Trip Tables Sup #2'!J96*(1-'Other Assumptions'!N14)*(1-'Other Assumptions'!N77+'Other Assumptions'!N77*'Other Assumptions'!N80)+'Total Trip Tables Sup #2'!J95*(1-'Other Assumptions'!N14)*'Other Assumptions'!N77*'Other Assumptions'!N80</f>
        <v>72.113924665669686</v>
      </c>
      <c r="K96" s="1">
        <f ca="1">'Total Trip Tables Sup #2'!K96*(1-'Other Assumptions'!O14)*(1-'Other Assumptions'!O77+'Other Assumptions'!O77*'Other Assumptions'!O80)+'Total Trip Tables Sup #2'!K95*(1-'Other Assumptions'!O14)*'Other Assumptions'!O77*'Other Assumptions'!O80</f>
        <v>71.509097483461744</v>
      </c>
    </row>
    <row r="97" spans="1:16" x14ac:dyDescent="0.25">
      <c r="A97" t="str">
        <f ca="1">OFFSET(Wellington_Reference,28,2)</f>
        <v>Taxi/Vehicle Share</v>
      </c>
      <c r="B97" s="4">
        <f ca="1">'Total Trip Tables Sup #2'!B97</f>
        <v>2.3579512121000001</v>
      </c>
      <c r="C97" s="4">
        <f ca="1">'Total Trip Tables Sup #2'!C97+((C95+C96)*'Other Assumptions'!G14/(1-'Other Assumptions'!G14))</f>
        <v>2.6373700565288236</v>
      </c>
      <c r="D97" s="4">
        <f ca="1">'Total Trip Tables Sup #2'!D97+((D95+D96)*'Other Assumptions'!H14/(1-'Other Assumptions'!H14))</f>
        <v>2.8277640783462465</v>
      </c>
      <c r="E97" s="4">
        <f ca="1">'Total Trip Tables Sup #2'!E97+((E95+E96)*'Other Assumptions'!I14/(1-'Other Assumptions'!I14))</f>
        <v>56.765321405441227</v>
      </c>
      <c r="F97" s="4">
        <f ca="1">'Total Trip Tables Sup #2'!F97+((F95+F96)*'Other Assumptions'!J14/(1-'Other Assumptions'!J14))</f>
        <v>110.12206139730796</v>
      </c>
      <c r="G97" s="4">
        <f ca="1">'Total Trip Tables Sup #2'!G97+((G95+G96)*'Other Assumptions'!K14/(1-'Other Assumptions'!K14))</f>
        <v>162.33622614461473</v>
      </c>
      <c r="H97" s="4">
        <f ca="1">'Total Trip Tables Sup #2'!H97+((H95+H96)*'Other Assumptions'!L14/(1-'Other Assumptions'!L14))</f>
        <v>212.8503759836891</v>
      </c>
      <c r="I97" s="1">
        <f ca="1">'Total Trip Tables Sup #2'!I97+((I95+I96)*'Other Assumptions'!M14/(1-'Other Assumptions'!M14))</f>
        <v>266.8963146319756</v>
      </c>
      <c r="J97" s="1">
        <f ca="1">'Total Trip Tables Sup #2'!J97+((J95+J96)*'Other Assumptions'!N14/(1-'Other Assumptions'!N14))</f>
        <v>321.34991775247119</v>
      </c>
      <c r="K97" s="1">
        <f ca="1">'Total Trip Tables Sup #2'!K97+((K95+K96)*'Other Assumptions'!O14/(1-'Other Assumptions'!O14))</f>
        <v>323.27829061697577</v>
      </c>
      <c r="L97" s="4"/>
      <c r="M97" s="4"/>
      <c r="N97" s="4"/>
      <c r="O97" s="4"/>
      <c r="P97" s="4"/>
    </row>
    <row r="98" spans="1:16" x14ac:dyDescent="0.25">
      <c r="A98" t="str">
        <f ca="1">OFFSET(Wellington_Reference,35,2)</f>
        <v>Motorcyclist</v>
      </c>
      <c r="B98" s="4">
        <f ca="1">'Total Trip Tables Sup #2'!B98</f>
        <v>2.4968267649999998</v>
      </c>
      <c r="C98" s="4">
        <f ca="1">'Total Trip Tables Sup #2'!C98</f>
        <v>2.6192879010490495</v>
      </c>
      <c r="D98" s="4">
        <f ca="1">'Total Trip Tables Sup #2'!D98</f>
        <v>2.6587293068393216</v>
      </c>
      <c r="E98" s="4">
        <f ca="1">'Total Trip Tables Sup #2'!E98</f>
        <v>2.6844917221349278</v>
      </c>
      <c r="F98" s="4">
        <f ca="1">'Total Trip Tables Sup #2'!F98</f>
        <v>2.6943123737849879</v>
      </c>
      <c r="G98" s="4">
        <f ca="1">'Total Trip Tables Sup #2'!G98</f>
        <v>2.6555916874366798</v>
      </c>
      <c r="H98" s="4">
        <f ca="1">'Total Trip Tables Sup #2'!H98</f>
        <v>2.5992554386525262</v>
      </c>
      <c r="I98" s="1">
        <f ca="1">'Total Trip Tables Sup #2'!I98</f>
        <v>2.6317461392852928</v>
      </c>
      <c r="J98" s="1">
        <f ca="1">'Total Trip Tables Sup #2'!J98</f>
        <v>2.6562093316621729</v>
      </c>
      <c r="K98" s="1">
        <f ca="1">'Total Trip Tables Sup #2'!K98</f>
        <v>2.6751781907198087</v>
      </c>
    </row>
    <row r="99" spans="1:16" x14ac:dyDescent="0.25">
      <c r="A99" t="str">
        <f ca="1">OFFSET(Wellington_Reference,42,2)</f>
        <v>Local Train</v>
      </c>
      <c r="B99" s="4">
        <f ca="1">'Total Trip Tables Sup #2'!B99</f>
        <v>12.37</v>
      </c>
      <c r="C99" s="4">
        <f ca="1">'Total Trip Tables Sup #2'!C99+'Total Trip Tables Sup #2'!C95*'Other Assumptions'!G77*'Other Assumptions'!G82+'Total Trip Tables Sup #2'!C96*'Other Assumptions'!G77*'Other Assumptions'!G82</f>
        <v>13.423661034059892</v>
      </c>
      <c r="D99" s="4">
        <f ca="1">'Total Trip Tables Sup #2'!D99+'Total Trip Tables Sup #2'!D95*'Other Assumptions'!H77*'Other Assumptions'!H82+'Total Trip Tables Sup #2'!D96*'Other Assumptions'!H77*'Other Assumptions'!H82</f>
        <v>24.614748760402684</v>
      </c>
      <c r="E99" s="4">
        <f ca="1">'Total Trip Tables Sup #2'!E99+'Total Trip Tables Sup #2'!E95*'Other Assumptions'!I77*'Other Assumptions'!I82+'Total Trip Tables Sup #2'!E96*'Other Assumptions'!I77*'Other Assumptions'!I82</f>
        <v>26.716928756565444</v>
      </c>
      <c r="F99" s="4">
        <f ca="1">'Total Trip Tables Sup #2'!F99+'Total Trip Tables Sup #2'!F95*'Other Assumptions'!J77*'Other Assumptions'!J82+'Total Trip Tables Sup #2'!F96*'Other Assumptions'!J77*'Other Assumptions'!J82</f>
        <v>28.09644037778703</v>
      </c>
      <c r="G99" s="4">
        <f ca="1">'Total Trip Tables Sup #2'!G99+'Total Trip Tables Sup #2'!G95*'Other Assumptions'!K77*'Other Assumptions'!K82+'Total Trip Tables Sup #2'!G96*'Other Assumptions'!K77*'Other Assumptions'!K82</f>
        <v>28.71461184463891</v>
      </c>
      <c r="H99" s="4">
        <f ca="1">'Total Trip Tables Sup #2'!H99+'Total Trip Tables Sup #2'!H95*'Other Assumptions'!L77*'Other Assumptions'!L82+'Total Trip Tables Sup #2'!H96*'Other Assumptions'!L77*'Other Assumptions'!L82</f>
        <v>29.067527073787957</v>
      </c>
      <c r="I99" s="1">
        <f ca="1">'Total Trip Tables Sup #2'!I99+'Total Trip Tables Sup #2'!I95*'Other Assumptions'!M77*'Other Assumptions'!M82+'Total Trip Tables Sup #2'!I96*'Other Assumptions'!M77*'Other Assumptions'!M82</f>
        <v>30.067304897752607</v>
      </c>
      <c r="J99" s="1">
        <f ca="1">'Total Trip Tables Sup #2'!J99+'Total Trip Tables Sup #2'!J95*'Other Assumptions'!N77*'Other Assumptions'!N82+'Total Trip Tables Sup #2'!J96*'Other Assumptions'!N77*'Other Assumptions'!N82</f>
        <v>30.818213625256305</v>
      </c>
      <c r="K99" s="1">
        <f ca="1">'Total Trip Tables Sup #2'!K99+'Total Trip Tables Sup #2'!K95*'Other Assumptions'!O77*'Other Assumptions'!O82+'Total Trip Tables Sup #2'!K96*'Other Assumptions'!O77*'Other Assumptions'!O82</f>
        <v>31.30721871315372</v>
      </c>
    </row>
    <row r="100" spans="1:16" x14ac:dyDescent="0.25">
      <c r="A100" t="str">
        <f ca="1">OFFSET(Wellington_Reference,49,2)</f>
        <v>Local Bus</v>
      </c>
      <c r="B100" s="4">
        <f ca="1">'Total Trip Tables Sup #2'!B100</f>
        <v>23.4</v>
      </c>
      <c r="C100" s="4">
        <f ca="1">'Total Trip Tables Sup #2'!C100+'Total Trip Tables Sup #2'!C95*'Other Assumptions'!G77*'Other Assumptions'!G81+'Total Trip Tables Sup #2'!C96*'Other Assumptions'!G77*'Other Assumptions'!G81</f>
        <v>24.426956303383029</v>
      </c>
      <c r="D100" s="4">
        <f ca="1">'Total Trip Tables Sup #2'!D100+'Total Trip Tables Sup #2'!D95*'Other Assumptions'!H77*'Other Assumptions'!H81+'Total Trip Tables Sup #2'!D96*'Other Assumptions'!H77*'Other Assumptions'!H81</f>
        <v>66.217164425542805</v>
      </c>
      <c r="E100" s="4">
        <f ca="1">'Total Trip Tables Sup #2'!E100+'Total Trip Tables Sup #2'!E95*'Other Assumptions'!I77*'Other Assumptions'!I81+'Total Trip Tables Sup #2'!E96*'Other Assumptions'!I77*'Other Assumptions'!I81</f>
        <v>71.905242588763073</v>
      </c>
      <c r="F100" s="4">
        <f ca="1">'Total Trip Tables Sup #2'!F100+'Total Trip Tables Sup #2'!F95*'Other Assumptions'!J77*'Other Assumptions'!J81+'Total Trip Tables Sup #2'!F96*'Other Assumptions'!J77*'Other Assumptions'!J81</f>
        <v>74.762901047480767</v>
      </c>
      <c r="G100" s="4">
        <f ca="1">'Total Trip Tables Sup #2'!G100+'Total Trip Tables Sup #2'!G95*'Other Assumptions'!K77*'Other Assumptions'!K81+'Total Trip Tables Sup #2'!G96*'Other Assumptions'!K77*'Other Assumptions'!K81</f>
        <v>74.62139482800572</v>
      </c>
      <c r="H100" s="4">
        <f ca="1">'Total Trip Tables Sup #2'!H100+'Total Trip Tables Sup #2'!H95*'Other Assumptions'!L77*'Other Assumptions'!L81+'Total Trip Tables Sup #2'!H96*'Other Assumptions'!L77*'Other Assumptions'!L81</f>
        <v>73.571415289263939</v>
      </c>
      <c r="I100" s="1">
        <f ca="1">'Total Trip Tables Sup #2'!I100+'Total Trip Tables Sup #2'!I95*'Other Assumptions'!M77*'Other Assumptions'!M81+'Total Trip Tables Sup #2'!I96*'Other Assumptions'!M77*'Other Assumptions'!M81</f>
        <v>74.304480039688144</v>
      </c>
      <c r="J100" s="1">
        <f ca="1">'Total Trip Tables Sup #2'!J100+'Total Trip Tables Sup #2'!J95*'Other Assumptions'!N77*'Other Assumptions'!N81+'Total Trip Tables Sup #2'!J96*'Other Assumptions'!N77*'Other Assumptions'!N81</f>
        <v>73.857576310221518</v>
      </c>
      <c r="K100" s="1">
        <f ca="1">'Total Trip Tables Sup #2'!K100+'Total Trip Tables Sup #2'!K95*'Other Assumptions'!O77*'Other Assumptions'!O81+'Total Trip Tables Sup #2'!K96*'Other Assumptions'!O77*'Other Assumptions'!O81</f>
        <v>72.1419101625319</v>
      </c>
    </row>
    <row r="101" spans="1:16" x14ac:dyDescent="0.25">
      <c r="A101" t="str">
        <f ca="1">OFFSET(Wellington_Reference,56,2)</f>
        <v>Local Ferry</v>
      </c>
      <c r="B101" s="4">
        <f ca="1">'Total Trip Tables Sup #2'!B101</f>
        <v>0.22615005399999999</v>
      </c>
      <c r="C101" s="4">
        <f ca="1">'Total Trip Tables Sup #2'!C101</f>
        <v>0.24666895694488175</v>
      </c>
      <c r="D101" s="4">
        <f ca="1">'Total Trip Tables Sup #2'!D101</f>
        <v>0.26003346397613103</v>
      </c>
      <c r="E101" s="4">
        <f ca="1">'Total Trip Tables Sup #2'!E101</f>
        <v>0.26582036343678589</v>
      </c>
      <c r="F101" s="4">
        <f ca="1">'Total Trip Tables Sup #2'!F101</f>
        <v>0.26761997238516866</v>
      </c>
      <c r="G101" s="4">
        <f ca="1">'Total Trip Tables Sup #2'!G101</f>
        <v>0.27438542376792602</v>
      </c>
      <c r="H101" s="4">
        <f ca="1">'Total Trip Tables Sup #2'!H101</f>
        <v>0.27837262435531579</v>
      </c>
      <c r="I101" s="1">
        <f ca="1">'Total Trip Tables Sup #2'!I101</f>
        <v>0.27585284119349107</v>
      </c>
      <c r="J101" s="1">
        <f ca="1">'Total Trip Tables Sup #2'!J101</f>
        <v>0.27254569300393255</v>
      </c>
      <c r="K101" s="1">
        <f ca="1">'Total Trip Tables Sup #2'!K101</f>
        <v>0.26875885983195086</v>
      </c>
    </row>
    <row r="102" spans="1:16" x14ac:dyDescent="0.25">
      <c r="A102" t="str">
        <f ca="1">OFFSET(Wellington_Reference,63,2)</f>
        <v>Other Household Travel</v>
      </c>
      <c r="B102" s="4">
        <f ca="1">'Total Trip Tables Sup #2'!B102</f>
        <v>0.33422365529999998</v>
      </c>
      <c r="C102" s="4">
        <f ca="1">'Total Trip Tables Sup #2'!C102</f>
        <v>0.35338393848983418</v>
      </c>
      <c r="D102" s="4">
        <f ca="1">'Total Trip Tables Sup #2'!D102</f>
        <v>0.36901850784695162</v>
      </c>
      <c r="E102" s="4">
        <f ca="1">'Total Trip Tables Sup #2'!E102</f>
        <v>0.38064271252315357</v>
      </c>
      <c r="F102" s="4">
        <f ca="1">'Total Trip Tables Sup #2'!F102</f>
        <v>0.38939871148276933</v>
      </c>
      <c r="G102" s="4">
        <f ca="1">'Total Trip Tables Sup #2'!G102</f>
        <v>0.395038276487507</v>
      </c>
      <c r="H102" s="4">
        <f ca="1">'Total Trip Tables Sup #2'!H102</f>
        <v>0.39503108151919497</v>
      </c>
      <c r="I102" s="1">
        <f ca="1">'Total Trip Tables Sup #2'!I102</f>
        <v>0.39912012730625301</v>
      </c>
      <c r="J102" s="1">
        <f ca="1">'Total Trip Tables Sup #2'!J102</f>
        <v>0.40197844045822301</v>
      </c>
      <c r="K102" s="1">
        <f ca="1">'Total Trip Tables Sup #2'!K102</f>
        <v>0.40399725871530967</v>
      </c>
    </row>
    <row r="103" spans="1:16" x14ac:dyDescent="0.25">
      <c r="A103" t="str">
        <f ca="1">OFFSET(Nelson_Reference,0,0)</f>
        <v>10 NELS-MARLB-TAS</v>
      </c>
      <c r="B103" s="4">
        <f ca="1">SUM(B104:B113)</f>
        <v>187.1494005328</v>
      </c>
      <c r="C103" s="4">
        <f t="shared" ref="C103" ca="1" si="50">SUM(C104:C113)</f>
        <v>194.86274921119011</v>
      </c>
      <c r="D103" s="4">
        <f t="shared" ref="D103" ca="1" si="51">SUM(D104:D113)</f>
        <v>200.19679388922361</v>
      </c>
      <c r="E103" s="4">
        <f t="shared" ref="E103" ca="1" si="52">SUM(E104:E113)</f>
        <v>204.48268218925696</v>
      </c>
      <c r="F103" s="4">
        <f t="shared" ref="F103" ca="1" si="53">SUM(F104:F113)</f>
        <v>207.34657525650658</v>
      </c>
      <c r="G103" s="4">
        <f t="shared" ref="G103" ca="1" si="54">SUM(G104:G113)</f>
        <v>208.10443436378384</v>
      </c>
      <c r="H103" s="4">
        <f t="shared" ref="H103:K103" ca="1" si="55">SUM(H104:H113)</f>
        <v>207.41533267762827</v>
      </c>
      <c r="I103" s="1">
        <f t="shared" ca="1" si="55"/>
        <v>207.24968838311071</v>
      </c>
      <c r="J103" s="1">
        <f t="shared" ca="1" si="55"/>
        <v>206.43637990242937</v>
      </c>
      <c r="K103" s="1">
        <f t="shared" ca="1" si="55"/>
        <v>205.19560475482669</v>
      </c>
    </row>
    <row r="104" spans="1:16" x14ac:dyDescent="0.25">
      <c r="A104" t="str">
        <f ca="1">OFFSET(Nelson_Reference,0,2)</f>
        <v>Pedestrian</v>
      </c>
      <c r="B104" s="4">
        <f ca="1">'Total Trip Tables Sup #2'!B104</f>
        <v>34.609993433</v>
      </c>
      <c r="C104" s="4">
        <f ca="1">'Total Trip Tables Sup #2'!C104</f>
        <v>35.755432891648447</v>
      </c>
      <c r="D104" s="4">
        <f ca="1">'Total Trip Tables Sup #2'!D104</f>
        <v>38.40682636520922</v>
      </c>
      <c r="E104" s="4">
        <f ca="1">'Total Trip Tables Sup #2'!E104</f>
        <v>40.574880740566691</v>
      </c>
      <c r="F104" s="4">
        <f ca="1">'Total Trip Tables Sup #2'!F104</f>
        <v>42.291129849490275</v>
      </c>
      <c r="G104" s="4">
        <f ca="1">'Total Trip Tables Sup #2'!G104</f>
        <v>43.677766558714175</v>
      </c>
      <c r="H104" s="4">
        <f ca="1">'Total Trip Tables Sup #2'!H104</f>
        <v>44.731421612472808</v>
      </c>
      <c r="I104" s="1">
        <f ca="1">'Total Trip Tables Sup #2'!I104</f>
        <v>44.673059815949912</v>
      </c>
      <c r="J104" s="1">
        <f ca="1">'Total Trip Tables Sup #2'!J104</f>
        <v>44.475410729702531</v>
      </c>
      <c r="K104" s="1">
        <f ca="1">'Total Trip Tables Sup #2'!K104</f>
        <v>44.186081913418313</v>
      </c>
    </row>
    <row r="105" spans="1:16" x14ac:dyDescent="0.25">
      <c r="A105" t="str">
        <f ca="1">OFFSET(Nelson_Reference,7,2)</f>
        <v>Cyclist</v>
      </c>
      <c r="B105" s="4">
        <f ca="1">'Total Trip Tables Sup #2'!B105</f>
        <v>2.9519642961999999</v>
      </c>
      <c r="C105" s="4">
        <f ca="1">'Total Trip Tables Sup #2'!C105</f>
        <v>3.0426455559036527</v>
      </c>
      <c r="D105" s="4">
        <f ca="1">'Total Trip Tables Sup #2'!D105</f>
        <v>4.279785292571173</v>
      </c>
      <c r="E105" s="4">
        <f ca="1">'Total Trip Tables Sup #2'!E105</f>
        <v>5.4489069130147589</v>
      </c>
      <c r="F105" s="4">
        <f ca="1">'Total Trip Tables Sup #2'!F105</f>
        <v>6.5788860085905876</v>
      </c>
      <c r="G105" s="4">
        <f ca="1">'Total Trip Tables Sup #2'!G105</f>
        <v>7.6623436305084907</v>
      </c>
      <c r="H105" s="4">
        <f ca="1">'Total Trip Tables Sup #2'!H105</f>
        <v>8.6876015226455507</v>
      </c>
      <c r="I105" s="1">
        <f ca="1">'Total Trip Tables Sup #2'!I105</f>
        <v>8.7257363333427946</v>
      </c>
      <c r="J105" s="1">
        <f ca="1">'Total Trip Tables Sup #2'!J105</f>
        <v>8.7374337355820373</v>
      </c>
      <c r="K105" s="1">
        <f ca="1">'Total Trip Tables Sup #2'!K105</f>
        <v>8.7316242342703276</v>
      </c>
    </row>
    <row r="106" spans="1:16" x14ac:dyDescent="0.25">
      <c r="A106" t="str">
        <f ca="1">OFFSET(Nelson_Reference,14,2)</f>
        <v>Light Vehicle Driver</v>
      </c>
      <c r="B106" s="4">
        <f ca="1">'Total Trip Tables Sup #2'!B106</f>
        <v>98.206986838999995</v>
      </c>
      <c r="C106" s="4">
        <f ca="1">'Total Trip Tables Sup #2'!C106*(1-'Other Assumptions'!G15)</f>
        <v>104.09964095975037</v>
      </c>
      <c r="D106" s="4">
        <f ca="1">'Total Trip Tables Sup #2'!D106*(1-'Other Assumptions'!H15)</f>
        <v>106.32231606025431</v>
      </c>
      <c r="E106" s="4">
        <f ca="1">'Total Trip Tables Sup #2'!E106*(1-'Other Assumptions'!I15)</f>
        <v>97.423305103292833</v>
      </c>
      <c r="F106" s="4">
        <f ca="1">'Total Trip Tables Sup #2'!F106*(1-'Other Assumptions'!J15)</f>
        <v>87.574822775472143</v>
      </c>
      <c r="G106" s="4">
        <f ca="1">'Total Trip Tables Sup #2'!G106*(1-'Other Assumptions'!K15)</f>
        <v>76.522788828710787</v>
      </c>
      <c r="H106" s="4">
        <f ca="1">'Total Trip Tables Sup #2'!H106*(1-'Other Assumptions'!L15)</f>
        <v>65.055039261537203</v>
      </c>
      <c r="I106" s="1">
        <f ca="1">'Total Trip Tables Sup #2'!I106*(1-'Other Assumptions'!M15)</f>
        <v>54.157756733546663</v>
      </c>
      <c r="J106" s="1">
        <f ca="1">'Total Trip Tables Sup #2'!J106*(1-'Other Assumptions'!N15)</f>
        <v>43.146731620329746</v>
      </c>
      <c r="K106" s="1">
        <f ca="1">'Total Trip Tables Sup #2'!K106*(1-'Other Assumptions'!O15)</f>
        <v>42.877714535057962</v>
      </c>
    </row>
    <row r="107" spans="1:16" x14ac:dyDescent="0.25">
      <c r="A107" t="str">
        <f ca="1">OFFSET(Nelson_Reference,21,2)</f>
        <v>Light Vehicle Passenger</v>
      </c>
      <c r="B107" s="4">
        <f ca="1">'Total Trip Tables Sup #2'!B107</f>
        <v>45.895773311000006</v>
      </c>
      <c r="C107" s="4">
        <f ca="1">'Total Trip Tables Sup #2'!C107*(1-'Other Assumptions'!G15)</f>
        <v>46.374102827888116</v>
      </c>
      <c r="D107" s="4">
        <f ca="1">'Total Trip Tables Sup #2'!D107*(1-'Other Assumptions'!H15)</f>
        <v>45.543032430198842</v>
      </c>
      <c r="E107" s="4">
        <f ca="1">'Total Trip Tables Sup #2'!E107*(1-'Other Assumptions'!I15)</f>
        <v>40.070642273596413</v>
      </c>
      <c r="F107" s="4">
        <f ca="1">'Total Trip Tables Sup #2'!F107*(1-'Other Assumptions'!J15)</f>
        <v>34.66869623201034</v>
      </c>
      <c r="G107" s="4">
        <f ca="1">'Total Trip Tables Sup #2'!G107*(1-'Other Assumptions'!K15)</f>
        <v>29.285488901652741</v>
      </c>
      <c r="H107" s="4">
        <f ca="1">'Total Trip Tables Sup #2'!H107*(1-'Other Assumptions'!L15)</f>
        <v>24.047200880889271</v>
      </c>
      <c r="I107" s="1">
        <f ca="1">'Total Trip Tables Sup #2'!I107*(1-'Other Assumptions'!M15)</f>
        <v>20.017118982711366</v>
      </c>
      <c r="J107" s="1">
        <f ca="1">'Total Trip Tables Sup #2'!J107*(1-'Other Assumptions'!N15)</f>
        <v>15.945670098318093</v>
      </c>
      <c r="K107" s="1">
        <f ca="1">'Total Trip Tables Sup #2'!K107*(1-'Other Assumptions'!O15)</f>
        <v>15.844447801227203</v>
      </c>
    </row>
    <row r="108" spans="1:16" x14ac:dyDescent="0.25">
      <c r="A108" t="str">
        <f ca="1">OFFSET(Nelson_Reference,28,2)</f>
        <v>Taxi/Vehicle Share</v>
      </c>
      <c r="B108" s="4">
        <f ca="1">'Total Trip Tables Sup #2'!B108</f>
        <v>0.40359339709999997</v>
      </c>
      <c r="C108" s="4">
        <f ca="1">'Total Trip Tables Sup #2'!C108+((C106+C107)*'Other Assumptions'!G15/(1-'Other Assumptions'!G15))</f>
        <v>0.44714033468360348</v>
      </c>
      <c r="D108" s="4">
        <f ca="1">'Total Trip Tables Sup #2'!D108+((D106+D107)*'Other Assumptions'!H15/(1-'Other Assumptions'!H15))</f>
        <v>0.47784358956662221</v>
      </c>
      <c r="E108" s="4">
        <f ca="1">'Total Trip Tables Sup #2'!E108+((E106+E107)*'Other Assumptions'!I15/(1-'Other Assumptions'!I15))</f>
        <v>15.776376849010964</v>
      </c>
      <c r="F108" s="4">
        <f ca="1">'Total Trip Tables Sup #2'!F108+((F106+F107)*'Other Assumptions'!J15/(1-'Other Assumptions'!J15))</f>
        <v>31.075080233217719</v>
      </c>
      <c r="G108" s="4">
        <f ca="1">'Total Trip Tables Sup #2'!G108+((G106+G107)*'Other Assumptions'!K15/(1-'Other Assumptions'!K15))</f>
        <v>45.866737212782688</v>
      </c>
      <c r="H108" s="4">
        <f ca="1">'Total Trip Tables Sup #2'!H108+((H106+H107)*'Other Assumptions'!L15/(1-'Other Assumptions'!L15))</f>
        <v>59.925049664798607</v>
      </c>
      <c r="I108" s="1">
        <f ca="1">'Total Trip Tables Sup #2'!I108+((I106+I107)*'Other Assumptions'!M15/(1-'Other Assumptions'!M15))</f>
        <v>74.697093580964392</v>
      </c>
      <c r="J108" s="1">
        <f ca="1">'Total Trip Tables Sup #2'!J108+((J106+J107)*'Other Assumptions'!N15/(1-'Other Assumptions'!N15))</f>
        <v>89.157833629816253</v>
      </c>
      <c r="K108" s="1">
        <f ca="1">'Total Trip Tables Sup #2'!K108+((K106+K107)*'Other Assumptions'!O15/(1-'Other Assumptions'!O15))</f>
        <v>88.598402383542478</v>
      </c>
    </row>
    <row r="109" spans="1:16" x14ac:dyDescent="0.25">
      <c r="A109" t="str">
        <f ca="1">OFFSET(Nelson_Reference,35,2)</f>
        <v>Motorcyclist</v>
      </c>
      <c r="B109" s="4">
        <f ca="1">'Total Trip Tables Sup #2'!B109</f>
        <v>1.5095151791999999</v>
      </c>
      <c r="C109" s="4">
        <f ca="1">'Total Trip Tables Sup #2'!C109</f>
        <v>1.5685409060660096</v>
      </c>
      <c r="D109" s="4">
        <f ca="1">'Total Trip Tables Sup #2'!D109</f>
        <v>1.5869255393464434</v>
      </c>
      <c r="E109" s="4">
        <f ca="1">'Total Trip Tables Sup #2'!E109</f>
        <v>1.5966908955934564</v>
      </c>
      <c r="F109" s="4">
        <f ca="1">'Total Trip Tables Sup #2'!F109</f>
        <v>1.5943369874468867</v>
      </c>
      <c r="G109" s="4">
        <f ca="1">'Total Trip Tables Sup #2'!G109</f>
        <v>1.5612721029072001</v>
      </c>
      <c r="H109" s="4">
        <f ca="1">'Total Trip Tables Sup #2'!H109</f>
        <v>1.5157285693827354</v>
      </c>
      <c r="I109" s="1">
        <f ca="1">'Total Trip Tables Sup #2'!I109</f>
        <v>1.522271530416172</v>
      </c>
      <c r="J109" s="1">
        <f ca="1">'Total Trip Tables Sup #2'!J109</f>
        <v>1.5240758724426162</v>
      </c>
      <c r="K109" s="1">
        <f ca="1">'Total Trip Tables Sup #2'!K109</f>
        <v>1.5226976927021949</v>
      </c>
    </row>
    <row r="110" spans="1:16" x14ac:dyDescent="0.25">
      <c r="A110" t="str">
        <f ca="1">OFFSET(Nelson_Reference,42,2)</f>
        <v>Local Train</v>
      </c>
      <c r="B110" s="4">
        <f ca="1">'Total Trip Tables Sup #2'!B110</f>
        <v>0</v>
      </c>
      <c r="C110" s="4">
        <f ca="1">'Total Trip Tables Sup #2'!C110</f>
        <v>0</v>
      </c>
      <c r="D110" s="4">
        <f ca="1">'Total Trip Tables Sup #2'!D110</f>
        <v>0</v>
      </c>
      <c r="E110" s="4">
        <f ca="1">'Total Trip Tables Sup #2'!E110</f>
        <v>0</v>
      </c>
      <c r="F110" s="4">
        <f ca="1">'Total Trip Tables Sup #2'!F110</f>
        <v>0</v>
      </c>
      <c r="G110" s="4">
        <f ca="1">'Total Trip Tables Sup #2'!G110</f>
        <v>0</v>
      </c>
      <c r="H110" s="4">
        <f ca="1">'Total Trip Tables Sup #2'!H110</f>
        <v>0</v>
      </c>
      <c r="I110" s="1">
        <f ca="1">'Total Trip Tables Sup #2'!I110</f>
        <v>0</v>
      </c>
      <c r="J110" s="1">
        <f ca="1">'Total Trip Tables Sup #2'!J110</f>
        <v>0</v>
      </c>
      <c r="K110" s="1">
        <f ca="1">'Total Trip Tables Sup #2'!K110</f>
        <v>0</v>
      </c>
    </row>
    <row r="111" spans="1:16" x14ac:dyDescent="0.25">
      <c r="A111" t="str">
        <f ca="1">OFFSET(Nelson_Reference,49,2)</f>
        <v>Local Bus</v>
      </c>
      <c r="B111" s="4">
        <f ca="1">'Total Trip Tables Sup #2'!B111</f>
        <v>2.0764681202999999</v>
      </c>
      <c r="C111" s="4">
        <f ca="1">'Total Trip Tables Sup #2'!C111</f>
        <v>2.0094138484447233</v>
      </c>
      <c r="D111" s="4">
        <f ca="1">'Total Trip Tables Sup #2'!D111</f>
        <v>1.9503322517722583</v>
      </c>
      <c r="E111" s="4">
        <f ca="1">'Total Trip Tables Sup #2'!E111</f>
        <v>1.9166973547305988</v>
      </c>
      <c r="F111" s="4">
        <f ca="1">'Total Trip Tables Sup #2'!F111</f>
        <v>1.8586702156097494</v>
      </c>
      <c r="G111" s="4">
        <f ca="1">'Total Trip Tables Sup #2'!G111</f>
        <v>1.8095661948245714</v>
      </c>
      <c r="H111" s="4">
        <f ca="1">'Total Trip Tables Sup #2'!H111</f>
        <v>1.7488207926168031</v>
      </c>
      <c r="I111" s="1">
        <f ca="1">'Total Trip Tables Sup #2'!I111</f>
        <v>1.7484562970312785</v>
      </c>
      <c r="J111" s="1">
        <f ca="1">'Total Trip Tables Sup #2'!J111</f>
        <v>1.7426201952944833</v>
      </c>
      <c r="K111" s="1">
        <f ca="1">'Total Trip Tables Sup #2'!K111</f>
        <v>1.7331630193378516</v>
      </c>
    </row>
    <row r="112" spans="1:16" x14ac:dyDescent="0.25">
      <c r="A112" t="str">
        <f ca="1">OFFSET(Wellington_Reference,56,2)</f>
        <v>Local Ferry</v>
      </c>
      <c r="B112" s="4">
        <f ca="1">'Total Trip Tables Sup #2'!B112</f>
        <v>0</v>
      </c>
      <c r="C112" s="4">
        <f ca="1">'Total Trip Tables Sup #2'!C112</f>
        <v>0</v>
      </c>
      <c r="D112" s="4">
        <f ca="1">'Total Trip Tables Sup #2'!D112</f>
        <v>0</v>
      </c>
      <c r="E112" s="4">
        <f ca="1">'Total Trip Tables Sup #2'!E112</f>
        <v>0</v>
      </c>
      <c r="F112" s="4">
        <f ca="1">'Total Trip Tables Sup #2'!F112</f>
        <v>0</v>
      </c>
      <c r="G112" s="4">
        <f ca="1">'Total Trip Tables Sup #2'!G112</f>
        <v>0</v>
      </c>
      <c r="H112" s="4">
        <f ca="1">'Total Trip Tables Sup #2'!H112</f>
        <v>0</v>
      </c>
      <c r="I112" s="1">
        <f ca="1">'Total Trip Tables Sup #2'!I112</f>
        <v>0</v>
      </c>
      <c r="J112" s="1">
        <f ca="1">'Total Trip Tables Sup #2'!J112</f>
        <v>0</v>
      </c>
      <c r="K112" s="1">
        <f ca="1">'Total Trip Tables Sup #2'!K112</f>
        <v>0</v>
      </c>
    </row>
    <row r="113" spans="1:11" x14ac:dyDescent="0.25">
      <c r="A113" t="str">
        <f ca="1">OFFSET(Nelson_Reference,56,2)</f>
        <v>Other Household Travel</v>
      </c>
      <c r="B113" s="4">
        <f ca="1">'Total Trip Tables Sup #2'!B113</f>
        <v>1.495105957</v>
      </c>
      <c r="C113" s="4">
        <f ca="1">'Total Trip Tables Sup #2'!C113</f>
        <v>1.5658318868051664</v>
      </c>
      <c r="D113" s="4">
        <f ca="1">'Total Trip Tables Sup #2'!D113</f>
        <v>1.6297323603047333</v>
      </c>
      <c r="E113" s="4">
        <f ca="1">'Total Trip Tables Sup #2'!E113</f>
        <v>1.6751820594512545</v>
      </c>
      <c r="F113" s="4">
        <f ca="1">'Total Trip Tables Sup #2'!F113</f>
        <v>1.7049529546689111</v>
      </c>
      <c r="G113" s="4">
        <f ca="1">'Total Trip Tables Sup #2'!G113</f>
        <v>1.7184709336831885</v>
      </c>
      <c r="H113" s="4">
        <f ca="1">'Total Trip Tables Sup #2'!H113</f>
        <v>1.7044703732852573</v>
      </c>
      <c r="I113" s="1">
        <f ca="1">'Total Trip Tables Sup #2'!I113</f>
        <v>1.7081951091481424</v>
      </c>
      <c r="J113" s="1">
        <f ca="1">'Total Trip Tables Sup #2'!J113</f>
        <v>1.7066040209436235</v>
      </c>
      <c r="K113" s="1">
        <f ca="1">'Total Trip Tables Sup #2'!K113</f>
        <v>1.701473175270372</v>
      </c>
    </row>
    <row r="114" spans="1:11" x14ac:dyDescent="0.25">
      <c r="A114" t="str">
        <f ca="1">OFFSET(West_Coast_Reference,0,0)</f>
        <v>12 WEST COAST</v>
      </c>
      <c r="B114" s="4">
        <f ca="1">SUM(B115:B124)</f>
        <v>39.320985915800001</v>
      </c>
      <c r="C114" s="4">
        <f t="shared" ref="C114" ca="1" si="56">SUM(C115:C124)</f>
        <v>38.447244702043434</v>
      </c>
      <c r="D114" s="4">
        <f t="shared" ref="D114" ca="1" si="57">SUM(D115:D124)</f>
        <v>38.301549906462533</v>
      </c>
      <c r="E114" s="4">
        <f t="shared" ref="E114" ca="1" si="58">SUM(E115:E124)</f>
        <v>38.016128980388508</v>
      </c>
      <c r="F114" s="4">
        <f t="shared" ref="F114" ca="1" si="59">SUM(F115:F124)</f>
        <v>37.486907003054661</v>
      </c>
      <c r="G114" s="4">
        <f t="shared" ref="G114" ca="1" si="60">SUM(G115:G124)</f>
        <v>36.604624701313547</v>
      </c>
      <c r="H114" s="4">
        <f t="shared" ref="H114:K114" ca="1" si="61">SUM(H115:H124)</f>
        <v>35.591339981991062</v>
      </c>
      <c r="I114" s="1">
        <f t="shared" ca="1" si="61"/>
        <v>34.700566649509</v>
      </c>
      <c r="J114" s="1">
        <f t="shared" ca="1" si="61"/>
        <v>33.7246390285773</v>
      </c>
      <c r="K114" s="1">
        <f t="shared" ca="1" si="61"/>
        <v>32.705946750576018</v>
      </c>
    </row>
    <row r="115" spans="1:11" x14ac:dyDescent="0.25">
      <c r="A115" t="str">
        <f ca="1">OFFSET(West_Coast_Reference,0,2)</f>
        <v>Pedestrian</v>
      </c>
      <c r="B115" s="4">
        <f ca="1">'Total Trip Tables Sup #2'!B115</f>
        <v>5.2699511529</v>
      </c>
      <c r="C115" s="4">
        <f ca="1">'Total Trip Tables Sup #2'!C115</f>
        <v>5.1137381642584669</v>
      </c>
      <c r="D115" s="4">
        <f ca="1">'Total Trip Tables Sup #2'!D115</f>
        <v>5.3320141918653414</v>
      </c>
      <c r="E115" s="4">
        <f ca="1">'Total Trip Tables Sup #2'!E115</f>
        <v>5.4771022831078113</v>
      </c>
      <c r="F115" s="4">
        <f ca="1">'Total Trip Tables Sup #2'!F115</f>
        <v>5.5531880867255525</v>
      </c>
      <c r="G115" s="4">
        <f ca="1">'Total Trip Tables Sup #2'!G115</f>
        <v>5.5818686544588108</v>
      </c>
      <c r="H115" s="4">
        <f ca="1">'Total Trip Tables Sup #2'!H115</f>
        <v>5.5782629274478142</v>
      </c>
      <c r="I115" s="1">
        <f ca="1">'Total Trip Tables Sup #2'!I115</f>
        <v>5.4359892570704149</v>
      </c>
      <c r="J115" s="1">
        <f ca="1">'Total Trip Tables Sup #2'!J115</f>
        <v>5.2805476277561247</v>
      </c>
      <c r="K115" s="1">
        <f ca="1">'Total Trip Tables Sup #2'!K115</f>
        <v>5.1185867824665765</v>
      </c>
    </row>
    <row r="116" spans="1:11" x14ac:dyDescent="0.25">
      <c r="A116" t="str">
        <f ca="1">OFFSET(West_Coast_Reference,7,2)</f>
        <v>Cyclist</v>
      </c>
      <c r="B116" s="4">
        <f ca="1">'Total Trip Tables Sup #2'!B116</f>
        <v>0.73381292249999996</v>
      </c>
      <c r="C116" s="4">
        <f ca="1">'Total Trip Tables Sup #2'!C116</f>
        <v>0.71042296595655852</v>
      </c>
      <c r="D116" s="4">
        <f ca="1">'Total Trip Tables Sup #2'!D116</f>
        <v>0.97000514716749531</v>
      </c>
      <c r="E116" s="4">
        <f ca="1">'Total Trip Tables Sup #2'!E116</f>
        <v>1.2008041221997192</v>
      </c>
      <c r="F116" s="4">
        <f ca="1">'Total Trip Tables Sup #2'!F116</f>
        <v>1.4103101743722009</v>
      </c>
      <c r="G116" s="4">
        <f ca="1">'Total Trip Tables Sup #2'!G116</f>
        <v>1.5986375031555977</v>
      </c>
      <c r="H116" s="4">
        <f ca="1">'Total Trip Tables Sup #2'!H116</f>
        <v>1.7687048012963111</v>
      </c>
      <c r="I116" s="1">
        <f ca="1">'Total Trip Tables Sup #2'!I116</f>
        <v>1.7334214157307697</v>
      </c>
      <c r="J116" s="1">
        <f ca="1">'Total Trip Tables Sup #2'!J116</f>
        <v>1.6936047920506092</v>
      </c>
      <c r="K116" s="1">
        <f ca="1">'Total Trip Tables Sup #2'!K116</f>
        <v>1.6513107085785073</v>
      </c>
    </row>
    <row r="117" spans="1:11" x14ac:dyDescent="0.25">
      <c r="A117" t="str">
        <f ca="1">OFFSET(West_Coast_Reference,14,2)</f>
        <v>Light Vehicle Driver</v>
      </c>
      <c r="B117" s="4">
        <f ca="1">'Total Trip Tables Sup #2'!B117</f>
        <v>21.329902885999999</v>
      </c>
      <c r="C117" s="4">
        <f ca="1">'Total Trip Tables Sup #2'!C117*(1-'Other Assumptions'!G16)</f>
        <v>21.236703199468497</v>
      </c>
      <c r="D117" s="4">
        <f ca="1">'Total Trip Tables Sup #2'!D117*(1-'Other Assumptions'!H16)</f>
        <v>21.078107468771183</v>
      </c>
      <c r="E117" s="4">
        <f ca="1">'Total Trip Tables Sup #2'!E117*(1-'Other Assumptions'!I16)</f>
        <v>18.799627022782758</v>
      </c>
      <c r="F117" s="4">
        <f ca="1">'Total Trip Tables Sup #2'!F117*(1-'Other Assumptions'!J16)</f>
        <v>16.45545305671655</v>
      </c>
      <c r="G117" s="4">
        <f ca="1">'Total Trip Tables Sup #2'!G117*(1-'Other Assumptions'!K16)</f>
        <v>14.008143504612217</v>
      </c>
      <c r="H117" s="4">
        <f ca="1">'Total Trip Tables Sup #2'!H117*(1-'Other Assumptions'!L16)</f>
        <v>11.632005783024031</v>
      </c>
      <c r="I117" s="1">
        <f ca="1">'Total Trip Tables Sup #2'!I117*(1-'Other Assumptions'!M16)</f>
        <v>9.4487754911710873</v>
      </c>
      <c r="J117" s="1">
        <f ca="1">'Total Trip Tables Sup #2'!J117*(1-'Other Assumptions'!N16)</f>
        <v>7.3448577062649862</v>
      </c>
      <c r="K117" s="1">
        <f ca="1">'Total Trip Tables Sup #2'!K117*(1-'Other Assumptions'!O16)</f>
        <v>7.1214287127550211</v>
      </c>
    </row>
    <row r="118" spans="1:11" x14ac:dyDescent="0.25">
      <c r="A118" t="str">
        <f ca="1">OFFSET(West_Coast_Reference,21,2)</f>
        <v>Light Vehicle Passenger</v>
      </c>
      <c r="B118" s="4">
        <f ca="1">'Total Trip Tables Sup #2'!B118</f>
        <v>11.090105215000001</v>
      </c>
      <c r="C118" s="4">
        <f ca="1">'Total Trip Tables Sup #2'!C118*(1-'Other Assumptions'!G16)</f>
        <v>10.525188180313018</v>
      </c>
      <c r="D118" s="4">
        <f ca="1">'Total Trip Tables Sup #2'!D118*(1-'Other Assumptions'!H16)</f>
        <v>10.076086325966191</v>
      </c>
      <c r="E118" s="4">
        <f ca="1">'Total Trip Tables Sup #2'!E118*(1-'Other Assumptions'!I16)</f>
        <v>8.6579052020564067</v>
      </c>
      <c r="F118" s="4">
        <f ca="1">'Total Trip Tables Sup #2'!F118*(1-'Other Assumptions'!J16)</f>
        <v>7.3193163664018801</v>
      </c>
      <c r="G118" s="4">
        <f ca="1">'Total Trip Tables Sup #2'!G118*(1-'Other Assumptions'!K16)</f>
        <v>6.0453773149342069</v>
      </c>
      <c r="H118" s="4">
        <f ca="1">'Total Trip Tables Sup #2'!H118*(1-'Other Assumptions'!L16)</f>
        <v>4.8673124871925539</v>
      </c>
      <c r="I118" s="1">
        <f ca="1">'Total Trip Tables Sup #2'!I118*(1-'Other Assumptions'!M16)</f>
        <v>3.9533791294762635</v>
      </c>
      <c r="J118" s="1">
        <f ca="1">'Total Trip Tables Sup #2'!J118*(1-'Other Assumptions'!N16)</f>
        <v>3.0727801984133798</v>
      </c>
      <c r="K118" s="1">
        <f ca="1">'Total Trip Tables Sup #2'!K118*(1-'Other Assumptions'!O16)</f>
        <v>2.978977735952709</v>
      </c>
    </row>
    <row r="119" spans="1:11" x14ac:dyDescent="0.25">
      <c r="A119" t="str">
        <f ca="1">OFFSET(West_Coast_Reference,28,2)</f>
        <v>Taxi/Vehicle Share</v>
      </c>
      <c r="B119" s="4">
        <f ca="1">'Total Trip Tables Sup #2'!B119</f>
        <v>0.29973375209999997</v>
      </c>
      <c r="C119" s="4">
        <f ca="1">'Total Trip Tables Sup #2'!C119+((C117+C118)*'Other Assumptions'!G16/(1-'Other Assumptions'!G16))</f>
        <v>0.31190821939054675</v>
      </c>
      <c r="D119" s="4">
        <f ca="1">'Total Trip Tables Sup #2'!D119+((D117+D118)*'Other Assumptions'!H16/(1-'Other Assumptions'!H16))</f>
        <v>0.3235602511164285</v>
      </c>
      <c r="E119" s="4">
        <f ca="1">'Total Trip Tables Sup #2'!E119+((E117+E118)*'Other Assumptions'!I16/(1-'Other Assumptions'!I16))</f>
        <v>3.3795499850230994</v>
      </c>
      <c r="F119" s="4">
        <f ca="1">'Total Trip Tables Sup #2'!F119+((F117+F118)*'Other Assumptions'!J16/(1-'Other Assumptions'!J16))</f>
        <v>6.2730078003646312</v>
      </c>
      <c r="G119" s="4">
        <f ca="1">'Total Trip Tables Sup #2'!G119+((G117+G118)*'Other Assumptions'!K16/(1-'Other Assumptions'!K16))</f>
        <v>8.9186957084178538</v>
      </c>
      <c r="H119" s="4">
        <f ca="1">'Total Trip Tables Sup #2'!H119+((H117+H118)*'Other Assumptions'!L16/(1-'Other Assumptions'!L16))</f>
        <v>11.317991765649518</v>
      </c>
      <c r="I119" s="1">
        <f ca="1">'Total Trip Tables Sup #2'!I119+((I117+I118)*'Other Assumptions'!M16/(1-'Other Assumptions'!M16))</f>
        <v>13.712089989598651</v>
      </c>
      <c r="J119" s="1">
        <f ca="1">'Total Trip Tables Sup #2'!J119+((J117+J118)*'Other Assumptions'!N16/(1-'Other Assumptions'!N16))</f>
        <v>15.927137990308811</v>
      </c>
      <c r="K119" s="1">
        <f ca="1">'Total Trip Tables Sup #2'!K119+((K117+K118)*'Other Assumptions'!O16/(1-'Other Assumptions'!O16))</f>
        <v>15.441676218940176</v>
      </c>
    </row>
    <row r="120" spans="1:11" x14ac:dyDescent="0.25">
      <c r="A120" t="str">
        <f ca="1">OFFSET(West_Coast_Reference,35,2)</f>
        <v>Motorcyclist</v>
      </c>
      <c r="B120" s="4">
        <f ca="1">'Total Trip Tables Sup #2'!B120</f>
        <v>6.1723256599999998E-2</v>
      </c>
      <c r="C120" s="4">
        <f ca="1">'Total Trip Tables Sup #2'!C120</f>
        <v>6.0241887488842641E-2</v>
      </c>
      <c r="D120" s="4">
        <f ca="1">'Total Trip Tables Sup #2'!D120</f>
        <v>5.9162388473717589E-2</v>
      </c>
      <c r="E120" s="4">
        <f ca="1">'Total Trip Tables Sup #2'!E120</f>
        <v>5.787896052256665E-2</v>
      </c>
      <c r="F120" s="4">
        <f ca="1">'Total Trip Tables Sup #2'!F120</f>
        <v>5.6218530772986428E-2</v>
      </c>
      <c r="G120" s="4">
        <f ca="1">'Total Trip Tables Sup #2'!G120</f>
        <v>5.3580167193290215E-2</v>
      </c>
      <c r="H120" s="4">
        <f ca="1">'Total Trip Tables Sup #2'!H120</f>
        <v>5.0759109097845846E-2</v>
      </c>
      <c r="I120" s="1">
        <f ca="1">'Total Trip Tables Sup #2'!I120</f>
        <v>4.9742921625505386E-2</v>
      </c>
      <c r="J120" s="1">
        <f ca="1">'Total Trip Tables Sup #2'!J120</f>
        <v>4.8592792664767522E-2</v>
      </c>
      <c r="K120" s="1">
        <f ca="1">'Total Trip Tables Sup #2'!K120</f>
        <v>4.7367944778757519E-2</v>
      </c>
    </row>
    <row r="121" spans="1:11" x14ac:dyDescent="0.25">
      <c r="A121" t="str">
        <f ca="1">OFFSET(Nelson_Reference,42,2)</f>
        <v>Local Train</v>
      </c>
      <c r="B121" s="4">
        <f ca="1">'Total Trip Tables Sup #2'!B121</f>
        <v>0</v>
      </c>
      <c r="C121" s="4">
        <f ca="1">'Total Trip Tables Sup #2'!C121</f>
        <v>0</v>
      </c>
      <c r="D121" s="4">
        <f ca="1">'Total Trip Tables Sup #2'!D121</f>
        <v>0</v>
      </c>
      <c r="E121" s="4">
        <f ca="1">'Total Trip Tables Sup #2'!E121</f>
        <v>0</v>
      </c>
      <c r="F121" s="4">
        <f ca="1">'Total Trip Tables Sup #2'!F121</f>
        <v>0</v>
      </c>
      <c r="G121" s="4">
        <f ca="1">'Total Trip Tables Sup #2'!G121</f>
        <v>0</v>
      </c>
      <c r="H121" s="4">
        <f ca="1">'Total Trip Tables Sup #2'!H121</f>
        <v>0</v>
      </c>
      <c r="I121" s="1">
        <f ca="1">'Total Trip Tables Sup #2'!I121</f>
        <v>0</v>
      </c>
      <c r="J121" s="1">
        <f ca="1">'Total Trip Tables Sup #2'!J121</f>
        <v>0</v>
      </c>
      <c r="K121" s="1">
        <f ca="1">'Total Trip Tables Sup #2'!K121</f>
        <v>0</v>
      </c>
    </row>
    <row r="122" spans="1:11" x14ac:dyDescent="0.25">
      <c r="A122" t="str">
        <f ca="1">OFFSET(West_Coast_Reference,42,2)</f>
        <v>Local Bus</v>
      </c>
      <c r="B122" s="4">
        <f ca="1">'Total Trip Tables Sup #2'!B122</f>
        <v>0.50805546800000001</v>
      </c>
      <c r="C122" s="4">
        <f ca="1">'Total Trip Tables Sup #2'!C122</f>
        <v>0.46179223611569808</v>
      </c>
      <c r="D122" s="4">
        <f ca="1">'Total Trip Tables Sup #2'!D122</f>
        <v>0.43508315221865712</v>
      </c>
      <c r="E122" s="4">
        <f ca="1">'Total Trip Tables Sup #2'!E122</f>
        <v>0.41574585878585302</v>
      </c>
      <c r="F122" s="4">
        <f ca="1">'Total Trip Tables Sup #2'!F122</f>
        <v>0.39217167594738439</v>
      </c>
      <c r="G122" s="4">
        <f ca="1">'Total Trip Tables Sup #2'!G122</f>
        <v>0.3715989291194115</v>
      </c>
      <c r="H122" s="4">
        <f ca="1">'Total Trip Tables Sup #2'!H122</f>
        <v>0.35043895545625259</v>
      </c>
      <c r="I122" s="1">
        <f ca="1">'Total Trip Tables Sup #2'!I122</f>
        <v>0.34187587923365703</v>
      </c>
      <c r="J122" s="1">
        <f ca="1">'Total Trip Tables Sup #2'!J122</f>
        <v>0.3324623945462658</v>
      </c>
      <c r="K122" s="1">
        <f ca="1">'Total Trip Tables Sup #2'!K122</f>
        <v>0.32261516678200303</v>
      </c>
    </row>
    <row r="123" spans="1:11" x14ac:dyDescent="0.25">
      <c r="A123" t="str">
        <f ca="1">OFFSET(Wellington_Reference,56,2)</f>
        <v>Local Ferry</v>
      </c>
      <c r="B123" s="4">
        <f ca="1">'Total Trip Tables Sup #2'!B123</f>
        <v>0</v>
      </c>
      <c r="C123" s="4">
        <f ca="1">'Total Trip Tables Sup #2'!C123</f>
        <v>0</v>
      </c>
      <c r="D123" s="4">
        <f ca="1">'Total Trip Tables Sup #2'!D123</f>
        <v>0</v>
      </c>
      <c r="E123" s="4">
        <f ca="1">'Total Trip Tables Sup #2'!E123</f>
        <v>0</v>
      </c>
      <c r="F123" s="4">
        <f ca="1">'Total Trip Tables Sup #2'!F123</f>
        <v>0</v>
      </c>
      <c r="G123" s="4">
        <f ca="1">'Total Trip Tables Sup #2'!G123</f>
        <v>0</v>
      </c>
      <c r="H123" s="4">
        <f ca="1">'Total Trip Tables Sup #2'!H123</f>
        <v>0</v>
      </c>
      <c r="I123" s="1">
        <f ca="1">'Total Trip Tables Sup #2'!I123</f>
        <v>0</v>
      </c>
      <c r="J123" s="1">
        <f ca="1">'Total Trip Tables Sup #2'!J123</f>
        <v>0</v>
      </c>
      <c r="K123" s="1">
        <f ca="1">'Total Trip Tables Sup #2'!K123</f>
        <v>0</v>
      </c>
    </row>
    <row r="124" spans="1:11" x14ac:dyDescent="0.25">
      <c r="A124" t="str">
        <f ca="1">OFFSET(West_Coast_Reference,49,2)</f>
        <v>Other Household Travel</v>
      </c>
      <c r="B124" s="4">
        <f ca="1">'Total Trip Tables Sup #2'!B124</f>
        <v>2.77012627E-2</v>
      </c>
      <c r="C124" s="4">
        <f ca="1">'Total Trip Tables Sup #2'!C124</f>
        <v>2.7249849051803925E-2</v>
      </c>
      <c r="D124" s="4">
        <f ca="1">'Total Trip Tables Sup #2'!D124</f>
        <v>2.7530980883524757E-2</v>
      </c>
      <c r="E124" s="4">
        <f ca="1">'Total Trip Tables Sup #2'!E124</f>
        <v>2.7515545910296087E-2</v>
      </c>
      <c r="F124" s="4">
        <f ca="1">'Total Trip Tables Sup #2'!F124</f>
        <v>2.7241311753474971E-2</v>
      </c>
      <c r="G124" s="4">
        <f ca="1">'Total Trip Tables Sup #2'!G124</f>
        <v>2.6722919422160672E-2</v>
      </c>
      <c r="H124" s="4">
        <f ca="1">'Total Trip Tables Sup #2'!H124</f>
        <v>2.5864152826737732E-2</v>
      </c>
      <c r="I124" s="1">
        <f ca="1">'Total Trip Tables Sup #2'!I124</f>
        <v>2.5292565602647681E-2</v>
      </c>
      <c r="J124" s="1">
        <f ca="1">'Total Trip Tables Sup #2'!J124</f>
        <v>2.465552657235388E-2</v>
      </c>
      <c r="K124" s="1">
        <f ca="1">'Total Trip Tables Sup #2'!K124</f>
        <v>2.3983480322272186E-2</v>
      </c>
    </row>
    <row r="125" spans="1:11" x14ac:dyDescent="0.25">
      <c r="A125" t="str">
        <f ca="1">OFFSET(Canterbury_Reference,0,0)</f>
        <v>13 CANTERBURY</v>
      </c>
      <c r="B125" s="4">
        <f ca="1">SUM(B126:B135)</f>
        <v>787.72987151590007</v>
      </c>
      <c r="C125" s="4">
        <f t="shared" ref="C125" ca="1" si="62">SUM(C126:C135)</f>
        <v>864.99650257441158</v>
      </c>
      <c r="D125" s="4">
        <f t="shared" ref="D125" ca="1" si="63">SUM(D126:D135)</f>
        <v>920.34719942654044</v>
      </c>
      <c r="E125" s="4">
        <f t="shared" ref="E125" ca="1" si="64">SUM(E126:E135)</f>
        <v>962.56546337885152</v>
      </c>
      <c r="F125" s="4">
        <f t="shared" ref="F125" ca="1" si="65">SUM(F126:F135)</f>
        <v>1000.369377856704</v>
      </c>
      <c r="G125" s="4">
        <f t="shared" ref="G125" ca="1" si="66">SUM(G126:G135)</f>
        <v>1030.4423802326673</v>
      </c>
      <c r="H125" s="4">
        <f t="shared" ref="H125:K125" ca="1" si="67">SUM(H126:H135)</f>
        <v>1056.1762285001334</v>
      </c>
      <c r="I125" s="1">
        <f t="shared" ca="1" si="67"/>
        <v>1083.3250790066434</v>
      </c>
      <c r="J125" s="1">
        <f t="shared" ca="1" si="67"/>
        <v>1107.7130056329918</v>
      </c>
      <c r="K125" s="1">
        <f t="shared" ca="1" si="67"/>
        <v>1130.2733038465162</v>
      </c>
    </row>
    <row r="126" spans="1:11" x14ac:dyDescent="0.25">
      <c r="A126" t="str">
        <f ca="1">OFFSET(Canterbury_Reference,0,2)</f>
        <v>Pedestrian</v>
      </c>
      <c r="B126" s="4">
        <f ca="1">'Total Trip Tables Sup #2'!B126</f>
        <v>131.04676542000001</v>
      </c>
      <c r="C126" s="4">
        <f ca="1">'Total Trip Tables Sup #2'!C126+'Total Trip Tables Sup #2'!C128*'Other Assumptions'!G88*'Other Assumptions'!G95+'Total Trip Tables Sup #2'!C129*'Other Assumptions'!G88*'Other Assumptions'!G95</f>
        <v>142.95026946649415</v>
      </c>
      <c r="D126" s="4">
        <f ca="1">'Total Trip Tables Sup #2'!D126+'Total Trip Tables Sup #2'!D128*'Other Assumptions'!H88*'Other Assumptions'!H95+'Total Trip Tables Sup #2'!D129*'Other Assumptions'!H88*'Other Assumptions'!H95</f>
        <v>158.85804526764042</v>
      </c>
      <c r="E126" s="4">
        <f ca="1">'Total Trip Tables Sup #2'!E126+'Total Trip Tables Sup #2'!E128*'Other Assumptions'!I88*'Other Assumptions'!I95+'Total Trip Tables Sup #2'!E129*'Other Assumptions'!I88*'Other Assumptions'!I95</f>
        <v>171.63185705594765</v>
      </c>
      <c r="F126" s="4">
        <f ca="1">'Total Trip Tables Sup #2'!F126+'Total Trip Tables Sup #2'!F128*'Other Assumptions'!J88*'Other Assumptions'!J95+'Total Trip Tables Sup #2'!F129*'Other Assumptions'!J88*'Other Assumptions'!J95</f>
        <v>183.15164043802696</v>
      </c>
      <c r="G126" s="4">
        <f ca="1">'Total Trip Tables Sup #2'!G126+'Total Trip Tables Sup #2'!G128*'Other Assumptions'!K88*'Other Assumptions'!K95+'Total Trip Tables Sup #2'!G129*'Other Assumptions'!K88*'Other Assumptions'!K95</f>
        <v>193.89207651872314</v>
      </c>
      <c r="H126" s="4">
        <f ca="1">'Total Trip Tables Sup #2'!H126+'Total Trip Tables Sup #2'!H128*'Other Assumptions'!L88*'Other Assumptions'!L95+'Total Trip Tables Sup #2'!H129*'Other Assumptions'!L88*'Other Assumptions'!L95</f>
        <v>203.91311528386407</v>
      </c>
      <c r="I126" s="1">
        <f ca="1">'Total Trip Tables Sup #2'!I126+'Total Trip Tables Sup #2'!I128*'Other Assumptions'!M88*'Other Assumptions'!M95+'Total Trip Tables Sup #2'!I129*'Other Assumptions'!M88*'Other Assumptions'!M95</f>
        <v>209.11755816754766</v>
      </c>
      <c r="J126" s="1">
        <f ca="1">'Total Trip Tables Sup #2'!J126+'Total Trip Tables Sup #2'!J128*'Other Assumptions'!N88*'Other Assumptions'!N95+'Total Trip Tables Sup #2'!J129*'Other Assumptions'!N88*'Other Assumptions'!N95</f>
        <v>213.77484667532809</v>
      </c>
      <c r="K126" s="1">
        <f ca="1">'Total Trip Tables Sup #2'!K126+'Total Trip Tables Sup #2'!K128*'Other Assumptions'!O88*'Other Assumptions'!O95+'Total Trip Tables Sup #2'!K129*'Other Assumptions'!O88*'Other Assumptions'!O95</f>
        <v>218.06875326748983</v>
      </c>
    </row>
    <row r="127" spans="1:11" x14ac:dyDescent="0.25">
      <c r="A127" t="str">
        <f ca="1">OFFSET(Canterbury_Reference,7,2)</f>
        <v>Cyclist</v>
      </c>
      <c r="B127" s="4">
        <f ca="1">'Total Trip Tables Sup #2'!B127</f>
        <v>23.740018446000001</v>
      </c>
      <c r="C127" s="4">
        <f ca="1">'Total Trip Tables Sup #2'!C127+'Total Trip Tables Sup #2'!C128*'Other Assumptions'!G88*'Other Assumptions'!G94+'Total Trip Tables Sup #2'!C129*'Other Assumptions'!G88*'Other Assumptions'!G94</f>
        <v>25.836844061408033</v>
      </c>
      <c r="D127" s="4">
        <f ca="1">'Total Trip Tables Sup #2'!D127+'Total Trip Tables Sup #2'!D128*'Other Assumptions'!H88*'Other Assumptions'!H94+'Total Trip Tables Sup #2'!D129*'Other Assumptions'!H88*'Other Assumptions'!H94</f>
        <v>37.598276458543317</v>
      </c>
      <c r="E127" s="4">
        <f ca="1">'Total Trip Tables Sup #2'!E127+'Total Trip Tables Sup #2'!E128*'Other Assumptions'!I88*'Other Assumptions'!I94+'Total Trip Tables Sup #2'!E129*'Other Assumptions'!I88*'Other Assumptions'!I94</f>
        <v>48.954791008806183</v>
      </c>
      <c r="F127" s="4">
        <f ca="1">'Total Trip Tables Sup #2'!F127+'Total Trip Tables Sup #2'!F128*'Other Assumptions'!J88*'Other Assumptions'!J94+'Total Trip Tables Sup #2'!F129*'Other Assumptions'!J88*'Other Assumptions'!J94</f>
        <v>60.514444240599559</v>
      </c>
      <c r="G127" s="4">
        <f ca="1">'Total Trip Tables Sup #2'!G127+'Total Trip Tables Sup #2'!G128*'Other Assumptions'!K88*'Other Assumptions'!K94+'Total Trip Tables Sup #2'!G129*'Other Assumptions'!K88*'Other Assumptions'!K94</f>
        <v>72.244772262276697</v>
      </c>
      <c r="H127" s="4">
        <f ca="1">'Total Trip Tables Sup #2'!H127+'Total Trip Tables Sup #2'!H128*'Other Assumptions'!L88*'Other Assumptions'!L94+'Total Trip Tables Sup #2'!H129*'Other Assumptions'!L88*'Other Assumptions'!L94</f>
        <v>84.115787329330459</v>
      </c>
      <c r="I127" s="1">
        <f ca="1">'Total Trip Tables Sup #2'!I127+'Total Trip Tables Sup #2'!I128*'Other Assumptions'!M88*'Other Assumptions'!M94+'Total Trip Tables Sup #2'!I129*'Other Assumptions'!M88*'Other Assumptions'!M94</f>
        <v>86.754507285442031</v>
      </c>
      <c r="J127" s="1">
        <f ca="1">'Total Trip Tables Sup #2'!J127+'Total Trip Tables Sup #2'!J128*'Other Assumptions'!N88*'Other Assumptions'!N94+'Total Trip Tables Sup #2'!J129*'Other Assumptions'!N88*'Other Assumptions'!N94</f>
        <v>89.200172427603349</v>
      </c>
      <c r="K127" s="1">
        <f ca="1">'Total Trip Tables Sup #2'!K127+'Total Trip Tables Sup #2'!K128*'Other Assumptions'!O88*'Other Assumptions'!O94+'Total Trip Tables Sup #2'!K129*'Other Assumptions'!O88*'Other Assumptions'!O94</f>
        <v>91.526772372544571</v>
      </c>
    </row>
    <row r="128" spans="1:11" x14ac:dyDescent="0.25">
      <c r="A128" t="str">
        <f ca="1">OFFSET(Canterbury_Reference,14,2)</f>
        <v>Light Vehicle Driver</v>
      </c>
      <c r="B128" s="4">
        <f ca="1">'Total Trip Tables Sup #2'!B128</f>
        <v>417.41567177000002</v>
      </c>
      <c r="C128" s="4">
        <f ca="1">'Total Trip Tables Sup #2'!C128*(1-'Other Assumptions'!G17)*(1-'Other Assumptions'!G88)</f>
        <v>467.1902220709303</v>
      </c>
      <c r="D128" s="4">
        <f ca="1">'Total Trip Tables Sup #2'!D128*(1-'Other Assumptions'!H17)*(1-'Other Assumptions'!H88)</f>
        <v>492.66794928261322</v>
      </c>
      <c r="E128" s="4">
        <f ca="1">'Total Trip Tables Sup #2'!E128*(1-'Other Assumptions'!I17)*(1-'Other Assumptions'!I88)</f>
        <v>460.79828262858587</v>
      </c>
      <c r="F128" s="4">
        <f ca="1">'Total Trip Tables Sup #2'!F128*(1-'Other Assumptions'!J17)*(1-'Other Assumptions'!J88)</f>
        <v>423.31011172278204</v>
      </c>
      <c r="G128" s="4">
        <f ca="1">'Total Trip Tables Sup #2'!G128*(1-'Other Assumptions'!K17)*(1-'Other Assumptions'!K88)</f>
        <v>378.45861909704149</v>
      </c>
      <c r="H128" s="4">
        <f ca="1">'Total Trip Tables Sup #2'!H128*(1-'Other Assumptions'!L17)*(1-'Other Assumptions'!L88)</f>
        <v>329.7999115665607</v>
      </c>
      <c r="I128" s="1">
        <f ca="1">'Total Trip Tables Sup #2'!I128*(1-'Other Assumptions'!M17)*(1-'Other Assumptions'!M88)</f>
        <v>281.91230504991267</v>
      </c>
      <c r="J128" s="1">
        <f ca="1">'Total Trip Tables Sup #2'!J128*(1-'Other Assumptions'!N17)*(1-'Other Assumptions'!N88)</f>
        <v>230.60242556129194</v>
      </c>
      <c r="K128" s="1">
        <f ca="1">'Total Trip Tables Sup #2'!K128*(1-'Other Assumptions'!O17)*(1-'Other Assumptions'!O88)</f>
        <v>235.28216093366245</v>
      </c>
    </row>
    <row r="129" spans="1:11" x14ac:dyDescent="0.25">
      <c r="A129" t="str">
        <f ca="1">OFFSET(Canterbury_Reference,21,2)</f>
        <v>Light Vehicle Passenger</v>
      </c>
      <c r="B129" s="4">
        <f ca="1">'Total Trip Tables Sup #2'!B129</f>
        <v>189.77500578000001</v>
      </c>
      <c r="C129" s="4">
        <f ca="1">'Total Trip Tables Sup #2'!C129*(1-'Other Assumptions'!G17)*(1-'Other Assumptions'!G88+'Other Assumptions'!G88*'Other Assumptions'!G91)+'Total Trip Tables Sup #2'!C128*(1-'Other Assumptions'!G17)*'Other Assumptions'!G88*'Other Assumptions'!G91</f>
        <v>202.46967751289569</v>
      </c>
      <c r="D129" s="4">
        <f ca="1">'Total Trip Tables Sup #2'!D129*(1-'Other Assumptions'!H17)*(1-'Other Assumptions'!H88+'Other Assumptions'!H88*'Other Assumptions'!H91)+'Total Trip Tables Sup #2'!D128*(1-'Other Assumptions'!H17)*'Other Assumptions'!H88*'Other Assumptions'!H91</f>
        <v>204.61634729931927</v>
      </c>
      <c r="E129" s="4">
        <f ca="1">'Total Trip Tables Sup #2'!E129*(1-'Other Assumptions'!I17)*(1-'Other Assumptions'!I88+'Other Assumptions'!I88*'Other Assumptions'!I91)+'Total Trip Tables Sup #2'!E128*(1-'Other Assumptions'!I17)*'Other Assumptions'!I88*'Other Assumptions'!I91</f>
        <v>183.10330178264707</v>
      </c>
      <c r="F129" s="4">
        <f ca="1">'Total Trip Tables Sup #2'!F129*(1-'Other Assumptions'!J17)*(1-'Other Assumptions'!J88+'Other Assumptions'!J88*'Other Assumptions'!J91)+'Total Trip Tables Sup #2'!F128*(1-'Other Assumptions'!J17)*'Other Assumptions'!J88*'Other Assumptions'!J91</f>
        <v>161.26801052650114</v>
      </c>
      <c r="G129" s="4">
        <f ca="1">'Total Trip Tables Sup #2'!G129*(1-'Other Assumptions'!K17)*(1-'Other Assumptions'!K88+'Other Assumptions'!K88*'Other Assumptions'!K91)+'Total Trip Tables Sup #2'!G128*(1-'Other Assumptions'!K17)*'Other Assumptions'!K88*'Other Assumptions'!K91</f>
        <v>138.79359316832273</v>
      </c>
      <c r="H129" s="4">
        <f ca="1">'Total Trip Tables Sup #2'!H129*(1-'Other Assumptions'!L17)*(1-'Other Assumptions'!L88+'Other Assumptions'!L88*'Other Assumptions'!L91)+'Total Trip Tables Sup #2'!H128*(1-'Other Assumptions'!L17)*'Other Assumptions'!L88*'Other Assumptions'!L91</f>
        <v>116.27525018882858</v>
      </c>
      <c r="I129" s="1">
        <f ca="1">'Total Trip Tables Sup #2'!I129*(1-'Other Assumptions'!M17)*(1-'Other Assumptions'!M88+'Other Assumptions'!M88*'Other Assumptions'!M91)+'Total Trip Tables Sup #2'!I128*(1-'Other Assumptions'!M17)*'Other Assumptions'!M88*'Other Assumptions'!M91</f>
        <v>99.369283993965453</v>
      </c>
      <c r="J129" s="1">
        <f ca="1">'Total Trip Tables Sup #2'!J129*(1-'Other Assumptions'!N17)*(1-'Other Assumptions'!N88+'Other Assumptions'!N88*'Other Assumptions'!N91)+'Total Trip Tables Sup #2'!J128*(1-'Other Assumptions'!N17)*'Other Assumptions'!N88*'Other Assumptions'!N91</f>
        <v>81.264077118071157</v>
      </c>
      <c r="K129" s="1">
        <f ca="1">'Total Trip Tables Sup #2'!K129*(1-'Other Assumptions'!O17)*(1-'Other Assumptions'!O88+'Other Assumptions'!O88*'Other Assumptions'!O91)+'Total Trip Tables Sup #2'!K128*(1-'Other Assumptions'!O17)*'Other Assumptions'!O88*'Other Assumptions'!O91</f>
        <v>82.892559589608183</v>
      </c>
    </row>
    <row r="130" spans="1:11" x14ac:dyDescent="0.25">
      <c r="A130" t="str">
        <f ca="1">OFFSET(Canterbury_Reference,28,2)</f>
        <v>Taxi/Vehicle Share</v>
      </c>
      <c r="B130" s="4">
        <f ca="1">'Total Trip Tables Sup #2'!B130</f>
        <v>2.2446435044999999</v>
      </c>
      <c r="C130" s="4">
        <f ca="1">'Total Trip Tables Sup #2'!C130+((C128+C129)*'Other Assumptions'!G17/(1-'Other Assumptions'!G17))</f>
        <v>2.6258222255838879</v>
      </c>
      <c r="D130" s="4">
        <f ca="1">'Total Trip Tables Sup #2'!D130+((D128+D129)*'Other Assumptions'!H17/(1-'Other Assumptions'!H17))</f>
        <v>2.9031206903093589</v>
      </c>
      <c r="E130" s="4">
        <f ca="1">'Total Trip Tables Sup #2'!E130+((E128+E129)*'Other Assumptions'!I17/(1-'Other Assumptions'!I17))</f>
        <v>74.64672220489453</v>
      </c>
      <c r="F130" s="4">
        <f ca="1">'Total Trip Tables Sup #2'!F130+((F128+F129)*'Other Assumptions'!J17/(1-'Other Assumptions'!J17))</f>
        <v>149.41547026503795</v>
      </c>
      <c r="G130" s="4">
        <f ca="1">'Total Trip Tables Sup #2'!G130+((G128+G129)*'Other Assumptions'!K17/(1-'Other Assumptions'!K17))</f>
        <v>225.07232612638842</v>
      </c>
      <c r="H130" s="4">
        <f ca="1">'Total Trip Tables Sup #2'!H130+((H128+H129)*'Other Assumptions'!L17/(1-'Other Assumptions'!L17))</f>
        <v>300.88913779575199</v>
      </c>
      <c r="I130" s="1">
        <f ca="1">'Total Trip Tables Sup #2'!I130+((I128+I129)*'Other Assumptions'!M17/(1-'Other Assumptions'!M17))</f>
        <v>384.87225544884581</v>
      </c>
      <c r="J130" s="1">
        <f ca="1">'Total Trip Tables Sup #2'!J130+((J128+J129)*'Other Assumptions'!N17/(1-'Other Assumptions'!N17))</f>
        <v>471.46561361728715</v>
      </c>
      <c r="K130" s="1">
        <f ca="1">'Total Trip Tables Sup #2'!K130+((K128+K129)*'Other Assumptions'!O17/(1-'Other Assumptions'!O17))</f>
        <v>480.99653957556433</v>
      </c>
    </row>
    <row r="131" spans="1:11" x14ac:dyDescent="0.25">
      <c r="A131" t="str">
        <f ca="1">OFFSET(Canterbury_Reference,35,2)</f>
        <v>Motorcyclist</v>
      </c>
      <c r="B131" s="4">
        <f ca="1">'Total Trip Tables Sup #2'!B131</f>
        <v>1.4451657518000001</v>
      </c>
      <c r="C131" s="4">
        <f ca="1">'Total Trip Tables Sup #2'!C131</f>
        <v>1.5856019619525874</v>
      </c>
      <c r="D131" s="4">
        <f ca="1">'Total Trip Tables Sup #2'!D131</f>
        <v>1.6596355509854139</v>
      </c>
      <c r="E131" s="4">
        <f ca="1">'Total Trip Tables Sup #2'!E131</f>
        <v>1.7077208698465667</v>
      </c>
      <c r="F131" s="4">
        <f ca="1">'Total Trip Tables Sup #2'!F131</f>
        <v>1.7458102295234965</v>
      </c>
      <c r="G131" s="4">
        <f ca="1">'Total Trip Tables Sup #2'!G131</f>
        <v>1.7524015398457877</v>
      </c>
      <c r="H131" s="4">
        <f ca="1">'Total Trip Tables Sup #2'!H131</f>
        <v>1.7470658830813277</v>
      </c>
      <c r="I131" s="1">
        <f ca="1">'Total Trip Tables Sup #2'!I131</f>
        <v>1.8017407947726636</v>
      </c>
      <c r="J131" s="1">
        <f ca="1">'Total Trip Tables Sup #2'!J131</f>
        <v>1.8522457689210021</v>
      </c>
      <c r="K131" s="1">
        <f ca="1">'Total Trip Tables Sup #2'!K131</f>
        <v>1.9001024782778368</v>
      </c>
    </row>
    <row r="132" spans="1:11" x14ac:dyDescent="0.25">
      <c r="A132" t="str">
        <f ca="1">OFFSET(Canterbury_Reference,42,2)</f>
        <v>Local Train</v>
      </c>
      <c r="B132" s="4">
        <f ca="1">'Total Trip Tables Sup #2'!B132</f>
        <v>2.1901243099999999E-2</v>
      </c>
      <c r="C132" s="4">
        <f ca="1">'Total Trip Tables Sup #2'!C132+'Total Trip Tables Sup #2'!C128*'Other Assumptions'!G88*'Other Assumptions'!G93+'Total Trip Tables Sup #2'!C129*'Other Assumptions'!G88*'Other Assumptions'!G93</f>
        <v>2.1881727399999999E-2</v>
      </c>
      <c r="D132" s="4">
        <f ca="1">'Total Trip Tables Sup #2'!D132+'Total Trip Tables Sup #2'!D128*'Other Assumptions'!H88*'Other Assumptions'!H93+'Total Trip Tables Sup #2'!D129*'Other Assumptions'!H88*'Other Assumptions'!H93</f>
        <v>1.8407240299999999E-2</v>
      </c>
      <c r="E132" s="4">
        <f ca="1">'Total Trip Tables Sup #2'!E132+'Total Trip Tables Sup #2'!E128*'Other Assumptions'!I88*'Other Assumptions'!I93+'Total Trip Tables Sup #2'!E129*'Other Assumptions'!I88*'Other Assumptions'!I93</f>
        <v>1.69883797E-2</v>
      </c>
      <c r="F132" s="4">
        <f ca="1">'Total Trip Tables Sup #2'!F132+'Total Trip Tables Sup #2'!F128*'Other Assumptions'!J88*'Other Assumptions'!J93+'Total Trip Tables Sup #2'!F129*'Other Assumptions'!J88*'Other Assumptions'!J93</f>
        <v>1.5993343199999999E-2</v>
      </c>
      <c r="G132" s="4">
        <f ca="1">'Total Trip Tables Sup #2'!G132+'Total Trip Tables Sup #2'!G128*'Other Assumptions'!K88*'Other Assumptions'!K93+'Total Trip Tables Sup #2'!G129*'Other Assumptions'!K88*'Other Assumptions'!K93</f>
        <v>1.33864925E-2</v>
      </c>
      <c r="H132" s="4">
        <f ca="1">'Total Trip Tables Sup #2'!H132+'Total Trip Tables Sup #2'!H128*'Other Assumptions'!L88*'Other Assumptions'!L93+'Total Trip Tables Sup #2'!H129*'Other Assumptions'!L88*'Other Assumptions'!L93</f>
        <v>1.09840489E-2</v>
      </c>
      <c r="I132" s="1">
        <f ca="1">'Total Trip Tables Sup #2'!I132+'Total Trip Tables Sup #2'!I128*'Other Assumptions'!M88*'Other Assumptions'!M93+'Total Trip Tables Sup #2'!I129*'Other Assumptions'!M88*'Other Assumptions'!M93</f>
        <v>1.09840489E-2</v>
      </c>
      <c r="J132" s="1">
        <f ca="1">'Total Trip Tables Sup #2'!J132+'Total Trip Tables Sup #2'!J128*'Other Assumptions'!N88*'Other Assumptions'!N93+'Total Trip Tables Sup #2'!J129*'Other Assumptions'!N88*'Other Assumptions'!N93</f>
        <v>1.09840489E-2</v>
      </c>
      <c r="K132" s="1">
        <f ca="1">'Total Trip Tables Sup #2'!K132+'Total Trip Tables Sup #2'!K128*'Other Assumptions'!O88*'Other Assumptions'!O93+'Total Trip Tables Sup #2'!K129*'Other Assumptions'!O88*'Other Assumptions'!O93</f>
        <v>1.09840489E-2</v>
      </c>
    </row>
    <row r="133" spans="1:11" x14ac:dyDescent="0.25">
      <c r="A133" t="str">
        <f ca="1">OFFSET(Canterbury_Reference,49,2)</f>
        <v>Local Bus</v>
      </c>
      <c r="B133" s="4">
        <f ca="1">'Total Trip Tables Sup #2'!B133</f>
        <v>20.502079716000001</v>
      </c>
      <c r="C133" s="4">
        <f ca="1">'Total Trip Tables Sup #2'!C133+'Total Trip Tables Sup #2'!C128*'Other Assumptions'!G88*'Other Assumptions'!G92+'Total Trip Tables Sup #2'!C129*'Other Assumptions'!G88*'Other Assumptions'!G92</f>
        <v>20.614719994000001</v>
      </c>
      <c r="D133" s="4">
        <f ca="1">'Total Trip Tables Sup #2'!D133+'Total Trip Tables Sup #2'!D128*'Other Assumptions'!H88*'Other Assumptions'!H92+'Total Trip Tables Sup #2'!D129*'Other Assumptions'!H88*'Other Assumptions'!H92</f>
        <v>20.193307146999999</v>
      </c>
      <c r="E133" s="4">
        <f ca="1">'Total Trip Tables Sup #2'!E133+'Total Trip Tables Sup #2'!E128*'Other Assumptions'!I88*'Other Assumptions'!I92+'Total Trip Tables Sup #2'!E129*'Other Assumptions'!I88*'Other Assumptions'!I92</f>
        <v>19.779883885</v>
      </c>
      <c r="F133" s="4">
        <f ca="1">'Total Trip Tables Sup #2'!F133+'Total Trip Tables Sup #2'!F128*'Other Assumptions'!J88*'Other Assumptions'!J92+'Total Trip Tables Sup #2'!F129*'Other Assumptions'!J88*'Other Assumptions'!J92</f>
        <v>18.941076702</v>
      </c>
      <c r="G133" s="4">
        <f ca="1">'Total Trip Tables Sup #2'!G133+'Total Trip Tables Sup #2'!G128*'Other Assumptions'!K88*'Other Assumptions'!K92+'Total Trip Tables Sup #2'!G129*'Other Assumptions'!K88*'Other Assumptions'!K92</f>
        <v>18.141836940000001</v>
      </c>
      <c r="H133" s="4">
        <f ca="1">'Total Trip Tables Sup #2'!H133+'Total Trip Tables Sup #2'!H128*'Other Assumptions'!L88*'Other Assumptions'!L92+'Total Trip Tables Sup #2'!H129*'Other Assumptions'!L88*'Other Assumptions'!L92</f>
        <v>17.313158362999999</v>
      </c>
      <c r="I133" s="1">
        <f ca="1">'Total Trip Tables Sup #2'!I133+'Total Trip Tables Sup #2'!I128*'Other Assumptions'!M88*'Other Assumptions'!M92+'Total Trip Tables Sup #2'!I129*'Other Assumptions'!M88*'Other Assumptions'!M92</f>
        <v>17.313158362999999</v>
      </c>
      <c r="J133" s="1">
        <f ca="1">'Total Trip Tables Sup #2'!J133+'Total Trip Tables Sup #2'!J128*'Other Assumptions'!N88*'Other Assumptions'!N92+'Total Trip Tables Sup #2'!J129*'Other Assumptions'!N88*'Other Assumptions'!N92</f>
        <v>17.313158362999999</v>
      </c>
      <c r="K133" s="1">
        <f ca="1">'Total Trip Tables Sup #2'!K133+'Total Trip Tables Sup #2'!K128*'Other Assumptions'!O88*'Other Assumptions'!O92+'Total Trip Tables Sup #2'!K129*'Other Assumptions'!O88*'Other Assumptions'!O92</f>
        <v>17.313158362999999</v>
      </c>
    </row>
    <row r="134" spans="1:11" x14ac:dyDescent="0.25">
      <c r="A134" t="str">
        <f ca="1">OFFSET(Wellington_Reference,56,2)</f>
        <v>Local Ferry</v>
      </c>
      <c r="B134" s="4">
        <f ca="1">'Total Trip Tables Sup #2'!B156</f>
        <v>0</v>
      </c>
      <c r="C134" s="4">
        <f ca="1">'Total Trip Tables Sup #2'!C156</f>
        <v>0</v>
      </c>
      <c r="D134" s="4">
        <f ca="1">'Total Trip Tables Sup #2'!D156</f>
        <v>0</v>
      </c>
      <c r="E134" s="4">
        <f ca="1">'Total Trip Tables Sup #2'!E156</f>
        <v>0</v>
      </c>
      <c r="F134" s="4">
        <f ca="1">'Total Trip Tables Sup #2'!F156</f>
        <v>0</v>
      </c>
      <c r="G134" s="4">
        <f ca="1">'Total Trip Tables Sup #2'!G156</f>
        <v>0</v>
      </c>
      <c r="H134" s="4">
        <f ca="1">'Total Trip Tables Sup #2'!H156</f>
        <v>0</v>
      </c>
      <c r="I134" s="1">
        <f ca="1">'Total Trip Tables Sup #2'!I156</f>
        <v>0</v>
      </c>
      <c r="J134" s="1">
        <f ca="1">'Total Trip Tables Sup #2'!J156</f>
        <v>0</v>
      </c>
      <c r="K134" s="1">
        <f ca="1">'Total Trip Tables Sup #2'!K156</f>
        <v>0</v>
      </c>
    </row>
    <row r="135" spans="1:11" x14ac:dyDescent="0.25">
      <c r="A135" t="str">
        <f ca="1">OFFSET(Canterbury_Reference,56,2)</f>
        <v>Other Household Travel</v>
      </c>
      <c r="B135" s="4">
        <f ca="1">'Total Trip Tables Sup #2'!B135</f>
        <v>1.5386198845000001</v>
      </c>
      <c r="C135" s="4">
        <f ca="1">'Total Trip Tables Sup #2'!C135</f>
        <v>1.7014635537469323</v>
      </c>
      <c r="D135" s="4">
        <f ca="1">'Total Trip Tables Sup #2'!D135</f>
        <v>1.8321104898293932</v>
      </c>
      <c r="E135" s="4">
        <f ca="1">'Total Trip Tables Sup #2'!E135</f>
        <v>1.9259155634236784</v>
      </c>
      <c r="F135" s="4">
        <f ca="1">'Total Trip Tables Sup #2'!F135</f>
        <v>2.006820389032884</v>
      </c>
      <c r="G135" s="4">
        <f ca="1">'Total Trip Tables Sup #2'!G135</f>
        <v>2.073368087569273</v>
      </c>
      <c r="H135" s="4">
        <f ca="1">'Total Trip Tables Sup #2'!H135</f>
        <v>2.111818040816329</v>
      </c>
      <c r="I135" s="1">
        <f ca="1">'Total Trip Tables Sup #2'!I135</f>
        <v>2.1732858542570899</v>
      </c>
      <c r="J135" s="1">
        <f ca="1">'Total Trip Tables Sup #2'!J135</f>
        <v>2.2294820525891219</v>
      </c>
      <c r="K135" s="1">
        <f ca="1">'Total Trip Tables Sup #2'!K135</f>
        <v>2.2822732174693123</v>
      </c>
    </row>
    <row r="136" spans="1:11" x14ac:dyDescent="0.25">
      <c r="A136" t="str">
        <f ca="1">OFFSET(Otago_Reference,0,0)</f>
        <v>14 OTAGO</v>
      </c>
      <c r="B136" s="4">
        <f ca="1">SUM(B137:B146)</f>
        <v>292.56009771480007</v>
      </c>
      <c r="C136" s="4">
        <f t="shared" ref="C136" ca="1" si="68">SUM(C137:C146)</f>
        <v>314.02690250523403</v>
      </c>
      <c r="D136" s="4">
        <f t="shared" ref="D136" ca="1" si="69">SUM(D137:D146)</f>
        <v>327.3271331301101</v>
      </c>
      <c r="E136" s="4">
        <f t="shared" ref="E136" ca="1" si="70">SUM(E137:E146)</f>
        <v>336.36998356592733</v>
      </c>
      <c r="F136" s="4">
        <f t="shared" ref="F136" ca="1" si="71">SUM(F137:F146)</f>
        <v>343.66202153894216</v>
      </c>
      <c r="G136" s="4">
        <f t="shared" ref="G136" ca="1" si="72">SUM(G137:G146)</f>
        <v>348.1919896837374</v>
      </c>
      <c r="H136" s="4">
        <f t="shared" ref="H136:K136" ca="1" si="73">SUM(H137:H146)</f>
        <v>351.07438278647771</v>
      </c>
      <c r="I136" s="1">
        <f t="shared" ca="1" si="73"/>
        <v>354.8249935527295</v>
      </c>
      <c r="J136" s="1">
        <f t="shared" ca="1" si="73"/>
        <v>357.4769436239082</v>
      </c>
      <c r="K136" s="1">
        <f t="shared" ca="1" si="73"/>
        <v>359.37740511008514</v>
      </c>
    </row>
    <row r="137" spans="1:11" x14ac:dyDescent="0.25">
      <c r="A137" t="str">
        <f ca="1">OFFSET(Otago_Reference,0,2)</f>
        <v>Pedestrian</v>
      </c>
      <c r="B137" s="4">
        <f ca="1">'Total Trip Tables Sup #2'!B137</f>
        <v>58.261736425999999</v>
      </c>
      <c r="C137" s="4">
        <f ca="1">'Total Trip Tables Sup #2'!C137</f>
        <v>62.078232606074202</v>
      </c>
      <c r="D137" s="4">
        <f ca="1">'Total Trip Tables Sup #2'!D137</f>
        <v>67.651934325984584</v>
      </c>
      <c r="E137" s="4">
        <f ca="1">'Total Trip Tables Sup #2'!E137</f>
        <v>71.908194632007024</v>
      </c>
      <c r="F137" s="4">
        <f ca="1">'Total Trip Tables Sup #2'!F137</f>
        <v>75.524646244277392</v>
      </c>
      <c r="G137" s="4">
        <f ca="1">'Total Trip Tables Sup #2'!G137</f>
        <v>78.740976671978572</v>
      </c>
      <c r="H137" s="4">
        <f ca="1">'Total Trip Tables Sup #2'!H137</f>
        <v>81.573183677571777</v>
      </c>
      <c r="I137" s="1">
        <f ca="1">'Total Trip Tables Sup #2'!I137</f>
        <v>82.405133883236033</v>
      </c>
      <c r="J137" s="1">
        <f ca="1">'Total Trip Tables Sup #2'!J137</f>
        <v>82.981616595972284</v>
      </c>
      <c r="K137" s="1">
        <f ca="1">'Total Trip Tables Sup #2'!K137</f>
        <v>83.383524013387458</v>
      </c>
    </row>
    <row r="138" spans="1:11" x14ac:dyDescent="0.25">
      <c r="A138" t="str">
        <f ca="1">OFFSET(Otago_Reference,7,2)</f>
        <v>Cyclist</v>
      </c>
      <c r="B138" s="4">
        <f ca="1">'Total Trip Tables Sup #2'!B138</f>
        <v>4.5847179276999999</v>
      </c>
      <c r="C138" s="4">
        <f ca="1">'Total Trip Tables Sup #2'!C138</f>
        <v>4.8738064718476997</v>
      </c>
      <c r="D138" s="4">
        <f ca="1">'Total Trip Tables Sup #2'!D138</f>
        <v>6.9552603625407032</v>
      </c>
      <c r="E138" s="4">
        <f ca="1">'Total Trip Tables Sup #2'!E138</f>
        <v>8.9094344170308268</v>
      </c>
      <c r="F138" s="4">
        <f ca="1">'Total Trip Tables Sup #2'!F138</f>
        <v>10.839553337932227</v>
      </c>
      <c r="G138" s="4">
        <f ca="1">'Total Trip Tables Sup #2'!G138</f>
        <v>12.744465108466954</v>
      </c>
      <c r="H138" s="4">
        <f ca="1">'Total Trip Tables Sup #2'!H138</f>
        <v>14.616864396016108</v>
      </c>
      <c r="I138" s="1">
        <f ca="1">'Total Trip Tables Sup #2'!I138</f>
        <v>14.850130446284231</v>
      </c>
      <c r="J138" s="1">
        <f ca="1">'Total Trip Tables Sup #2'!J138</f>
        <v>15.040609377395649</v>
      </c>
      <c r="K138" s="1">
        <f ca="1">'Total Trip Tables Sup #2'!K138</f>
        <v>15.202303665022477</v>
      </c>
    </row>
    <row r="139" spans="1:11" x14ac:dyDescent="0.25">
      <c r="A139" t="str">
        <f ca="1">OFFSET(Otago_Reference,14,2)</f>
        <v>Light Vehicle Driver</v>
      </c>
      <c r="B139" s="4">
        <f ca="1">'Total Trip Tables Sup #2'!B139</f>
        <v>150.49144967999999</v>
      </c>
      <c r="C139" s="4">
        <f ca="1">'Total Trip Tables Sup #2'!C139*(1-'Other Assumptions'!G18)</f>
        <v>164.52582122848023</v>
      </c>
      <c r="D139" s="4">
        <f ca="1">'Total Trip Tables Sup #2'!D139*(1-'Other Assumptions'!H18)</f>
        <v>170.39155710170797</v>
      </c>
      <c r="E139" s="4">
        <f ca="1">'Total Trip Tables Sup #2'!E139*(1-'Other Assumptions'!I18)</f>
        <v>157.00330863024564</v>
      </c>
      <c r="F139" s="4">
        <f ca="1">'Total Trip Tables Sup #2'!F139*(1-'Other Assumptions'!J18)</f>
        <v>142.14353590707188</v>
      </c>
      <c r="G139" s="4">
        <f ca="1">'Total Trip Tables Sup #2'!G139*(1-'Other Assumptions'!K18)</f>
        <v>125.32196066928935</v>
      </c>
      <c r="H139" s="4">
        <f ca="1">'Total Trip Tables Sup #2'!H139*(1-'Other Assumptions'!L18)</f>
        <v>107.72212060254314</v>
      </c>
      <c r="I139" s="1">
        <f ca="1">'Total Trip Tables Sup #2'!I139*(1-'Other Assumptions'!M18)</f>
        <v>90.710665206899009</v>
      </c>
      <c r="J139" s="1">
        <f ca="1">'Total Trip Tables Sup #2'!J139*(1-'Other Assumptions'!N18)</f>
        <v>73.096872560914946</v>
      </c>
      <c r="K139" s="1">
        <f ca="1">'Total Trip Tables Sup #2'!K139*(1-'Other Assumptions'!O18)</f>
        <v>73.470869942804867</v>
      </c>
    </row>
    <row r="140" spans="1:11" x14ac:dyDescent="0.25">
      <c r="A140" t="str">
        <f ca="1">OFFSET(Otago_Reference,21,2)</f>
        <v>Light Vehicle Passenger</v>
      </c>
      <c r="B140" s="4">
        <f ca="1">'Total Trip Tables Sup #2'!B140</f>
        <v>71.232164202000021</v>
      </c>
      <c r="C140" s="4">
        <f ca="1">'Total Trip Tables Sup #2'!C140*(1-'Other Assumptions'!G18)</f>
        <v>74.2325474399493</v>
      </c>
      <c r="D140" s="4">
        <f ca="1">'Total Trip Tables Sup #2'!D140*(1-'Other Assumptions'!H18)</f>
        <v>73.888097605738409</v>
      </c>
      <c r="E140" s="4">
        <f ca="1">'Total Trip Tables Sup #2'!E140*(1-'Other Assumptions'!I18)</f>
        <v>65.338156661662097</v>
      </c>
      <c r="F140" s="4">
        <f ca="1">'Total Trip Tables Sup #2'!F140*(1-'Other Assumptions'!J18)</f>
        <v>56.901325192876179</v>
      </c>
      <c r="G140" s="4">
        <f ca="1">'Total Trip Tables Sup #2'!G140*(1-'Other Assumptions'!K18)</f>
        <v>48.466921847061862</v>
      </c>
      <c r="H140" s="4">
        <f ca="1">'Total Trip Tables Sup #2'!H140*(1-'Other Assumptions'!L18)</f>
        <v>40.210279845755331</v>
      </c>
      <c r="I140" s="1">
        <f ca="1">'Total Trip Tables Sup #2'!I140*(1-'Other Assumptions'!M18)</f>
        <v>33.856994286509611</v>
      </c>
      <c r="J140" s="1">
        <f ca="1">'Total Trip Tables Sup #2'!J140*(1-'Other Assumptions'!N18)</f>
        <v>27.279934228707972</v>
      </c>
      <c r="K140" s="1">
        <f ca="1">'Total Trip Tables Sup #2'!K140*(1-'Other Assumptions'!O18)</f>
        <v>27.416423187106162</v>
      </c>
    </row>
    <row r="141" spans="1:11" x14ac:dyDescent="0.25">
      <c r="A141" t="str">
        <f ca="1">OFFSET(Otago_Reference,28,2)</f>
        <v>Taxi/Vehicle Share</v>
      </c>
      <c r="B141" s="4">
        <f ca="1">'Total Trip Tables Sup #2'!B141</f>
        <v>0.85820748670000002</v>
      </c>
      <c r="C141" s="4">
        <f ca="1">'Total Trip Tables Sup #2'!C141+((C139+C140)*'Other Assumptions'!G18/(1-'Other Assumptions'!G18))</f>
        <v>0.98063522689952509</v>
      </c>
      <c r="D141" s="4">
        <f ca="1">'Total Trip Tables Sup #2'!D141+((D139+D140)*'Other Assumptions'!H18/(1-'Other Assumptions'!H18))</f>
        <v>1.0632218666821733</v>
      </c>
      <c r="E141" s="4">
        <f ca="1">'Total Trip Tables Sup #2'!E141+((E139+E140)*'Other Assumptions'!I18/(1-'Other Assumptions'!I18))</f>
        <v>25.822304864232571</v>
      </c>
      <c r="F141" s="4">
        <f ca="1">'Total Trip Tables Sup #2'!F141+((F139+F140)*'Other Assumptions'!J18/(1-'Other Assumptions'!J18))</f>
        <v>50.92116249881623</v>
      </c>
      <c r="G141" s="4">
        <f ca="1">'Total Trip Tables Sup #2'!G141+((G139+G140)*'Other Assumptions'!K18/(1-'Other Assumptions'!K18))</f>
        <v>75.665865864209536</v>
      </c>
      <c r="H141" s="4">
        <f ca="1">'Total Trip Tables Sup #2'!H141+((H139+H140)*'Other Assumptions'!L18/(1-'Other Assumptions'!L18))</f>
        <v>99.827647730378644</v>
      </c>
      <c r="I141" s="1">
        <f ca="1">'Total Trip Tables Sup #2'!I141+((I139+I140)*'Other Assumptions'!M18/(1-'Other Assumptions'!M18))</f>
        <v>125.78448031703846</v>
      </c>
      <c r="J141" s="1">
        <f ca="1">'Total Trip Tables Sup #2'!J141+((J139+J140)*'Other Assumptions'!N18/(1-'Other Assumptions'!N18))</f>
        <v>151.78894951912926</v>
      </c>
      <c r="K141" s="1">
        <f ca="1">'Total Trip Tables Sup #2'!K141+((K139+K140)*'Other Assumptions'!O18/(1-'Other Assumptions'!O18))</f>
        <v>152.55895076270974</v>
      </c>
    </row>
    <row r="142" spans="1:11" x14ac:dyDescent="0.25">
      <c r="A142" t="str">
        <f ca="1">OFFSET(Otago_Reference,35,2)</f>
        <v>Motorcyclist</v>
      </c>
      <c r="B142" s="4">
        <f ca="1">'Total Trip Tables Sup #2'!B142</f>
        <v>2.0937246197000001</v>
      </c>
      <c r="C142" s="4">
        <f ca="1">'Total Trip Tables Sup #2'!C142</f>
        <v>2.2438474140380786</v>
      </c>
      <c r="D142" s="4">
        <f ca="1">'Total Trip Tables Sup #2'!D142</f>
        <v>2.3031833602766532</v>
      </c>
      <c r="E142" s="4">
        <f ca="1">'Total Trip Tables Sup #2'!E142</f>
        <v>2.3315361327026696</v>
      </c>
      <c r="F142" s="4">
        <f ca="1">'Total Trip Tables Sup #2'!F142</f>
        <v>2.3459551306975786</v>
      </c>
      <c r="G142" s="4">
        <f ca="1">'Total Trip Tables Sup #2'!G142</f>
        <v>2.3190982186194797</v>
      </c>
      <c r="H142" s="4">
        <f ca="1">'Total Trip Tables Sup #2'!H142</f>
        <v>2.2774891485719007</v>
      </c>
      <c r="I142" s="1">
        <f ca="1">'Total Trip Tables Sup #2'!I142</f>
        <v>2.3136670562815347</v>
      </c>
      <c r="J142" s="1">
        <f ca="1">'Total Trip Tables Sup #2'!J142</f>
        <v>2.342980530201741</v>
      </c>
      <c r="K142" s="1">
        <f ca="1">'Total Trip Tables Sup #2'!K142</f>
        <v>2.367601519737367</v>
      </c>
    </row>
    <row r="143" spans="1:11" x14ac:dyDescent="0.25">
      <c r="A143" t="str">
        <f ca="1">OFFSET(Canterbury_Reference,42,2)</f>
        <v>Local Train</v>
      </c>
      <c r="B143" s="4">
        <f ca="1">'Total Trip Tables Sup #2'!B143</f>
        <v>0</v>
      </c>
      <c r="C143" s="4">
        <f ca="1">'Total Trip Tables Sup #2'!C143</f>
        <v>0</v>
      </c>
      <c r="D143" s="4">
        <f ca="1">'Total Trip Tables Sup #2'!D143</f>
        <v>0</v>
      </c>
      <c r="E143" s="4">
        <f ca="1">'Total Trip Tables Sup #2'!E143</f>
        <v>0</v>
      </c>
      <c r="F143" s="4">
        <f ca="1">'Total Trip Tables Sup #2'!F143</f>
        <v>0</v>
      </c>
      <c r="G143" s="4">
        <f ca="1">'Total Trip Tables Sup #2'!G143</f>
        <v>0</v>
      </c>
      <c r="H143" s="4">
        <f ca="1">'Total Trip Tables Sup #2'!H143</f>
        <v>0</v>
      </c>
      <c r="I143" s="1">
        <f ca="1">'Total Trip Tables Sup #2'!I143</f>
        <v>0</v>
      </c>
      <c r="J143" s="1">
        <f ca="1">'Total Trip Tables Sup #2'!J143</f>
        <v>0</v>
      </c>
      <c r="K143" s="1">
        <f ca="1">'Total Trip Tables Sup #2'!K143</f>
        <v>0</v>
      </c>
    </row>
    <row r="144" spans="1:11" x14ac:dyDescent="0.25">
      <c r="A144" t="str">
        <f ca="1">OFFSET(Otago_Reference,42,2)</f>
        <v>Local Bus</v>
      </c>
      <c r="B144" s="4">
        <f ca="1">'Total Trip Tables Sup #2'!B144</f>
        <v>4.2627057848999996</v>
      </c>
      <c r="C144" s="4">
        <f ca="1">'Total Trip Tables Sup #2'!C144</f>
        <v>4.2544642407356434</v>
      </c>
      <c r="D144" s="4">
        <f ca="1">'Total Trip Tables Sup #2'!D144</f>
        <v>4.1894651529558624</v>
      </c>
      <c r="E144" s="4">
        <f ca="1">'Total Trip Tables Sup #2'!E144</f>
        <v>4.1424078870334533</v>
      </c>
      <c r="F144" s="4">
        <f ca="1">'Total Trip Tables Sup #2'!F144</f>
        <v>4.0478082823257715</v>
      </c>
      <c r="G144" s="4">
        <f ca="1">'Total Trip Tables Sup #2'!G144</f>
        <v>3.9782588005191437</v>
      </c>
      <c r="H144" s="4">
        <f ca="1">'Total Trip Tables Sup #2'!H144</f>
        <v>3.8891814280036963</v>
      </c>
      <c r="I144" s="1">
        <f ca="1">'Total Trip Tables Sup #2'!I144</f>
        <v>3.9331592797300994</v>
      </c>
      <c r="J144" s="1">
        <f ca="1">'Total Trip Tables Sup #2'!J144</f>
        <v>3.9649968789110419</v>
      </c>
      <c r="K144" s="1">
        <f ca="1">'Total Trip Tables Sup #2'!K144</f>
        <v>3.9885252838008722</v>
      </c>
    </row>
    <row r="145" spans="1:11" x14ac:dyDescent="0.25">
      <c r="A145" t="str">
        <f ca="1">OFFSET(Wellington_Reference,56,2)</f>
        <v>Local Ferry</v>
      </c>
      <c r="B145" s="4">
        <f ca="1">'Total Trip Tables Sup #2'!B145</f>
        <v>0</v>
      </c>
      <c r="C145" s="4">
        <f ca="1">'Total Trip Tables Sup #2'!C145</f>
        <v>0</v>
      </c>
      <c r="D145" s="4">
        <f ca="1">'Total Trip Tables Sup #2'!D145</f>
        <v>0</v>
      </c>
      <c r="E145" s="4">
        <f ca="1">'Total Trip Tables Sup #2'!E145</f>
        <v>0</v>
      </c>
      <c r="F145" s="4">
        <f ca="1">'Total Trip Tables Sup #2'!F145</f>
        <v>0</v>
      </c>
      <c r="G145" s="4">
        <f ca="1">'Total Trip Tables Sup #2'!G145</f>
        <v>0</v>
      </c>
      <c r="H145" s="4">
        <f ca="1">'Total Trip Tables Sup #2'!H145</f>
        <v>0</v>
      </c>
      <c r="I145" s="1">
        <f ca="1">'Total Trip Tables Sup #2'!I145</f>
        <v>0</v>
      </c>
      <c r="J145" s="1">
        <f ca="1">'Total Trip Tables Sup #2'!J145</f>
        <v>0</v>
      </c>
      <c r="K145" s="1">
        <f ca="1">'Total Trip Tables Sup #2'!K145</f>
        <v>0</v>
      </c>
    </row>
    <row r="146" spans="1:11" x14ac:dyDescent="0.25">
      <c r="A146" t="str">
        <f ca="1">OFFSET(Otago_Reference,49,2)</f>
        <v>Other Household Travel</v>
      </c>
      <c r="B146" s="4">
        <f ca="1">'Total Trip Tables Sup #2'!B146</f>
        <v>0.77539158779999995</v>
      </c>
      <c r="C146" s="4">
        <f ca="1">'Total Trip Tables Sup #2'!C146</f>
        <v>0.83754787720929336</v>
      </c>
      <c r="D146" s="4">
        <f ca="1">'Total Trip Tables Sup #2'!D146</f>
        <v>0.88441335422371348</v>
      </c>
      <c r="E146" s="4">
        <f ca="1">'Total Trip Tables Sup #2'!E146</f>
        <v>0.91464034101302094</v>
      </c>
      <c r="F146" s="4">
        <f ca="1">'Total Trip Tables Sup #2'!F146</f>
        <v>0.93803494494491657</v>
      </c>
      <c r="G146" s="4">
        <f ca="1">'Total Trip Tables Sup #2'!G146</f>
        <v>0.95444250359249538</v>
      </c>
      <c r="H146" s="4">
        <f ca="1">'Total Trip Tables Sup #2'!H146</f>
        <v>0.95761595763708007</v>
      </c>
      <c r="I146" s="1">
        <f ca="1">'Total Trip Tables Sup #2'!I146</f>
        <v>0.97076307675052453</v>
      </c>
      <c r="J146" s="1">
        <f ca="1">'Total Trip Tables Sup #2'!J146</f>
        <v>0.98098393267528139</v>
      </c>
      <c r="K146" s="1">
        <f ca="1">'Total Trip Tables Sup #2'!K146</f>
        <v>0.98920673551619465</v>
      </c>
    </row>
    <row r="147" spans="1:11" x14ac:dyDescent="0.25">
      <c r="A147" t="str">
        <f ca="1">OFFSET(Southland_Reference,0,0)</f>
        <v>15 SOUTHLAND</v>
      </c>
      <c r="B147" s="4">
        <f ca="1">SUM(B148:B157)</f>
        <v>113.12186837359998</v>
      </c>
      <c r="C147" s="4">
        <f t="shared" ref="C147" ca="1" si="74">SUM(C148:C157)</f>
        <v>116.18627726112827</v>
      </c>
      <c r="D147" s="4">
        <f t="shared" ref="D147" ca="1" si="75">SUM(D148:D157)</f>
        <v>116.58389690572747</v>
      </c>
      <c r="E147" s="4">
        <f t="shared" ref="E147" ca="1" si="76">SUM(E148:E157)</f>
        <v>116.87714670506345</v>
      </c>
      <c r="F147" s="4">
        <f t="shared" ref="F147" ca="1" si="77">SUM(F148:F157)</f>
        <v>116.56086886546595</v>
      </c>
      <c r="G147" s="4">
        <f t="shared" ref="G147" ca="1" si="78">SUM(G148:G157)</f>
        <v>115.15252494235803</v>
      </c>
      <c r="H147" s="4">
        <f t="shared" ref="H147:K147" ca="1" si="79">SUM(H148:H157)</f>
        <v>113.22162334774221</v>
      </c>
      <c r="I147" s="1">
        <f t="shared" ca="1" si="79"/>
        <v>111.77951475745995</v>
      </c>
      <c r="J147" s="1">
        <f t="shared" ca="1" si="79"/>
        <v>110.00509084773732</v>
      </c>
      <c r="K147" s="1">
        <f t="shared" ca="1" si="79"/>
        <v>108.02672711682737</v>
      </c>
    </row>
    <row r="148" spans="1:11" x14ac:dyDescent="0.25">
      <c r="A148" t="str">
        <f ca="1">OFFSET(Southland_Reference,0,2)</f>
        <v>Pedestrian</v>
      </c>
      <c r="B148" s="4">
        <f ca="1">'Total Trip Tables Sup #2'!B148</f>
        <v>12.52065131</v>
      </c>
      <c r="C148" s="4">
        <f ca="1">'Total Trip Tables Sup #2'!C148</f>
        <v>12.747641358388851</v>
      </c>
      <c r="D148" s="4">
        <f ca="1">'Total Trip Tables Sup #2'!D148</f>
        <v>13.412355350372685</v>
      </c>
      <c r="E148" s="4">
        <f ca="1">'Total Trip Tables Sup #2'!E148</f>
        <v>13.931867895408139</v>
      </c>
      <c r="F148" s="4">
        <f ca="1">'Total Trip Tables Sup #2'!F148</f>
        <v>14.302525113261588</v>
      </c>
      <c r="G148" s="4">
        <f ca="1">'Total Trip Tables Sup #2'!G148</f>
        <v>14.564591675166854</v>
      </c>
      <c r="H148" s="4">
        <f ca="1">'Total Trip Tables Sup #2'!H148</f>
        <v>14.739263627019399</v>
      </c>
      <c r="I148" s="1">
        <f ca="1">'Total Trip Tables Sup #2'!I148</f>
        <v>14.54499249865202</v>
      </c>
      <c r="J148" s="1">
        <f ca="1">'Total Trip Tables Sup #2'!J148</f>
        <v>14.307771034314886</v>
      </c>
      <c r="K148" s="1">
        <f ca="1">'Total Trip Tables Sup #2'!K148</f>
        <v>14.04433544841029</v>
      </c>
    </row>
    <row r="149" spans="1:11" x14ac:dyDescent="0.25">
      <c r="A149" t="str">
        <f ca="1">OFFSET(Southland_Reference,7,2)</f>
        <v>Cyclist</v>
      </c>
      <c r="B149" s="4">
        <f ca="1">'Total Trip Tables Sup #2'!B149</f>
        <v>1.0312878256</v>
      </c>
      <c r="C149" s="4">
        <f ca="1">'Total Trip Tables Sup #2'!C149</f>
        <v>1.0475687776647122</v>
      </c>
      <c r="D149" s="4">
        <f ca="1">'Total Trip Tables Sup #2'!D149</f>
        <v>1.4433178994091107</v>
      </c>
      <c r="E149" s="4">
        <f ca="1">'Total Trip Tables Sup #2'!E149</f>
        <v>1.8067783204126158</v>
      </c>
      <c r="F149" s="4">
        <f ca="1">'Total Trip Tables Sup #2'!F149</f>
        <v>2.1486178481517428</v>
      </c>
      <c r="G149" s="4">
        <f ca="1">'Total Trip Tables Sup #2'!G149</f>
        <v>2.4674189840395031</v>
      </c>
      <c r="H149" s="4">
        <f ca="1">'Total Trip Tables Sup #2'!H149</f>
        <v>2.7644348874478655</v>
      </c>
      <c r="I149" s="1">
        <f ca="1">'Total Trip Tables Sup #2'!I149</f>
        <v>2.743552491842852</v>
      </c>
      <c r="J149" s="1">
        <f ca="1">'Total Trip Tables Sup #2'!J149</f>
        <v>2.7144340569520349</v>
      </c>
      <c r="K149" s="1">
        <f ca="1">'Total Trip Tables Sup #2'!K149</f>
        <v>2.6801192906727591</v>
      </c>
    </row>
    <row r="150" spans="1:11" x14ac:dyDescent="0.25">
      <c r="A150" t="str">
        <f ca="1">OFFSET(Southland_Reference,14,2)</f>
        <v>Light Vehicle Driver</v>
      </c>
      <c r="B150" s="4">
        <f ca="1">'Total Trip Tables Sup #2'!B150</f>
        <v>66.981547285000005</v>
      </c>
      <c r="C150" s="4">
        <f ca="1">'Total Trip Tables Sup #2'!C150*(1-'Other Assumptions'!G19)</f>
        <v>69.972020215810858</v>
      </c>
      <c r="D150" s="4">
        <f ca="1">'Total Trip Tables Sup #2'!D150*(1-'Other Assumptions'!H19)</f>
        <v>70.267885528222337</v>
      </c>
      <c r="E150" s="4">
        <f ca="1">'Total Trip Tables Sup #2'!E150*(1-'Other Assumptions'!I19)</f>
        <v>63.536426455447874</v>
      </c>
      <c r="F150" s="4">
        <f ca="1">'Total Trip Tables Sup #2'!F150*(1-'Other Assumptions'!J19)</f>
        <v>56.447552985680296</v>
      </c>
      <c r="G150" s="4">
        <f ca="1">'Total Trip Tables Sup #2'!G150*(1-'Other Assumptions'!K19)</f>
        <v>48.797655193549737</v>
      </c>
      <c r="H150" s="4">
        <f ca="1">'Total Trip Tables Sup #2'!H150*(1-'Other Assumptions'!L19)</f>
        <v>41.128914684198428</v>
      </c>
      <c r="I150" s="1">
        <f ca="1">'Total Trip Tables Sup #2'!I150*(1-'Other Assumptions'!M19)</f>
        <v>33.833373998480035</v>
      </c>
      <c r="J150" s="1">
        <f ca="1">'Total Trip Tables Sup #2'!J150*(1-'Other Assumptions'!N19)</f>
        <v>26.633656538853234</v>
      </c>
      <c r="K150" s="1">
        <f ca="1">'Total Trip Tables Sup #2'!K150*(1-'Other Assumptions'!O19)</f>
        <v>26.151262465894803</v>
      </c>
    </row>
    <row r="151" spans="1:11" x14ac:dyDescent="0.25">
      <c r="A151" t="str">
        <f ca="1">OFFSET(Southland_Reference,21,2)</f>
        <v>Light Vehicle Passenger</v>
      </c>
      <c r="B151" s="4">
        <f ca="1">'Total Trip Tables Sup #2'!B151</f>
        <v>28.419434702000007</v>
      </c>
      <c r="C151" s="4">
        <f ca="1">'Total Trip Tables Sup #2'!C151*(1-'Other Assumptions'!G19)</f>
        <v>28.299623386224475</v>
      </c>
      <c r="D151" s="4">
        <f ca="1">'Total Trip Tables Sup #2'!D151*(1-'Other Assumptions'!H19)</f>
        <v>27.437701778438729</v>
      </c>
      <c r="E151" s="4">
        <f ca="1">'Total Trip Tables Sup #2'!E151*(1-'Other Assumptions'!I19)</f>
        <v>23.928842466120287</v>
      </c>
      <c r="F151" s="4">
        <f ca="1">'Total Trip Tables Sup #2'!F151*(1-'Other Assumptions'!J19)</f>
        <v>20.560245017845968</v>
      </c>
      <c r="G151" s="4">
        <f ca="1">'Total Trip Tables Sup #2'!G151*(1-'Other Assumptions'!K19)</f>
        <v>17.271381572734974</v>
      </c>
      <c r="H151" s="4">
        <f ca="1">'Total Trip Tables Sup #2'!H151*(1-'Other Assumptions'!L19)</f>
        <v>14.139293645064926</v>
      </c>
      <c r="I151" s="1">
        <f ca="1">'Total Trip Tables Sup #2'!I151*(1-'Other Assumptions'!M19)</f>
        <v>11.630633746196029</v>
      </c>
      <c r="J151" s="1">
        <f ca="1">'Total Trip Tables Sup #2'!J151*(1-'Other Assumptions'!N19)</f>
        <v>9.1551155515442364</v>
      </c>
      <c r="K151" s="1">
        <f ca="1">'Total Trip Tables Sup #2'!K151*(1-'Other Assumptions'!O19)</f>
        <v>8.9887232183710317</v>
      </c>
    </row>
    <row r="152" spans="1:11" x14ac:dyDescent="0.25">
      <c r="A152" t="str">
        <f ca="1">OFFSET(Southland_Reference,28,2)</f>
        <v>Taxi/Vehicle Share</v>
      </c>
      <c r="B152" s="4">
        <f ca="1">'Total Trip Tables Sup #2'!B152</f>
        <v>0.47613164409999997</v>
      </c>
      <c r="C152" s="4">
        <f ca="1">'Total Trip Tables Sup #2'!C152+((C150+C151)*'Other Assumptions'!G19/(1-'Other Assumptions'!G19))</f>
        <v>0.51986338842683188</v>
      </c>
      <c r="D152" s="4">
        <f ca="1">'Total Trip Tables Sup #2'!D152+((D150+D151)*'Other Assumptions'!H19/(1-'Other Assumptions'!H19))</f>
        <v>0.54417675037782498</v>
      </c>
      <c r="E152" s="4">
        <f ca="1">'Total Trip Tables Sup #2'!E152+((E150+E151)*'Other Assumptions'!I19/(1-'Other Assumptions'!I19))</f>
        <v>10.277407914050283</v>
      </c>
      <c r="F152" s="4">
        <f ca="1">'Total Trip Tables Sup #2'!F152+((F150+F151)*'Other Assumptions'!J19/(1-'Other Assumptions'!J19))</f>
        <v>19.819041473085157</v>
      </c>
      <c r="G152" s="4">
        <f ca="1">'Total Trip Tables Sup #2'!G152+((G150+G151)*'Other Assumptions'!K19/(1-'Other Assumptions'!K19))</f>
        <v>28.881119014804646</v>
      </c>
      <c r="H152" s="4">
        <f ca="1">'Total Trip Tables Sup #2'!H152+((H150+H151)*'Other Assumptions'!L19/(1-'Other Assumptions'!L19))</f>
        <v>37.40805186193024</v>
      </c>
      <c r="I152" s="1">
        <f ca="1">'Total Trip Tables Sup #2'!I152+((I150+I151)*'Other Assumptions'!M19/(1-'Other Assumptions'!M19))</f>
        <v>46.018476547851385</v>
      </c>
      <c r="J152" s="1">
        <f ca="1">'Total Trip Tables Sup #2'!J152+((J150+J151)*'Other Assumptions'!N19/(1-'Other Assumptions'!N19))</f>
        <v>54.227874296692363</v>
      </c>
      <c r="K152" s="1">
        <f ca="1">'Total Trip Tables Sup #2'!K152+((K150+K151)*'Other Assumptions'!O19/(1-'Other Assumptions'!O19))</f>
        <v>53.243945602613067</v>
      </c>
    </row>
    <row r="153" spans="1:11" x14ac:dyDescent="0.25">
      <c r="A153" t="str">
        <f ca="1">OFFSET(Southland_Reference,35,2)</f>
        <v>Motorcyclist</v>
      </c>
      <c r="B153" s="4">
        <f ca="1">'Total Trip Tables Sup #2'!B153</f>
        <v>0.62652592730000001</v>
      </c>
      <c r="C153" s="4">
        <f ca="1">'Total Trip Tables Sup #2'!C153</f>
        <v>0.64159327725855553</v>
      </c>
      <c r="D153" s="4">
        <f ca="1">'Total Trip Tables Sup #2'!D153</f>
        <v>0.63581290451370565</v>
      </c>
      <c r="E153" s="4">
        <f ca="1">'Total Trip Tables Sup #2'!E153</f>
        <v>0.62899776755342596</v>
      </c>
      <c r="F153" s="4">
        <f ca="1">'Total Trip Tables Sup #2'!F153</f>
        <v>0.61861395383631379</v>
      </c>
      <c r="G153" s="4">
        <f ca="1">'Total Trip Tables Sup #2'!G153</f>
        <v>0.59730018569735144</v>
      </c>
      <c r="H153" s="4">
        <f ca="1">'Total Trip Tables Sup #2'!H153</f>
        <v>0.57300799542669789</v>
      </c>
      <c r="I153" s="1">
        <f ca="1">'Total Trip Tables Sup #2'!I153</f>
        <v>0.56863827200746675</v>
      </c>
      <c r="J153" s="1">
        <f ca="1">'Total Trip Tables Sup #2'!J153</f>
        <v>0.56251584642955643</v>
      </c>
      <c r="K153" s="1">
        <f ca="1">'Total Trip Tables Sup #2'!K153</f>
        <v>0.55527171274188447</v>
      </c>
    </row>
    <row r="154" spans="1:11" x14ac:dyDescent="0.25">
      <c r="A154" t="str">
        <f ca="1">OFFSET(Canterbury_Reference,42,2)</f>
        <v>Local Train</v>
      </c>
      <c r="B154" s="4">
        <f ca="1">'Total Trip Tables Sup #2'!B154</f>
        <v>0</v>
      </c>
      <c r="C154" s="4">
        <f ca="1">'Total Trip Tables Sup #2'!C154</f>
        <v>0</v>
      </c>
      <c r="D154" s="4">
        <f ca="1">'Total Trip Tables Sup #2'!D154</f>
        <v>0</v>
      </c>
      <c r="E154" s="4">
        <f ca="1">'Total Trip Tables Sup #2'!E154</f>
        <v>0</v>
      </c>
      <c r="F154" s="4">
        <f ca="1">'Total Trip Tables Sup #2'!F154</f>
        <v>0</v>
      </c>
      <c r="G154" s="4">
        <f ca="1">'Total Trip Tables Sup #2'!G154</f>
        <v>0</v>
      </c>
      <c r="H154" s="4">
        <f ca="1">'Total Trip Tables Sup #2'!H154</f>
        <v>0</v>
      </c>
      <c r="I154" s="1">
        <f ca="1">'Total Trip Tables Sup #2'!I154</f>
        <v>0</v>
      </c>
      <c r="J154" s="1">
        <f ca="1">'Total Trip Tables Sup #2'!J154</f>
        <v>0</v>
      </c>
      <c r="K154" s="1">
        <f ca="1">'Total Trip Tables Sup #2'!K154</f>
        <v>0</v>
      </c>
    </row>
    <row r="155" spans="1:11" x14ac:dyDescent="0.25">
      <c r="A155" t="str">
        <f ca="1">OFFSET(Southland_Reference,42,2)</f>
        <v>Local Bus</v>
      </c>
      <c r="B155" s="4">
        <f ca="1">'Total Trip Tables Sup #2'!B155</f>
        <v>2.6369167839999998</v>
      </c>
      <c r="C155" s="4">
        <f ca="1">'Total Trip Tables Sup #2'!C155</f>
        <v>2.5147970355310885</v>
      </c>
      <c r="D155" s="4">
        <f ca="1">'Total Trip Tables Sup #2'!D155</f>
        <v>2.3908425938427507</v>
      </c>
      <c r="E155" s="4">
        <f ca="1">'Total Trip Tables Sup #2'!E155</f>
        <v>2.3102096404049881</v>
      </c>
      <c r="F155" s="4">
        <f ca="1">'Total Trip Tables Sup #2'!F155</f>
        <v>2.2065385702149367</v>
      </c>
      <c r="G155" s="4">
        <f ca="1">'Total Trip Tables Sup #2'!G155</f>
        <v>2.1181568555551271</v>
      </c>
      <c r="H155" s="4">
        <f ca="1">'Total Trip Tables Sup #2'!H155</f>
        <v>2.0228055976778068</v>
      </c>
      <c r="I155" s="1">
        <f ca="1">'Total Trip Tables Sup #2'!I155</f>
        <v>1.9983351883390246</v>
      </c>
      <c r="J155" s="1">
        <f ca="1">'Total Trip Tables Sup #2'!J155</f>
        <v>1.9678885982366778</v>
      </c>
      <c r="K155" s="1">
        <f ca="1">'Total Trip Tables Sup #2'!K155</f>
        <v>1.9337524064924825</v>
      </c>
    </row>
    <row r="156" spans="1:11" x14ac:dyDescent="0.25">
      <c r="A156" t="str">
        <f ca="1">OFFSET(Wellington_Reference,56,2)</f>
        <v>Local Ferry</v>
      </c>
      <c r="B156" s="4">
        <f ca="1">'Total Trip Tables Sup #2'!B156</f>
        <v>0</v>
      </c>
      <c r="C156" s="4">
        <f ca="1">'Total Trip Tables Sup #2'!C156</f>
        <v>0</v>
      </c>
      <c r="D156" s="4">
        <f ca="1">'Total Trip Tables Sup #2'!D156</f>
        <v>0</v>
      </c>
      <c r="E156" s="4">
        <f ca="1">'Total Trip Tables Sup #2'!E156</f>
        <v>0</v>
      </c>
      <c r="F156" s="4">
        <f ca="1">'Total Trip Tables Sup #2'!F156</f>
        <v>0</v>
      </c>
      <c r="G156" s="4">
        <f ca="1">'Total Trip Tables Sup #2'!G156</f>
        <v>0</v>
      </c>
      <c r="H156" s="4">
        <f ca="1">'Total Trip Tables Sup #2'!H156</f>
        <v>0</v>
      </c>
      <c r="I156" s="1">
        <f ca="1">'Total Trip Tables Sup #2'!I156</f>
        <v>0</v>
      </c>
      <c r="J156" s="1">
        <f ca="1">'Total Trip Tables Sup #2'!J156</f>
        <v>0</v>
      </c>
      <c r="K156" s="1">
        <f ca="1">'Total Trip Tables Sup #2'!K156</f>
        <v>0</v>
      </c>
    </row>
    <row r="157" spans="1:11" x14ac:dyDescent="0.25">
      <c r="A157" t="str">
        <f ca="1">OFFSET(Southland_Reference,49,2)</f>
        <v>Other Household Travel</v>
      </c>
      <c r="B157" s="4">
        <f ca="1">'Total Trip Tables Sup #2'!B157</f>
        <v>0.42937289560000003</v>
      </c>
      <c r="C157" s="4">
        <f ca="1">'Total Trip Tables Sup #2'!C157</f>
        <v>0.44316982182290582</v>
      </c>
      <c r="D157" s="4">
        <f ca="1">'Total Trip Tables Sup #2'!D157</f>
        <v>0.45180410055031439</v>
      </c>
      <c r="E157" s="4">
        <f ca="1">'Total Trip Tables Sup #2'!E157</f>
        <v>0.45661624566582487</v>
      </c>
      <c r="F157" s="4">
        <f ca="1">'Total Trip Tables Sup #2'!F157</f>
        <v>0.45773390338993947</v>
      </c>
      <c r="G157" s="4">
        <f ca="1">'Total Trip Tables Sup #2'!G157</f>
        <v>0.45490146080983002</v>
      </c>
      <c r="H157" s="4">
        <f ca="1">'Total Trip Tables Sup #2'!H157</f>
        <v>0.44585104897686872</v>
      </c>
      <c r="I157" s="1">
        <f ca="1">'Total Trip Tables Sup #2'!I157</f>
        <v>0.44151201409113144</v>
      </c>
      <c r="J157" s="1">
        <f ca="1">'Total Trip Tables Sup #2'!J157</f>
        <v>0.43583492471432267</v>
      </c>
      <c r="K157" s="1">
        <f ca="1">'Total Trip Tables Sup #2'!K157</f>
        <v>0.4293169716310527</v>
      </c>
    </row>
    <row r="158" spans="1:11" x14ac:dyDescent="0.25">
      <c r="A158" t="s">
        <v>19</v>
      </c>
      <c r="B158" s="4">
        <f ca="1">SUM(B159:B168)</f>
        <v>5872.3739973896008</v>
      </c>
      <c r="C158" s="4">
        <f t="shared" ref="C158" ca="1" si="80">SUM(C159:C168)</f>
        <v>6381.5348796069475</v>
      </c>
      <c r="D158" s="4">
        <f t="shared" ref="D158" ca="1" si="81">SUM(D159:D168)</f>
        <v>6738.6385889216554</v>
      </c>
      <c r="E158" s="4">
        <f t="shared" ref="E158" ca="1" si="82">SUM(E159:E168)</f>
        <v>7026.2078207658096</v>
      </c>
      <c r="F158" s="4">
        <f t="shared" ref="F158" ca="1" si="83">SUM(F159:F168)</f>
        <v>7268.9599819669602</v>
      </c>
      <c r="G158" s="4">
        <f t="shared" ref="G158" ca="1" si="84">SUM(G159:G168)</f>
        <v>7446.967089548024</v>
      </c>
      <c r="H158" s="4">
        <f t="shared" ref="H158:K158" ca="1" si="85">SUM(H159:H168)</f>
        <v>7589.0612745415347</v>
      </c>
      <c r="I158" s="1">
        <f t="shared" ca="1" si="85"/>
        <v>7768.8969826170332</v>
      </c>
      <c r="J158" s="1">
        <f t="shared" ca="1" si="85"/>
        <v>7930.4860573236583</v>
      </c>
      <c r="K158" s="1">
        <f t="shared" ca="1" si="85"/>
        <v>8080.9644777729018</v>
      </c>
    </row>
    <row r="159" spans="1:11" x14ac:dyDescent="0.25">
      <c r="A159" t="str">
        <f t="shared" ref="A159:A165" ca="1" si="86">A5</f>
        <v>Pedestrian</v>
      </c>
      <c r="B159" s="4">
        <f t="shared" ref="B159:H165" ca="1" si="87">B5+B16+B27+B38+B49+B60+B71+B82+B93+B104+B115+B126+B137+B148</f>
        <v>986.56972308989998</v>
      </c>
      <c r="C159" s="4">
        <f t="shared" ca="1" si="87"/>
        <v>1063.1803069788152</v>
      </c>
      <c r="D159" s="4">
        <f t="shared" ca="1" si="87"/>
        <v>1189.0397652173328</v>
      </c>
      <c r="E159" s="4">
        <f t="shared" ca="1" si="87"/>
        <v>1285.2333420151153</v>
      </c>
      <c r="F159" s="4">
        <f t="shared" ca="1" si="87"/>
        <v>1370.532501973229</v>
      </c>
      <c r="G159" s="4">
        <f t="shared" ca="1" si="87"/>
        <v>1447.8637593864378</v>
      </c>
      <c r="H159" s="4">
        <f t="shared" ca="1" si="87"/>
        <v>1519.1156330099152</v>
      </c>
      <c r="I159" s="1">
        <f t="shared" ref="I159:K159" ca="1" si="88">I5+I16+I27+I38+I49+I60+I71+I82+I93+I104+I115+I126+I137+I148</f>
        <v>1555.8572590828123</v>
      </c>
      <c r="J159" s="1">
        <f t="shared" ca="1" si="88"/>
        <v>1588.6249469832298</v>
      </c>
      <c r="K159" s="1">
        <f t="shared" ca="1" si="88"/>
        <v>1618.670899400593</v>
      </c>
    </row>
    <row r="160" spans="1:11" x14ac:dyDescent="0.25">
      <c r="A160" t="str">
        <f t="shared" ca="1" si="86"/>
        <v>Cyclist</v>
      </c>
      <c r="B160" s="4">
        <f t="shared" ca="1" si="87"/>
        <v>71.074316198400012</v>
      </c>
      <c r="C160" s="4">
        <f t="shared" ca="1" si="87"/>
        <v>75.82713840852125</v>
      </c>
      <c r="D160" s="4">
        <f t="shared" ca="1" si="87"/>
        <v>118.59034029504889</v>
      </c>
      <c r="E160" s="4">
        <f t="shared" ca="1" si="87"/>
        <v>152.37591978153424</v>
      </c>
      <c r="F160" s="4">
        <f t="shared" ca="1" si="87"/>
        <v>185.95711965515778</v>
      </c>
      <c r="G160" s="4">
        <f t="shared" ca="1" si="87"/>
        <v>218.83073181310169</v>
      </c>
      <c r="H160" s="4">
        <f t="shared" ca="1" si="87"/>
        <v>251.45936647070764</v>
      </c>
      <c r="I160" s="1">
        <f t="shared" ref="I160:K160" ca="1" si="89">I6+I17+I28+I39+I50+I61+I72+I83+I94+I105+I116+I127+I138+I149</f>
        <v>258.30710265146877</v>
      </c>
      <c r="J160" s="1">
        <f t="shared" ca="1" si="89"/>
        <v>264.39157728657659</v>
      </c>
      <c r="K160" s="1">
        <f t="shared" ca="1" si="89"/>
        <v>269.84549517974062</v>
      </c>
    </row>
    <row r="161" spans="1:11" x14ac:dyDescent="0.25">
      <c r="A161" t="str">
        <f t="shared" ca="1" si="86"/>
        <v>Light Vehicle Driver</v>
      </c>
      <c r="B161" s="4">
        <f t="shared" ca="1" si="87"/>
        <v>3093.3887589700003</v>
      </c>
      <c r="C161" s="4">
        <f t="shared" ca="1" si="87"/>
        <v>3415.1299522196123</v>
      </c>
      <c r="D161" s="4">
        <f t="shared" ca="1" si="87"/>
        <v>3250.0271496974274</v>
      </c>
      <c r="E161" s="4">
        <f t="shared" ca="1" si="87"/>
        <v>2987.1504579488851</v>
      </c>
      <c r="F161" s="4">
        <f t="shared" ca="1" si="87"/>
        <v>2702.6953994443061</v>
      </c>
      <c r="G161" s="4">
        <f t="shared" ca="1" si="87"/>
        <v>2391.1795092448847</v>
      </c>
      <c r="H161" s="4">
        <f t="shared" ca="1" si="87"/>
        <v>2063.298711309802</v>
      </c>
      <c r="I161" s="1">
        <f t="shared" ref="I161:K161" ca="1" si="90">I7+I18+I29+I40+I51+I62+I73+I84+I95+I106+I117+I128+I139+I150</f>
        <v>1740.1864288739048</v>
      </c>
      <c r="J161" s="1">
        <f t="shared" ca="1" si="90"/>
        <v>1407.303648257076</v>
      </c>
      <c r="K161" s="1">
        <f t="shared" ca="1" si="90"/>
        <v>1423.6678680709845</v>
      </c>
    </row>
    <row r="162" spans="1:11" x14ac:dyDescent="0.25">
      <c r="A162" t="str">
        <f t="shared" ca="1" si="86"/>
        <v>Light Vehicle Passenger</v>
      </c>
      <c r="B162" s="4">
        <f t="shared" ca="1" si="87"/>
        <v>1512.9377645670002</v>
      </c>
      <c r="C162" s="4">
        <f t="shared" ca="1" si="87"/>
        <v>1589.0153679776536</v>
      </c>
      <c r="D162" s="4">
        <f t="shared" ca="1" si="87"/>
        <v>1670.4432310183342</v>
      </c>
      <c r="E162" s="4">
        <f t="shared" ca="1" si="87"/>
        <v>1517.742731137474</v>
      </c>
      <c r="F162" s="4">
        <f t="shared" ca="1" si="87"/>
        <v>1357.6589946499448</v>
      </c>
      <c r="G162" s="4">
        <f t="shared" ca="1" si="87"/>
        <v>1183.6364317702969</v>
      </c>
      <c r="H162" s="4">
        <f t="shared" ca="1" si="87"/>
        <v>1005.1145525544497</v>
      </c>
      <c r="I162" s="1">
        <f t="shared" ref="I162:K162" ca="1" si="91">I8+I19+I30+I41+I52+I63+I74+I85+I96+I107+I118+I129+I140+I151</f>
        <v>859.63289770092774</v>
      </c>
      <c r="J162" s="1">
        <f t="shared" ca="1" si="91"/>
        <v>703.03913525077166</v>
      </c>
      <c r="K162" s="1">
        <f t="shared" ca="1" si="91"/>
        <v>716.30300300921897</v>
      </c>
    </row>
    <row r="163" spans="1:11" x14ac:dyDescent="0.25">
      <c r="A163" t="str">
        <f t="shared" ca="1" si="86"/>
        <v>Taxi/Vehicle Share</v>
      </c>
      <c r="B163" s="4">
        <f t="shared" ca="1" si="87"/>
        <v>15.600131729099999</v>
      </c>
      <c r="C163" s="4">
        <f t="shared" ca="1" si="87"/>
        <v>18.056729210767312</v>
      </c>
      <c r="D163" s="4">
        <f t="shared" ca="1" si="87"/>
        <v>19.882442428726726</v>
      </c>
      <c r="E163" s="4">
        <f t="shared" ca="1" si="87"/>
        <v>521.79915397579123</v>
      </c>
      <c r="F163" s="4">
        <f t="shared" ca="1" si="87"/>
        <v>1037.4925412462412</v>
      </c>
      <c r="G163" s="4">
        <f t="shared" ca="1" si="87"/>
        <v>1555.2776292910924</v>
      </c>
      <c r="H163" s="4">
        <f t="shared" ca="1" si="87"/>
        <v>2069.5662215577272</v>
      </c>
      <c r="I163" s="1">
        <f t="shared" ref="I163:K163" ca="1" si="92">I9+I20+I31+I42+I53+I64+I75+I86+I97+I108+I119+I130+I141+I152</f>
        <v>2624.3369583194049</v>
      </c>
      <c r="J163" s="1">
        <f t="shared" ca="1" si="92"/>
        <v>3190.5334051479581</v>
      </c>
      <c r="K163" s="1">
        <f t="shared" ca="1" si="92"/>
        <v>3235.4407283313772</v>
      </c>
    </row>
    <row r="164" spans="1:11" x14ac:dyDescent="0.25">
      <c r="A164" t="str">
        <f t="shared" ca="1" si="86"/>
        <v>Motorcyclist</v>
      </c>
      <c r="B164" s="4">
        <f t="shared" ca="1" si="87"/>
        <v>19.272283824500001</v>
      </c>
      <c r="C164" s="4">
        <f t="shared" ca="1" si="87"/>
        <v>20.697819890095847</v>
      </c>
      <c r="D164" s="4">
        <f t="shared" ca="1" si="87"/>
        <v>21.377427181956659</v>
      </c>
      <c r="E164" s="4">
        <f t="shared" ca="1" si="87"/>
        <v>21.849123200627066</v>
      </c>
      <c r="F164" s="4">
        <f t="shared" ca="1" si="87"/>
        <v>22.170463395444418</v>
      </c>
      <c r="G164" s="4">
        <f t="shared" ca="1" si="87"/>
        <v>22.078002588873346</v>
      </c>
      <c r="H164" s="4">
        <f t="shared" ca="1" si="87"/>
        <v>21.835297269051434</v>
      </c>
      <c r="I164" s="1">
        <f t="shared" ref="I164:K164" ca="1" si="93">I10+I21+I32+I43+I54+I65+I76+I87+I98+I109+I120+I131+I142+I153</f>
        <v>22.34592431367172</v>
      </c>
      <c r="J164" s="1">
        <f t="shared" ca="1" si="93"/>
        <v>22.803092209216238</v>
      </c>
      <c r="K164" s="1">
        <f t="shared" ca="1" si="93"/>
        <v>23.2270785639551</v>
      </c>
    </row>
    <row r="165" spans="1:11" x14ac:dyDescent="0.25">
      <c r="A165" t="str">
        <f t="shared" ca="1" si="86"/>
        <v>Local Train</v>
      </c>
      <c r="B165" s="4">
        <f t="shared" ca="1" si="87"/>
        <v>22.430707243099999</v>
      </c>
      <c r="C165" s="4">
        <f t="shared" ca="1" si="87"/>
        <v>36.157920432996576</v>
      </c>
      <c r="D165" s="4">
        <f t="shared" ca="1" si="87"/>
        <v>102.37081850111475</v>
      </c>
      <c r="E165" s="4">
        <f t="shared" ca="1" si="87"/>
        <v>128.44882465390458</v>
      </c>
      <c r="F165" s="4">
        <f t="shared" ca="1" si="87"/>
        <v>144.01626873678143</v>
      </c>
      <c r="G165" s="4">
        <f t="shared" ca="1" si="87"/>
        <v>156.05259128150155</v>
      </c>
      <c r="H165" s="4">
        <f t="shared" ca="1" si="87"/>
        <v>166.91706942309827</v>
      </c>
      <c r="I165" s="1">
        <f t="shared" ref="I165:K165" ca="1" si="94">I11+I22+I33+I44+I55+I66+I77+I88+I99+I110+I121+I132+I143+I154</f>
        <v>182.01153192532206</v>
      </c>
      <c r="J165" s="1">
        <f t="shared" ca="1" si="94"/>
        <v>196.66634837538294</v>
      </c>
      <c r="K165" s="1">
        <f t="shared" ca="1" si="94"/>
        <v>210.8011706023581</v>
      </c>
    </row>
    <row r="166" spans="1:11" x14ac:dyDescent="0.25">
      <c r="A166" t="s">
        <v>20</v>
      </c>
      <c r="B166" s="4">
        <f t="shared" ref="B166:H166" ca="1" si="95">B12+B23+B34+B45+B56+B67+B78+B89+B100+B111+B122+B133+B144+B155</f>
        <v>135.14312241190001</v>
      </c>
      <c r="C166" s="4">
        <f t="shared" ca="1" si="95"/>
        <v>145.67407478367679</v>
      </c>
      <c r="D166" s="4">
        <f t="shared" ca="1" si="95"/>
        <v>347.651036653414</v>
      </c>
      <c r="E166" s="4">
        <f t="shared" ca="1" si="95"/>
        <v>391.33802521045965</v>
      </c>
      <c r="F166" s="4">
        <f t="shared" ca="1" si="95"/>
        <v>427.37204591030525</v>
      </c>
      <c r="G166" s="4">
        <f t="shared" ca="1" si="95"/>
        <v>450.14716365578818</v>
      </c>
      <c r="H166" s="4">
        <f t="shared" ca="1" si="95"/>
        <v>469.27603427938533</v>
      </c>
      <c r="I166" s="1">
        <f t="shared" ref="I166:K166" ca="1" si="96">I12+I23+I34+I45+I56+I67+I78+I89+I100+I111+I122+I133+I144+I155</f>
        <v>503.2112669970856</v>
      </c>
      <c r="J166" s="1">
        <f t="shared" ca="1" si="96"/>
        <v>533.64205918735149</v>
      </c>
      <c r="K166" s="1">
        <f t="shared" ca="1" si="96"/>
        <v>559.08629442719689</v>
      </c>
    </row>
    <row r="167" spans="1:11" x14ac:dyDescent="0.25">
      <c r="A167" t="str">
        <f ca="1">A13</f>
        <v>Local Ferry</v>
      </c>
      <c r="B167" s="4">
        <f t="shared" ref="B167:H168" ca="1" si="97">B13+B24+B35+B46+B57+B68+B79+B90+B101+B112+B123+B134+B145+B156</f>
        <v>5.5972504476000005</v>
      </c>
      <c r="C167" s="4">
        <f t="shared" ca="1" si="97"/>
        <v>6.5216452366235735</v>
      </c>
      <c r="D167" s="4">
        <f t="shared" ca="1" si="97"/>
        <v>7.2365841337496732</v>
      </c>
      <c r="E167" s="4">
        <f t="shared" ca="1" si="97"/>
        <v>7.6894674905647395</v>
      </c>
      <c r="F167" s="4">
        <f t="shared" ca="1" si="97"/>
        <v>8.0223665651964211</v>
      </c>
      <c r="G167" s="4">
        <f t="shared" ca="1" si="97"/>
        <v>8.5035964753324418</v>
      </c>
      <c r="H167" s="4">
        <f t="shared" ca="1" si="97"/>
        <v>8.9121824817939128</v>
      </c>
      <c r="I167" s="1">
        <f t="shared" ref="I167:K167" ca="1" si="98">I13+I24+I35+I46+I57+I68+I79+I90+I101+I112+I123+I134+I145+I156</f>
        <v>9.1241554808521013</v>
      </c>
      <c r="J167" s="1">
        <f t="shared" ca="1" si="98"/>
        <v>9.3143502811450336</v>
      </c>
      <c r="K167" s="1">
        <f t="shared" ca="1" si="98"/>
        <v>9.4910243631964946</v>
      </c>
    </row>
    <row r="168" spans="1:11" x14ac:dyDescent="0.25">
      <c r="A168" t="str">
        <f ca="1">A14</f>
        <v>Other Household Travel</v>
      </c>
      <c r="B168" s="4">
        <f t="shared" ca="1" si="97"/>
        <v>10.3599389081</v>
      </c>
      <c r="C168" s="4">
        <f t="shared" ca="1" si="97"/>
        <v>11.273924468185211</v>
      </c>
      <c r="D168" s="4">
        <f t="shared" ca="1" si="97"/>
        <v>12.019793794549294</v>
      </c>
      <c r="E168" s="4">
        <f t="shared" ca="1" si="97"/>
        <v>12.580775351453861</v>
      </c>
      <c r="F168" s="4">
        <f t="shared" ca="1" si="97"/>
        <v>13.042280390353469</v>
      </c>
      <c r="G168" s="4">
        <f t="shared" ca="1" si="97"/>
        <v>13.39767404071422</v>
      </c>
      <c r="H168" s="4">
        <f t="shared" ca="1" si="97"/>
        <v>13.566206185604559</v>
      </c>
      <c r="I168" s="1">
        <f t="shared" ref="I168:K168" ca="1" si="99">I14+I25+I36+I47+I58+I69+I80+I91+I102+I113+I124+I135+I146+I157</f>
        <v>13.883457271582818</v>
      </c>
      <c r="J168" s="1">
        <f t="shared" ca="1" si="99"/>
        <v>14.167494344949635</v>
      </c>
      <c r="K168" s="1">
        <f t="shared" ca="1" si="99"/>
        <v>14.43091582428176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O96"/>
  <sheetViews>
    <sheetView tabSelected="1" topLeftCell="A45" workbookViewId="0">
      <pane xSplit="1" topLeftCell="D1" activePane="topRight" state="frozen"/>
      <selection pane="topRight" activeCell="O66" sqref="O66"/>
    </sheetView>
  </sheetViews>
  <sheetFormatPr defaultRowHeight="12.5" x14ac:dyDescent="0.25"/>
  <cols>
    <col min="1" max="1" width="49.36328125" customWidth="1"/>
    <col min="2" max="15" width="17.81640625" customWidth="1"/>
  </cols>
  <sheetData>
    <row r="2" spans="1:15" ht="13" thickBot="1" x14ac:dyDescent="0.3"/>
    <row r="3" spans="1:15" ht="16" thickTop="1" x14ac:dyDescent="0.35">
      <c r="A3" s="6" t="s">
        <v>57</v>
      </c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9"/>
    </row>
    <row r="4" spans="1:15" ht="13.5" thickBot="1" x14ac:dyDescent="0.35">
      <c r="A4" s="10"/>
      <c r="B4" s="11" t="s">
        <v>22</v>
      </c>
      <c r="C4" s="11" t="s">
        <v>23</v>
      </c>
      <c r="D4" s="11" t="s">
        <v>24</v>
      </c>
      <c r="E4" s="11" t="s">
        <v>118</v>
      </c>
      <c r="F4" s="11" t="s">
        <v>119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120</v>
      </c>
      <c r="N4" s="11" t="s">
        <v>121</v>
      </c>
      <c r="O4" s="12" t="s">
        <v>122</v>
      </c>
    </row>
    <row r="5" spans="1:15" ht="14" thickTop="1" thickBot="1" x14ac:dyDescent="0.35">
      <c r="A5" s="13"/>
      <c r="B5" s="14" t="s">
        <v>31</v>
      </c>
      <c r="C5" s="14" t="s">
        <v>31</v>
      </c>
      <c r="D5" s="14" t="s">
        <v>31</v>
      </c>
      <c r="E5" s="14" t="s">
        <v>31</v>
      </c>
      <c r="F5" s="14" t="s">
        <v>31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5" t="s">
        <v>32</v>
      </c>
    </row>
    <row r="6" spans="1:15" ht="16" thickTop="1" x14ac:dyDescent="0.35">
      <c r="A6" s="16" t="s">
        <v>33</v>
      </c>
      <c r="B6" s="17">
        <f>'[4]Other Assumptions'!D6</f>
        <v>0</v>
      </c>
      <c r="C6" s="18">
        <f>'[4]Other Assumptions'!E6</f>
        <v>0</v>
      </c>
      <c r="D6" s="18">
        <f>'[4]Other Assumptions'!F6</f>
        <v>0</v>
      </c>
      <c r="E6" s="18">
        <f>'[4]Other Assumptions'!G6</f>
        <v>0</v>
      </c>
      <c r="F6" s="18">
        <f>'[4]Other Assumptions'!H6</f>
        <v>0</v>
      </c>
      <c r="G6" s="36">
        <f>'[4]Other Assumptions'!I6</f>
        <v>0</v>
      </c>
      <c r="H6" s="36">
        <f>'[4]Other Assumptions'!J6</f>
        <v>0</v>
      </c>
      <c r="I6" s="36">
        <f>'[4]Other Assumptions'!K6</f>
        <v>0.1</v>
      </c>
      <c r="J6" s="36">
        <f>'[4]Other Assumptions'!L6</f>
        <v>0.2</v>
      </c>
      <c r="K6" s="36">
        <f>'[4]Other Assumptions'!M6</f>
        <v>0.3</v>
      </c>
      <c r="L6" s="36">
        <f>'[4]Other Assumptions'!N6</f>
        <v>0.4</v>
      </c>
      <c r="M6" s="36">
        <f>'[4]Other Assumptions'!O6</f>
        <v>0.5</v>
      </c>
      <c r="N6" s="36">
        <f>'[4]Other Assumptions'!P6</f>
        <v>0.6</v>
      </c>
      <c r="O6" s="36">
        <f>'[4]Other Assumptions'!Q6</f>
        <v>0.6</v>
      </c>
    </row>
    <row r="7" spans="1:15" ht="15.5" x14ac:dyDescent="0.35">
      <c r="A7" s="16" t="s">
        <v>34</v>
      </c>
      <c r="B7" s="19">
        <f>'[4]Other Assumptions'!D7</f>
        <v>0</v>
      </c>
      <c r="C7" s="20">
        <f>'[4]Other Assumptions'!E7</f>
        <v>0</v>
      </c>
      <c r="D7" s="20">
        <f>'[4]Other Assumptions'!F7</f>
        <v>0</v>
      </c>
      <c r="E7" s="20">
        <f>'[4]Other Assumptions'!G7</f>
        <v>0</v>
      </c>
      <c r="F7" s="20">
        <f>'[4]Other Assumptions'!H7</f>
        <v>0</v>
      </c>
      <c r="G7" s="40">
        <f>'[4]Other Assumptions'!I7</f>
        <v>0</v>
      </c>
      <c r="H7" s="40">
        <f>'[4]Other Assumptions'!J7</f>
        <v>0</v>
      </c>
      <c r="I7" s="40">
        <f>'[4]Other Assumptions'!K7</f>
        <v>0.1</v>
      </c>
      <c r="J7" s="40">
        <f>'[4]Other Assumptions'!L7</f>
        <v>0.2</v>
      </c>
      <c r="K7" s="40">
        <f>'[4]Other Assumptions'!M7</f>
        <v>0.3</v>
      </c>
      <c r="L7" s="40">
        <f>'[4]Other Assumptions'!N7</f>
        <v>0.4</v>
      </c>
      <c r="M7" s="40">
        <f>'[4]Other Assumptions'!O7</f>
        <v>0.5</v>
      </c>
      <c r="N7" s="40">
        <f>'[4]Other Assumptions'!P7</f>
        <v>0.6</v>
      </c>
      <c r="O7" s="41">
        <f>'[4]Other Assumptions'!Q7</f>
        <v>0.6</v>
      </c>
    </row>
    <row r="8" spans="1:15" ht="15.5" x14ac:dyDescent="0.35">
      <c r="A8" s="16" t="s">
        <v>35</v>
      </c>
      <c r="B8" s="19">
        <f>'[4]Other Assumptions'!D8</f>
        <v>0</v>
      </c>
      <c r="C8" s="20">
        <f>'[4]Other Assumptions'!E8</f>
        <v>0</v>
      </c>
      <c r="D8" s="20">
        <f>'[4]Other Assumptions'!F8</f>
        <v>0</v>
      </c>
      <c r="E8" s="20">
        <f>'[4]Other Assumptions'!G8</f>
        <v>0</v>
      </c>
      <c r="F8" s="20">
        <f>'[4]Other Assumptions'!H8</f>
        <v>0</v>
      </c>
      <c r="G8" s="40">
        <f>'[4]Other Assumptions'!I8</f>
        <v>0</v>
      </c>
      <c r="H8" s="40">
        <f>'[4]Other Assumptions'!J8</f>
        <v>0</v>
      </c>
      <c r="I8" s="40">
        <f>'[4]Other Assumptions'!K8</f>
        <v>0.1</v>
      </c>
      <c r="J8" s="40">
        <f>'[4]Other Assumptions'!L8</f>
        <v>0.2</v>
      </c>
      <c r="K8" s="40">
        <f>'[4]Other Assumptions'!M8</f>
        <v>0.3</v>
      </c>
      <c r="L8" s="40">
        <f>'[4]Other Assumptions'!N8</f>
        <v>0.4</v>
      </c>
      <c r="M8" s="40">
        <f>'[4]Other Assumptions'!O8</f>
        <v>0.5</v>
      </c>
      <c r="N8" s="40">
        <f>'[4]Other Assumptions'!P8</f>
        <v>0.6</v>
      </c>
      <c r="O8" s="41">
        <f>'[4]Other Assumptions'!Q8</f>
        <v>0.6</v>
      </c>
    </row>
    <row r="9" spans="1:15" ht="15.5" x14ac:dyDescent="0.35">
      <c r="A9" s="16" t="s">
        <v>36</v>
      </c>
      <c r="B9" s="19">
        <f>'[4]Other Assumptions'!D9</f>
        <v>0</v>
      </c>
      <c r="C9" s="20">
        <f>'[4]Other Assumptions'!E9</f>
        <v>0</v>
      </c>
      <c r="D9" s="20">
        <f>'[4]Other Assumptions'!F9</f>
        <v>0</v>
      </c>
      <c r="E9" s="20">
        <f>'[4]Other Assumptions'!G9</f>
        <v>0</v>
      </c>
      <c r="F9" s="20">
        <f>'[4]Other Assumptions'!H9</f>
        <v>0</v>
      </c>
      <c r="G9" s="40">
        <f>'[4]Other Assumptions'!I9</f>
        <v>0</v>
      </c>
      <c r="H9" s="40">
        <f>'[4]Other Assumptions'!J9</f>
        <v>0</v>
      </c>
      <c r="I9" s="40">
        <f>'[4]Other Assumptions'!K9</f>
        <v>0.1</v>
      </c>
      <c r="J9" s="40">
        <f>'[4]Other Assumptions'!L9</f>
        <v>0.2</v>
      </c>
      <c r="K9" s="40">
        <f>'[4]Other Assumptions'!M9</f>
        <v>0.3</v>
      </c>
      <c r="L9" s="40">
        <f>'[4]Other Assumptions'!N9</f>
        <v>0.4</v>
      </c>
      <c r="M9" s="40">
        <f>'[4]Other Assumptions'!O9</f>
        <v>0.5</v>
      </c>
      <c r="N9" s="40">
        <f>'[4]Other Assumptions'!P9</f>
        <v>0.6</v>
      </c>
      <c r="O9" s="41">
        <f>'[4]Other Assumptions'!Q9</f>
        <v>0.6</v>
      </c>
    </row>
    <row r="10" spans="1:15" ht="15.5" x14ac:dyDescent="0.35">
      <c r="A10" s="16" t="s">
        <v>37</v>
      </c>
      <c r="B10" s="19">
        <f>'[4]Other Assumptions'!D10</f>
        <v>0</v>
      </c>
      <c r="C10" s="20">
        <f>'[4]Other Assumptions'!E10</f>
        <v>0</v>
      </c>
      <c r="D10" s="20">
        <f>'[4]Other Assumptions'!F10</f>
        <v>0</v>
      </c>
      <c r="E10" s="20">
        <f>'[4]Other Assumptions'!G10</f>
        <v>0</v>
      </c>
      <c r="F10" s="20">
        <f>'[4]Other Assumptions'!H10</f>
        <v>0</v>
      </c>
      <c r="G10" s="40">
        <f>'[4]Other Assumptions'!I10</f>
        <v>0</v>
      </c>
      <c r="H10" s="40">
        <f>'[4]Other Assumptions'!J10</f>
        <v>0</v>
      </c>
      <c r="I10" s="40">
        <f>'[4]Other Assumptions'!K10</f>
        <v>0.1</v>
      </c>
      <c r="J10" s="40">
        <f>'[4]Other Assumptions'!L10</f>
        <v>0.2</v>
      </c>
      <c r="K10" s="40">
        <f>'[4]Other Assumptions'!M10</f>
        <v>0.3</v>
      </c>
      <c r="L10" s="40">
        <f>'[4]Other Assumptions'!N10</f>
        <v>0.4</v>
      </c>
      <c r="M10" s="40">
        <f>'[4]Other Assumptions'!O10</f>
        <v>0.5</v>
      </c>
      <c r="N10" s="40">
        <f>'[4]Other Assumptions'!P10</f>
        <v>0.6</v>
      </c>
      <c r="O10" s="41">
        <f>'[4]Other Assumptions'!Q10</f>
        <v>0.6</v>
      </c>
    </row>
    <row r="11" spans="1:15" ht="15.5" x14ac:dyDescent="0.35">
      <c r="A11" s="16" t="s">
        <v>38</v>
      </c>
      <c r="B11" s="19">
        <f>'[4]Other Assumptions'!D11</f>
        <v>0</v>
      </c>
      <c r="C11" s="20">
        <f>'[4]Other Assumptions'!E11</f>
        <v>0</v>
      </c>
      <c r="D11" s="20">
        <f>'[4]Other Assumptions'!F11</f>
        <v>0</v>
      </c>
      <c r="E11" s="20">
        <f>'[4]Other Assumptions'!G11</f>
        <v>0</v>
      </c>
      <c r="F11" s="20">
        <f>'[4]Other Assumptions'!H11</f>
        <v>0</v>
      </c>
      <c r="G11" s="40">
        <f>'[4]Other Assumptions'!I11</f>
        <v>0</v>
      </c>
      <c r="H11" s="40">
        <f>'[4]Other Assumptions'!J11</f>
        <v>0</v>
      </c>
      <c r="I11" s="40">
        <f>'[4]Other Assumptions'!K11</f>
        <v>0.1</v>
      </c>
      <c r="J11" s="40">
        <f>'[4]Other Assumptions'!L11</f>
        <v>0.2</v>
      </c>
      <c r="K11" s="40">
        <f>'[4]Other Assumptions'!M11</f>
        <v>0.3</v>
      </c>
      <c r="L11" s="40">
        <f>'[4]Other Assumptions'!N11</f>
        <v>0.4</v>
      </c>
      <c r="M11" s="40">
        <f>'[4]Other Assumptions'!O11</f>
        <v>0.5</v>
      </c>
      <c r="N11" s="40">
        <f>'[4]Other Assumptions'!P11</f>
        <v>0.6</v>
      </c>
      <c r="O11" s="41">
        <f>'[4]Other Assumptions'!Q11</f>
        <v>0.6</v>
      </c>
    </row>
    <row r="12" spans="1:15" ht="15.5" x14ac:dyDescent="0.35">
      <c r="A12" s="16" t="s">
        <v>39</v>
      </c>
      <c r="B12" s="19">
        <f>'[4]Other Assumptions'!D12</f>
        <v>0</v>
      </c>
      <c r="C12" s="20">
        <f>'[4]Other Assumptions'!E12</f>
        <v>0</v>
      </c>
      <c r="D12" s="20">
        <f>'[4]Other Assumptions'!F12</f>
        <v>0</v>
      </c>
      <c r="E12" s="20">
        <f>'[4]Other Assumptions'!G12</f>
        <v>0</v>
      </c>
      <c r="F12" s="20">
        <f>'[4]Other Assumptions'!H12</f>
        <v>0</v>
      </c>
      <c r="G12" s="40">
        <f>'[4]Other Assumptions'!I12</f>
        <v>0</v>
      </c>
      <c r="H12" s="40">
        <f>'[4]Other Assumptions'!J12</f>
        <v>0</v>
      </c>
      <c r="I12" s="40">
        <f>'[4]Other Assumptions'!K12</f>
        <v>0.1</v>
      </c>
      <c r="J12" s="40">
        <f>'[4]Other Assumptions'!L12</f>
        <v>0.2</v>
      </c>
      <c r="K12" s="40">
        <f>'[4]Other Assumptions'!M12</f>
        <v>0.3</v>
      </c>
      <c r="L12" s="40">
        <f>'[4]Other Assumptions'!N12</f>
        <v>0.4</v>
      </c>
      <c r="M12" s="40">
        <f>'[4]Other Assumptions'!O12</f>
        <v>0.5</v>
      </c>
      <c r="N12" s="40">
        <f>'[4]Other Assumptions'!P12</f>
        <v>0.6</v>
      </c>
      <c r="O12" s="41">
        <f>'[4]Other Assumptions'!Q12</f>
        <v>0.6</v>
      </c>
    </row>
    <row r="13" spans="1:15" ht="15.5" x14ac:dyDescent="0.35">
      <c r="A13" s="16" t="s">
        <v>40</v>
      </c>
      <c r="B13" s="19">
        <f>'[4]Other Assumptions'!D13</f>
        <v>0</v>
      </c>
      <c r="C13" s="20">
        <f>'[4]Other Assumptions'!E13</f>
        <v>0</v>
      </c>
      <c r="D13" s="20">
        <f>'[4]Other Assumptions'!F13</f>
        <v>0</v>
      </c>
      <c r="E13" s="20">
        <f>'[4]Other Assumptions'!G13</f>
        <v>0</v>
      </c>
      <c r="F13" s="20">
        <f>'[4]Other Assumptions'!H13</f>
        <v>0</v>
      </c>
      <c r="G13" s="40">
        <f>'[4]Other Assumptions'!I13</f>
        <v>0</v>
      </c>
      <c r="H13" s="40">
        <f>'[4]Other Assumptions'!J13</f>
        <v>0</v>
      </c>
      <c r="I13" s="40">
        <f>'[4]Other Assumptions'!K13</f>
        <v>0.1</v>
      </c>
      <c r="J13" s="40">
        <f>'[4]Other Assumptions'!L13</f>
        <v>0.2</v>
      </c>
      <c r="K13" s="40">
        <f>'[4]Other Assumptions'!M13</f>
        <v>0.3</v>
      </c>
      <c r="L13" s="40">
        <f>'[4]Other Assumptions'!N13</f>
        <v>0.4</v>
      </c>
      <c r="M13" s="40">
        <f>'[4]Other Assumptions'!O13</f>
        <v>0.5</v>
      </c>
      <c r="N13" s="40">
        <f>'[4]Other Assumptions'!P13</f>
        <v>0.6</v>
      </c>
      <c r="O13" s="41">
        <f>'[4]Other Assumptions'!Q13</f>
        <v>0.6</v>
      </c>
    </row>
    <row r="14" spans="1:15" ht="15.5" x14ac:dyDescent="0.35">
      <c r="A14" s="16" t="s">
        <v>41</v>
      </c>
      <c r="B14" s="19">
        <f>'[4]Other Assumptions'!D14</f>
        <v>0</v>
      </c>
      <c r="C14" s="20">
        <f>'[4]Other Assumptions'!E14</f>
        <v>0</v>
      </c>
      <c r="D14" s="20">
        <f>'[4]Other Assumptions'!F14</f>
        <v>0</v>
      </c>
      <c r="E14" s="20">
        <f>'[4]Other Assumptions'!G14</f>
        <v>0</v>
      </c>
      <c r="F14" s="20">
        <f>'[4]Other Assumptions'!H14</f>
        <v>0</v>
      </c>
      <c r="G14" s="40">
        <f>'[4]Other Assumptions'!I14</f>
        <v>0</v>
      </c>
      <c r="H14" s="40">
        <f>'[4]Other Assumptions'!J14</f>
        <v>0</v>
      </c>
      <c r="I14" s="40">
        <f>'[4]Other Assumptions'!K14</f>
        <v>0.1</v>
      </c>
      <c r="J14" s="40">
        <f>'[4]Other Assumptions'!L14</f>
        <v>0.2</v>
      </c>
      <c r="K14" s="40">
        <f>'[4]Other Assumptions'!M14</f>
        <v>0.3</v>
      </c>
      <c r="L14" s="40">
        <f>'[4]Other Assumptions'!N14</f>
        <v>0.4</v>
      </c>
      <c r="M14" s="40">
        <f>'[4]Other Assumptions'!O14</f>
        <v>0.5</v>
      </c>
      <c r="N14" s="40">
        <f>'[4]Other Assumptions'!P14</f>
        <v>0.6</v>
      </c>
      <c r="O14" s="41">
        <f>'[4]Other Assumptions'!Q14</f>
        <v>0.6</v>
      </c>
    </row>
    <row r="15" spans="1:15" ht="15.5" x14ac:dyDescent="0.35">
      <c r="A15" s="16" t="s">
        <v>42</v>
      </c>
      <c r="B15" s="19">
        <f>'[4]Other Assumptions'!D15</f>
        <v>0</v>
      </c>
      <c r="C15" s="20">
        <f>'[4]Other Assumptions'!E15</f>
        <v>0</v>
      </c>
      <c r="D15" s="20">
        <f>'[4]Other Assumptions'!F15</f>
        <v>0</v>
      </c>
      <c r="E15" s="20">
        <f>'[4]Other Assumptions'!G15</f>
        <v>0</v>
      </c>
      <c r="F15" s="20">
        <f>'[4]Other Assumptions'!H15</f>
        <v>0</v>
      </c>
      <c r="G15" s="40">
        <f>'[4]Other Assumptions'!I15</f>
        <v>0</v>
      </c>
      <c r="H15" s="40">
        <f>'[4]Other Assumptions'!J15</f>
        <v>0</v>
      </c>
      <c r="I15" s="40">
        <f>'[4]Other Assumptions'!K15</f>
        <v>0.1</v>
      </c>
      <c r="J15" s="40">
        <f>'[4]Other Assumptions'!L15</f>
        <v>0.2</v>
      </c>
      <c r="K15" s="40">
        <f>'[4]Other Assumptions'!M15</f>
        <v>0.3</v>
      </c>
      <c r="L15" s="40">
        <f>'[4]Other Assumptions'!N15</f>
        <v>0.4</v>
      </c>
      <c r="M15" s="40">
        <f>'[4]Other Assumptions'!O15</f>
        <v>0.5</v>
      </c>
      <c r="N15" s="40">
        <f>'[4]Other Assumptions'!P15</f>
        <v>0.6</v>
      </c>
      <c r="O15" s="41">
        <f>'[4]Other Assumptions'!Q15</f>
        <v>0.6</v>
      </c>
    </row>
    <row r="16" spans="1:15" ht="15.5" x14ac:dyDescent="0.35">
      <c r="A16" s="16" t="s">
        <v>43</v>
      </c>
      <c r="B16" s="19">
        <f>'[4]Other Assumptions'!D16</f>
        <v>0</v>
      </c>
      <c r="C16" s="20">
        <f>'[4]Other Assumptions'!E16</f>
        <v>0</v>
      </c>
      <c r="D16" s="20">
        <f>'[4]Other Assumptions'!F16</f>
        <v>0</v>
      </c>
      <c r="E16" s="20">
        <f>'[4]Other Assumptions'!G16</f>
        <v>0</v>
      </c>
      <c r="F16" s="20">
        <f>'[4]Other Assumptions'!H16</f>
        <v>0</v>
      </c>
      <c r="G16" s="40">
        <f>'[4]Other Assumptions'!I16</f>
        <v>0</v>
      </c>
      <c r="H16" s="40">
        <f>'[4]Other Assumptions'!J16</f>
        <v>0</v>
      </c>
      <c r="I16" s="40">
        <f>'[4]Other Assumptions'!K16</f>
        <v>0.1</v>
      </c>
      <c r="J16" s="40">
        <f>'[4]Other Assumptions'!L16</f>
        <v>0.2</v>
      </c>
      <c r="K16" s="40">
        <f>'[4]Other Assumptions'!M16</f>
        <v>0.3</v>
      </c>
      <c r="L16" s="40">
        <f>'[4]Other Assumptions'!N16</f>
        <v>0.4</v>
      </c>
      <c r="M16" s="40">
        <f>'[4]Other Assumptions'!O16</f>
        <v>0.5</v>
      </c>
      <c r="N16" s="40">
        <f>'[4]Other Assumptions'!P16</f>
        <v>0.6</v>
      </c>
      <c r="O16" s="41">
        <f>'[4]Other Assumptions'!Q16</f>
        <v>0.6</v>
      </c>
    </row>
    <row r="17" spans="1:15" ht="15.5" x14ac:dyDescent="0.35">
      <c r="A17" s="16" t="s">
        <v>44</v>
      </c>
      <c r="B17" s="19">
        <f>'[4]Other Assumptions'!D17</f>
        <v>0</v>
      </c>
      <c r="C17" s="20">
        <f>'[4]Other Assumptions'!E17</f>
        <v>0</v>
      </c>
      <c r="D17" s="20">
        <f>'[4]Other Assumptions'!F17</f>
        <v>0</v>
      </c>
      <c r="E17" s="20">
        <f>'[4]Other Assumptions'!G17</f>
        <v>0</v>
      </c>
      <c r="F17" s="20">
        <f>'[4]Other Assumptions'!H17</f>
        <v>0</v>
      </c>
      <c r="G17" s="40">
        <f>'[4]Other Assumptions'!I17</f>
        <v>0</v>
      </c>
      <c r="H17" s="40">
        <f>'[4]Other Assumptions'!J17</f>
        <v>0</v>
      </c>
      <c r="I17" s="40">
        <f>'[4]Other Assumptions'!K17</f>
        <v>0.1</v>
      </c>
      <c r="J17" s="40">
        <f>'[4]Other Assumptions'!L17</f>
        <v>0.2</v>
      </c>
      <c r="K17" s="40">
        <f>'[4]Other Assumptions'!M17</f>
        <v>0.3</v>
      </c>
      <c r="L17" s="40">
        <f>'[4]Other Assumptions'!N17</f>
        <v>0.4</v>
      </c>
      <c r="M17" s="40">
        <f>'[4]Other Assumptions'!O17</f>
        <v>0.5</v>
      </c>
      <c r="N17" s="40">
        <f>'[4]Other Assumptions'!P17</f>
        <v>0.6</v>
      </c>
      <c r="O17" s="41">
        <f>'[4]Other Assumptions'!Q17</f>
        <v>0.6</v>
      </c>
    </row>
    <row r="18" spans="1:15" ht="15.5" x14ac:dyDescent="0.35">
      <c r="A18" s="16" t="s">
        <v>45</v>
      </c>
      <c r="B18" s="19">
        <f>'[4]Other Assumptions'!D18</f>
        <v>0</v>
      </c>
      <c r="C18" s="20">
        <f>'[4]Other Assumptions'!E18</f>
        <v>0</v>
      </c>
      <c r="D18" s="20">
        <f>'[4]Other Assumptions'!F18</f>
        <v>0</v>
      </c>
      <c r="E18" s="20">
        <f>'[4]Other Assumptions'!G18</f>
        <v>0</v>
      </c>
      <c r="F18" s="20">
        <f>'[4]Other Assumptions'!H18</f>
        <v>0</v>
      </c>
      <c r="G18" s="40">
        <f>'[4]Other Assumptions'!I18</f>
        <v>0</v>
      </c>
      <c r="H18" s="40">
        <f>'[4]Other Assumptions'!J18</f>
        <v>0</v>
      </c>
      <c r="I18" s="40">
        <f>'[4]Other Assumptions'!K18</f>
        <v>0.1</v>
      </c>
      <c r="J18" s="40">
        <f>'[4]Other Assumptions'!L18</f>
        <v>0.2</v>
      </c>
      <c r="K18" s="40">
        <f>'[4]Other Assumptions'!M18</f>
        <v>0.3</v>
      </c>
      <c r="L18" s="40">
        <f>'[4]Other Assumptions'!N18</f>
        <v>0.4</v>
      </c>
      <c r="M18" s="40">
        <f>'[4]Other Assumptions'!O18</f>
        <v>0.5</v>
      </c>
      <c r="N18" s="40">
        <f>'[4]Other Assumptions'!P18</f>
        <v>0.6</v>
      </c>
      <c r="O18" s="41">
        <f>'[4]Other Assumptions'!Q18</f>
        <v>0.6</v>
      </c>
    </row>
    <row r="19" spans="1:15" ht="16" thickBot="1" x14ac:dyDescent="0.4">
      <c r="A19" s="23" t="s">
        <v>46</v>
      </c>
      <c r="B19" s="24">
        <f>'[4]Other Assumptions'!D19</f>
        <v>0</v>
      </c>
      <c r="C19" s="25">
        <f>'[4]Other Assumptions'!E19</f>
        <v>0</v>
      </c>
      <c r="D19" s="25">
        <f>'[4]Other Assumptions'!F19</f>
        <v>0</v>
      </c>
      <c r="E19" s="25">
        <f>'[4]Other Assumptions'!G19</f>
        <v>0</v>
      </c>
      <c r="F19" s="25">
        <f>'[4]Other Assumptions'!H19</f>
        <v>0</v>
      </c>
      <c r="G19" s="53">
        <f>'[4]Other Assumptions'!I19</f>
        <v>0</v>
      </c>
      <c r="H19" s="53">
        <f>'[4]Other Assumptions'!J19</f>
        <v>0</v>
      </c>
      <c r="I19" s="53">
        <f>'[4]Other Assumptions'!K19</f>
        <v>0.1</v>
      </c>
      <c r="J19" s="53">
        <f>'[4]Other Assumptions'!L19</f>
        <v>0.2</v>
      </c>
      <c r="K19" s="53">
        <f>'[4]Other Assumptions'!M19</f>
        <v>0.3</v>
      </c>
      <c r="L19" s="53">
        <f>'[4]Other Assumptions'!N19</f>
        <v>0.4</v>
      </c>
      <c r="M19" s="53">
        <f>'[4]Other Assumptions'!O19</f>
        <v>0.5</v>
      </c>
      <c r="N19" s="53">
        <f>'[4]Other Assumptions'!P19</f>
        <v>0.6</v>
      </c>
      <c r="O19" s="54">
        <f>'[4]Other Assumptions'!Q19</f>
        <v>0.6</v>
      </c>
    </row>
    <row r="20" spans="1:15" ht="13" thickTop="1" x14ac:dyDescent="0.25"/>
    <row r="21" spans="1:15" ht="13" thickBot="1" x14ac:dyDescent="0.3"/>
    <row r="22" spans="1:15" ht="16" thickTop="1" x14ac:dyDescent="0.35">
      <c r="A22" s="6" t="s">
        <v>58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9"/>
    </row>
    <row r="23" spans="1:15" ht="13.5" thickBot="1" x14ac:dyDescent="0.35">
      <c r="A23" s="10"/>
      <c r="B23" s="11" t="s">
        <v>22</v>
      </c>
      <c r="C23" s="11" t="s">
        <v>23</v>
      </c>
      <c r="D23" s="11" t="s">
        <v>24</v>
      </c>
      <c r="E23" s="11" t="s">
        <v>118</v>
      </c>
      <c r="F23" s="11" t="s">
        <v>119</v>
      </c>
      <c r="G23" s="11" t="s">
        <v>25</v>
      </c>
      <c r="H23" s="11" t="s">
        <v>26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120</v>
      </c>
      <c r="N23" s="11" t="s">
        <v>121</v>
      </c>
      <c r="O23" s="12" t="s">
        <v>122</v>
      </c>
    </row>
    <row r="24" spans="1:15" ht="14" thickTop="1" thickBot="1" x14ac:dyDescent="0.35">
      <c r="A24" s="13"/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5" t="s">
        <v>32</v>
      </c>
    </row>
    <row r="25" spans="1:15" ht="16" thickTop="1" x14ac:dyDescent="0.35">
      <c r="A25" s="16" t="s">
        <v>33</v>
      </c>
      <c r="B25" s="17">
        <f>'[4]Other Assumptions'!D25</f>
        <v>0</v>
      </c>
      <c r="C25" s="18">
        <f>'[4]Other Assumptions'!E25</f>
        <v>0</v>
      </c>
      <c r="D25" s="18">
        <f>'[4]Other Assumptions'!F25</f>
        <v>0</v>
      </c>
      <c r="E25" s="18">
        <f>'[4]Other Assumptions'!G25</f>
        <v>0</v>
      </c>
      <c r="F25" s="18">
        <f>'[4]Other Assumptions'!H25</f>
        <v>0</v>
      </c>
      <c r="G25" s="36">
        <f>'[4]Other Assumptions'!I25</f>
        <v>0</v>
      </c>
      <c r="H25" s="36">
        <f>'[4]Other Assumptions'!J25</f>
        <v>0</v>
      </c>
      <c r="I25" s="36">
        <f>'[4]Other Assumptions'!K25</f>
        <v>0</v>
      </c>
      <c r="J25" s="36">
        <f>'[4]Other Assumptions'!L25</f>
        <v>0</v>
      </c>
      <c r="K25" s="36">
        <f>'[4]Other Assumptions'!M25</f>
        <v>0</v>
      </c>
      <c r="L25" s="36">
        <f>'[4]Other Assumptions'!N25</f>
        <v>0</v>
      </c>
      <c r="M25" s="36">
        <f>'[4]Other Assumptions'!O25</f>
        <v>0</v>
      </c>
      <c r="N25" s="36">
        <f>'[4]Other Assumptions'!P25</f>
        <v>0</v>
      </c>
      <c r="O25" s="37">
        <f>'[4]Other Assumptions'!Q25</f>
        <v>0</v>
      </c>
    </row>
    <row r="26" spans="1:15" ht="15.5" x14ac:dyDescent="0.35">
      <c r="A26" s="16" t="s">
        <v>34</v>
      </c>
      <c r="B26" s="19">
        <f>'[4]Other Assumptions'!D26</f>
        <v>0</v>
      </c>
      <c r="C26" s="20">
        <f>'[4]Other Assumptions'!E26</f>
        <v>0</v>
      </c>
      <c r="D26" s="20">
        <f>'[4]Other Assumptions'!F26</f>
        <v>0</v>
      </c>
      <c r="E26" s="20">
        <f>'[4]Other Assumptions'!G26</f>
        <v>0</v>
      </c>
      <c r="F26" s="20">
        <f>'[4]Other Assumptions'!H26</f>
        <v>0</v>
      </c>
      <c r="G26" s="40">
        <f>'[4]Other Assumptions'!I26</f>
        <v>0</v>
      </c>
      <c r="H26" s="40">
        <f>'[4]Other Assumptions'!J26</f>
        <v>0</v>
      </c>
      <c r="I26" s="40">
        <f>'[4]Other Assumptions'!K26</f>
        <v>0</v>
      </c>
      <c r="J26" s="40">
        <f>'[4]Other Assumptions'!L26</f>
        <v>0</v>
      </c>
      <c r="K26" s="40">
        <f>'[4]Other Assumptions'!M26</f>
        <v>0</v>
      </c>
      <c r="L26" s="40">
        <f>'[4]Other Assumptions'!N26</f>
        <v>0</v>
      </c>
      <c r="M26" s="40">
        <f>'[4]Other Assumptions'!O26</f>
        <v>0</v>
      </c>
      <c r="N26" s="40">
        <f>'[4]Other Assumptions'!P26</f>
        <v>0</v>
      </c>
      <c r="O26" s="41">
        <f>'[4]Other Assumptions'!Q26</f>
        <v>0</v>
      </c>
    </row>
    <row r="27" spans="1:15" ht="15.5" x14ac:dyDescent="0.35">
      <c r="A27" s="16" t="s">
        <v>35</v>
      </c>
      <c r="B27" s="19">
        <f>'[4]Other Assumptions'!D27</f>
        <v>0</v>
      </c>
      <c r="C27" s="20">
        <f>'[4]Other Assumptions'!E27</f>
        <v>0</v>
      </c>
      <c r="D27" s="20">
        <f>'[4]Other Assumptions'!F27</f>
        <v>0</v>
      </c>
      <c r="E27" s="20">
        <f>'[4]Other Assumptions'!G27</f>
        <v>0</v>
      </c>
      <c r="F27" s="20">
        <f>'[4]Other Assumptions'!H27</f>
        <v>0</v>
      </c>
      <c r="G27" s="40">
        <f>'[4]Other Assumptions'!I27</f>
        <v>0</v>
      </c>
      <c r="H27" s="40">
        <f>'[4]Other Assumptions'!J27</f>
        <v>0</v>
      </c>
      <c r="I27" s="40">
        <f>'[4]Other Assumptions'!K27</f>
        <v>0</v>
      </c>
      <c r="J27" s="40">
        <f>'[4]Other Assumptions'!L27</f>
        <v>0</v>
      </c>
      <c r="K27" s="40">
        <f>'[4]Other Assumptions'!M27</f>
        <v>0</v>
      </c>
      <c r="L27" s="40">
        <f>'[4]Other Assumptions'!N27</f>
        <v>0</v>
      </c>
      <c r="M27" s="40">
        <f>'[4]Other Assumptions'!O27</f>
        <v>0</v>
      </c>
      <c r="N27" s="40">
        <f>'[4]Other Assumptions'!P27</f>
        <v>0</v>
      </c>
      <c r="O27" s="41">
        <f>'[4]Other Assumptions'!Q27</f>
        <v>0</v>
      </c>
    </row>
    <row r="28" spans="1:15" ht="15.5" x14ac:dyDescent="0.35">
      <c r="A28" s="16" t="s">
        <v>36</v>
      </c>
      <c r="B28" s="19">
        <f>'[4]Other Assumptions'!D28</f>
        <v>0</v>
      </c>
      <c r="C28" s="20">
        <f>'[4]Other Assumptions'!E28</f>
        <v>0</v>
      </c>
      <c r="D28" s="20">
        <f>'[4]Other Assumptions'!F28</f>
        <v>0</v>
      </c>
      <c r="E28" s="20">
        <f>'[4]Other Assumptions'!G28</f>
        <v>0</v>
      </c>
      <c r="F28" s="20">
        <f>'[4]Other Assumptions'!H28</f>
        <v>0</v>
      </c>
      <c r="G28" s="40">
        <f>'[4]Other Assumptions'!I28</f>
        <v>0</v>
      </c>
      <c r="H28" s="40">
        <f>'[4]Other Assumptions'!J28</f>
        <v>0</v>
      </c>
      <c r="I28" s="40">
        <f>'[4]Other Assumptions'!K28</f>
        <v>0</v>
      </c>
      <c r="J28" s="40">
        <f>'[4]Other Assumptions'!L28</f>
        <v>0</v>
      </c>
      <c r="K28" s="40">
        <f>'[4]Other Assumptions'!M28</f>
        <v>0</v>
      </c>
      <c r="L28" s="40">
        <f>'[4]Other Assumptions'!N28</f>
        <v>0</v>
      </c>
      <c r="M28" s="40">
        <f>'[4]Other Assumptions'!O28</f>
        <v>0</v>
      </c>
      <c r="N28" s="40">
        <f>'[4]Other Assumptions'!P28</f>
        <v>0</v>
      </c>
      <c r="O28" s="41">
        <f>'[4]Other Assumptions'!Q28</f>
        <v>0</v>
      </c>
    </row>
    <row r="29" spans="1:15" ht="15.5" x14ac:dyDescent="0.35">
      <c r="A29" s="16" t="s">
        <v>37</v>
      </c>
      <c r="B29" s="19">
        <f>'[4]Other Assumptions'!D29</f>
        <v>0</v>
      </c>
      <c r="C29" s="20">
        <f>'[4]Other Assumptions'!E29</f>
        <v>0</v>
      </c>
      <c r="D29" s="20">
        <f>'[4]Other Assumptions'!F29</f>
        <v>0</v>
      </c>
      <c r="E29" s="20">
        <f>'[4]Other Assumptions'!G29</f>
        <v>0</v>
      </c>
      <c r="F29" s="20">
        <f>'[4]Other Assumptions'!H29</f>
        <v>0</v>
      </c>
      <c r="G29" s="40">
        <f>'[4]Other Assumptions'!I29</f>
        <v>0</v>
      </c>
      <c r="H29" s="40">
        <f>'[4]Other Assumptions'!J29</f>
        <v>0</v>
      </c>
      <c r="I29" s="40">
        <f>'[4]Other Assumptions'!K29</f>
        <v>0</v>
      </c>
      <c r="J29" s="40">
        <f>'[4]Other Assumptions'!L29</f>
        <v>0</v>
      </c>
      <c r="K29" s="40">
        <f>'[4]Other Assumptions'!M29</f>
        <v>0</v>
      </c>
      <c r="L29" s="40">
        <f>'[4]Other Assumptions'!N29</f>
        <v>0</v>
      </c>
      <c r="M29" s="40">
        <f>'[4]Other Assumptions'!O29</f>
        <v>0</v>
      </c>
      <c r="N29" s="40">
        <f>'[4]Other Assumptions'!P29</f>
        <v>0</v>
      </c>
      <c r="O29" s="41">
        <f>'[4]Other Assumptions'!Q29</f>
        <v>0</v>
      </c>
    </row>
    <row r="30" spans="1:15" ht="15.5" x14ac:dyDescent="0.35">
      <c r="A30" s="16" t="s">
        <v>38</v>
      </c>
      <c r="B30" s="19">
        <f>'[4]Other Assumptions'!D30</f>
        <v>0</v>
      </c>
      <c r="C30" s="20">
        <f>'[4]Other Assumptions'!E30</f>
        <v>0</v>
      </c>
      <c r="D30" s="20">
        <f>'[4]Other Assumptions'!F30</f>
        <v>0</v>
      </c>
      <c r="E30" s="20">
        <f>'[4]Other Assumptions'!G30</f>
        <v>0</v>
      </c>
      <c r="F30" s="20">
        <f>'[4]Other Assumptions'!H30</f>
        <v>0</v>
      </c>
      <c r="G30" s="40">
        <f>'[4]Other Assumptions'!I30</f>
        <v>0</v>
      </c>
      <c r="H30" s="40">
        <f>'[4]Other Assumptions'!J30</f>
        <v>0</v>
      </c>
      <c r="I30" s="40">
        <f>'[4]Other Assumptions'!K30</f>
        <v>0</v>
      </c>
      <c r="J30" s="40">
        <f>'[4]Other Assumptions'!L30</f>
        <v>0</v>
      </c>
      <c r="K30" s="40">
        <f>'[4]Other Assumptions'!M30</f>
        <v>0</v>
      </c>
      <c r="L30" s="40">
        <f>'[4]Other Assumptions'!N30</f>
        <v>0</v>
      </c>
      <c r="M30" s="40">
        <f>'[4]Other Assumptions'!O30</f>
        <v>0</v>
      </c>
      <c r="N30" s="40">
        <f>'[4]Other Assumptions'!P30</f>
        <v>0</v>
      </c>
      <c r="O30" s="41">
        <f>'[4]Other Assumptions'!Q30</f>
        <v>0</v>
      </c>
    </row>
    <row r="31" spans="1:15" ht="15.5" x14ac:dyDescent="0.35">
      <c r="A31" s="16" t="s">
        <v>39</v>
      </c>
      <c r="B31" s="19">
        <f>'[4]Other Assumptions'!D31</f>
        <v>0</v>
      </c>
      <c r="C31" s="20">
        <f>'[4]Other Assumptions'!E31</f>
        <v>0</v>
      </c>
      <c r="D31" s="20">
        <f>'[4]Other Assumptions'!F31</f>
        <v>0</v>
      </c>
      <c r="E31" s="20">
        <f>'[4]Other Assumptions'!G31</f>
        <v>0</v>
      </c>
      <c r="F31" s="20">
        <f>'[4]Other Assumptions'!H31</f>
        <v>0</v>
      </c>
      <c r="G31" s="40">
        <f>'[4]Other Assumptions'!I31</f>
        <v>0</v>
      </c>
      <c r="H31" s="40">
        <f>'[4]Other Assumptions'!J31</f>
        <v>0</v>
      </c>
      <c r="I31" s="40">
        <f>'[4]Other Assumptions'!K31</f>
        <v>0</v>
      </c>
      <c r="J31" s="40">
        <f>'[4]Other Assumptions'!L31</f>
        <v>0</v>
      </c>
      <c r="K31" s="40">
        <f>'[4]Other Assumptions'!M31</f>
        <v>0</v>
      </c>
      <c r="L31" s="40">
        <f>'[4]Other Assumptions'!N31</f>
        <v>0</v>
      </c>
      <c r="M31" s="40">
        <f>'[4]Other Assumptions'!O31</f>
        <v>0</v>
      </c>
      <c r="N31" s="40">
        <f>'[4]Other Assumptions'!P31</f>
        <v>0</v>
      </c>
      <c r="O31" s="41">
        <f>'[4]Other Assumptions'!Q31</f>
        <v>0</v>
      </c>
    </row>
    <row r="32" spans="1:15" ht="15.5" x14ac:dyDescent="0.35">
      <c r="A32" s="16" t="s">
        <v>40</v>
      </c>
      <c r="B32" s="19">
        <f>'[4]Other Assumptions'!D32</f>
        <v>0</v>
      </c>
      <c r="C32" s="20">
        <f>'[4]Other Assumptions'!E32</f>
        <v>0</v>
      </c>
      <c r="D32" s="20">
        <f>'[4]Other Assumptions'!F32</f>
        <v>0</v>
      </c>
      <c r="E32" s="20">
        <f>'[4]Other Assumptions'!G32</f>
        <v>0</v>
      </c>
      <c r="F32" s="20">
        <f>'[4]Other Assumptions'!H32</f>
        <v>0</v>
      </c>
      <c r="G32" s="40">
        <f>'[4]Other Assumptions'!I32</f>
        <v>0</v>
      </c>
      <c r="H32" s="40">
        <f>'[4]Other Assumptions'!J32</f>
        <v>0</v>
      </c>
      <c r="I32" s="40">
        <f>'[4]Other Assumptions'!K32</f>
        <v>0</v>
      </c>
      <c r="J32" s="40">
        <f>'[4]Other Assumptions'!L32</f>
        <v>0</v>
      </c>
      <c r="K32" s="40">
        <f>'[4]Other Assumptions'!M32</f>
        <v>0</v>
      </c>
      <c r="L32" s="40">
        <f>'[4]Other Assumptions'!N32</f>
        <v>0</v>
      </c>
      <c r="M32" s="40">
        <f>'[4]Other Assumptions'!O32</f>
        <v>0</v>
      </c>
      <c r="N32" s="40">
        <f>'[4]Other Assumptions'!P32</f>
        <v>0</v>
      </c>
      <c r="O32" s="41">
        <f>'[4]Other Assumptions'!Q32</f>
        <v>0</v>
      </c>
    </row>
    <row r="33" spans="1:15" ht="15.5" x14ac:dyDescent="0.35">
      <c r="A33" s="16" t="s">
        <v>41</v>
      </c>
      <c r="B33" s="19">
        <f>'[4]Other Assumptions'!D33</f>
        <v>0</v>
      </c>
      <c r="C33" s="20">
        <f>'[4]Other Assumptions'!E33</f>
        <v>0</v>
      </c>
      <c r="D33" s="20">
        <f>'[4]Other Assumptions'!F33</f>
        <v>0</v>
      </c>
      <c r="E33" s="20">
        <f>'[4]Other Assumptions'!G33</f>
        <v>0</v>
      </c>
      <c r="F33" s="20">
        <f>'[4]Other Assumptions'!H33</f>
        <v>0</v>
      </c>
      <c r="G33" s="40">
        <f>'[4]Other Assumptions'!I33</f>
        <v>0</v>
      </c>
      <c r="H33" s="40">
        <f>'[4]Other Assumptions'!J33</f>
        <v>0</v>
      </c>
      <c r="I33" s="40">
        <f>'[4]Other Assumptions'!K33</f>
        <v>0</v>
      </c>
      <c r="J33" s="40">
        <f>'[4]Other Assumptions'!L33</f>
        <v>0</v>
      </c>
      <c r="K33" s="40">
        <f>'[4]Other Assumptions'!M33</f>
        <v>0</v>
      </c>
      <c r="L33" s="40">
        <f>'[4]Other Assumptions'!N33</f>
        <v>0</v>
      </c>
      <c r="M33" s="40">
        <f>'[4]Other Assumptions'!O33</f>
        <v>0</v>
      </c>
      <c r="N33" s="40">
        <f>'[4]Other Assumptions'!P33</f>
        <v>0</v>
      </c>
      <c r="O33" s="41">
        <f>'[4]Other Assumptions'!Q33</f>
        <v>0</v>
      </c>
    </row>
    <row r="34" spans="1:15" ht="15.5" x14ac:dyDescent="0.35">
      <c r="A34" s="16" t="s">
        <v>42</v>
      </c>
      <c r="B34" s="19">
        <f>'[4]Other Assumptions'!D34</f>
        <v>0</v>
      </c>
      <c r="C34" s="20">
        <f>'[4]Other Assumptions'!E34</f>
        <v>0</v>
      </c>
      <c r="D34" s="20">
        <f>'[4]Other Assumptions'!F34</f>
        <v>0</v>
      </c>
      <c r="E34" s="20">
        <f>'[4]Other Assumptions'!G34</f>
        <v>0</v>
      </c>
      <c r="F34" s="20">
        <f>'[4]Other Assumptions'!H34</f>
        <v>0</v>
      </c>
      <c r="G34" s="40">
        <f>'[4]Other Assumptions'!I34</f>
        <v>0</v>
      </c>
      <c r="H34" s="40">
        <f>'[4]Other Assumptions'!J34</f>
        <v>0</v>
      </c>
      <c r="I34" s="40">
        <f>'[4]Other Assumptions'!K34</f>
        <v>0</v>
      </c>
      <c r="J34" s="40">
        <f>'[4]Other Assumptions'!L34</f>
        <v>0</v>
      </c>
      <c r="K34" s="40">
        <f>'[4]Other Assumptions'!M34</f>
        <v>0</v>
      </c>
      <c r="L34" s="40">
        <f>'[4]Other Assumptions'!N34</f>
        <v>0</v>
      </c>
      <c r="M34" s="40">
        <f>'[4]Other Assumptions'!O34</f>
        <v>0</v>
      </c>
      <c r="N34" s="40">
        <f>'[4]Other Assumptions'!P34</f>
        <v>0</v>
      </c>
      <c r="O34" s="41">
        <f>'[4]Other Assumptions'!Q34</f>
        <v>0</v>
      </c>
    </row>
    <row r="35" spans="1:15" ht="15.5" x14ac:dyDescent="0.35">
      <c r="A35" s="16" t="s">
        <v>43</v>
      </c>
      <c r="B35" s="19">
        <f>'[4]Other Assumptions'!D35</f>
        <v>0</v>
      </c>
      <c r="C35" s="20">
        <f>'[4]Other Assumptions'!E35</f>
        <v>0</v>
      </c>
      <c r="D35" s="20">
        <f>'[4]Other Assumptions'!F35</f>
        <v>0</v>
      </c>
      <c r="E35" s="20">
        <f>'[4]Other Assumptions'!G35</f>
        <v>0</v>
      </c>
      <c r="F35" s="20">
        <f>'[4]Other Assumptions'!H35</f>
        <v>0</v>
      </c>
      <c r="G35" s="40">
        <f>'[4]Other Assumptions'!I35</f>
        <v>0</v>
      </c>
      <c r="H35" s="40">
        <f>'[4]Other Assumptions'!J35</f>
        <v>0</v>
      </c>
      <c r="I35" s="40">
        <f>'[4]Other Assumptions'!K35</f>
        <v>0</v>
      </c>
      <c r="J35" s="40">
        <f>'[4]Other Assumptions'!L35</f>
        <v>0</v>
      </c>
      <c r="K35" s="40">
        <f>'[4]Other Assumptions'!M35</f>
        <v>0</v>
      </c>
      <c r="L35" s="40">
        <f>'[4]Other Assumptions'!N35</f>
        <v>0</v>
      </c>
      <c r="M35" s="40">
        <f>'[4]Other Assumptions'!O35</f>
        <v>0</v>
      </c>
      <c r="N35" s="40">
        <f>'[4]Other Assumptions'!P35</f>
        <v>0</v>
      </c>
      <c r="O35" s="41">
        <f>'[4]Other Assumptions'!Q35</f>
        <v>0</v>
      </c>
    </row>
    <row r="36" spans="1:15" ht="15.5" x14ac:dyDescent="0.35">
      <c r="A36" s="16" t="s">
        <v>44</v>
      </c>
      <c r="B36" s="19">
        <f>'[4]Other Assumptions'!D36</f>
        <v>0</v>
      </c>
      <c r="C36" s="20">
        <f>'[4]Other Assumptions'!E36</f>
        <v>0</v>
      </c>
      <c r="D36" s="20">
        <f>'[4]Other Assumptions'!F36</f>
        <v>0</v>
      </c>
      <c r="E36" s="20">
        <f>'[4]Other Assumptions'!G36</f>
        <v>0</v>
      </c>
      <c r="F36" s="20">
        <f>'[4]Other Assumptions'!H36</f>
        <v>0</v>
      </c>
      <c r="G36" s="40">
        <f>'[4]Other Assumptions'!I36</f>
        <v>0</v>
      </c>
      <c r="H36" s="40">
        <f>'[4]Other Assumptions'!J36</f>
        <v>0</v>
      </c>
      <c r="I36" s="40">
        <f>'[4]Other Assumptions'!K36</f>
        <v>0</v>
      </c>
      <c r="J36" s="40">
        <f>'[4]Other Assumptions'!L36</f>
        <v>0</v>
      </c>
      <c r="K36" s="40">
        <f>'[4]Other Assumptions'!M36</f>
        <v>0</v>
      </c>
      <c r="L36" s="40">
        <f>'[4]Other Assumptions'!N36</f>
        <v>0</v>
      </c>
      <c r="M36" s="40">
        <f>'[4]Other Assumptions'!O36</f>
        <v>0</v>
      </c>
      <c r="N36" s="40">
        <f>'[4]Other Assumptions'!P36</f>
        <v>0</v>
      </c>
      <c r="O36" s="41">
        <f>'[4]Other Assumptions'!Q36</f>
        <v>0</v>
      </c>
    </row>
    <row r="37" spans="1:15" ht="15.5" x14ac:dyDescent="0.35">
      <c r="A37" s="16" t="s">
        <v>45</v>
      </c>
      <c r="B37" s="19">
        <f>'[4]Other Assumptions'!D37</f>
        <v>0</v>
      </c>
      <c r="C37" s="20">
        <f>'[4]Other Assumptions'!E37</f>
        <v>0</v>
      </c>
      <c r="D37" s="20">
        <f>'[4]Other Assumptions'!F37</f>
        <v>0</v>
      </c>
      <c r="E37" s="20">
        <f>'[4]Other Assumptions'!G37</f>
        <v>0</v>
      </c>
      <c r="F37" s="20">
        <f>'[4]Other Assumptions'!H37</f>
        <v>0</v>
      </c>
      <c r="G37" s="40">
        <f>'[4]Other Assumptions'!I37</f>
        <v>0</v>
      </c>
      <c r="H37" s="40">
        <f>'[4]Other Assumptions'!J37</f>
        <v>0</v>
      </c>
      <c r="I37" s="40">
        <f>'[4]Other Assumptions'!K37</f>
        <v>0</v>
      </c>
      <c r="J37" s="40">
        <f>'[4]Other Assumptions'!L37</f>
        <v>0</v>
      </c>
      <c r="K37" s="40">
        <f>'[4]Other Assumptions'!M37</f>
        <v>0</v>
      </c>
      <c r="L37" s="40">
        <f>'[4]Other Assumptions'!N37</f>
        <v>0</v>
      </c>
      <c r="M37" s="40">
        <f>'[4]Other Assumptions'!O37</f>
        <v>0</v>
      </c>
      <c r="N37" s="40">
        <f>'[4]Other Assumptions'!P37</f>
        <v>0</v>
      </c>
      <c r="O37" s="41">
        <f>'[4]Other Assumptions'!Q37</f>
        <v>0</v>
      </c>
    </row>
    <row r="38" spans="1:15" ht="16" thickBot="1" x14ac:dyDescent="0.4">
      <c r="A38" s="23" t="s">
        <v>46</v>
      </c>
      <c r="B38" s="24">
        <f>'[4]Other Assumptions'!D38</f>
        <v>0</v>
      </c>
      <c r="C38" s="25">
        <f>'[4]Other Assumptions'!E38</f>
        <v>0</v>
      </c>
      <c r="D38" s="25">
        <f>'[4]Other Assumptions'!F38</f>
        <v>0</v>
      </c>
      <c r="E38" s="25">
        <f>'[4]Other Assumptions'!G38</f>
        <v>0</v>
      </c>
      <c r="F38" s="25">
        <f>'[4]Other Assumptions'!H38</f>
        <v>0</v>
      </c>
      <c r="G38" s="53">
        <f>'[4]Other Assumptions'!I38</f>
        <v>0</v>
      </c>
      <c r="H38" s="53">
        <f>'[4]Other Assumptions'!J38</f>
        <v>0</v>
      </c>
      <c r="I38" s="53">
        <f>'[4]Other Assumptions'!K38</f>
        <v>0</v>
      </c>
      <c r="J38" s="53">
        <f>'[4]Other Assumptions'!L38</f>
        <v>0</v>
      </c>
      <c r="K38" s="53">
        <f>'[4]Other Assumptions'!M38</f>
        <v>0</v>
      </c>
      <c r="L38" s="53">
        <f>'[4]Other Assumptions'!N38</f>
        <v>0</v>
      </c>
      <c r="M38" s="53">
        <f>'[4]Other Assumptions'!O38</f>
        <v>0</v>
      </c>
      <c r="N38" s="53">
        <f>'[4]Other Assumptions'!P38</f>
        <v>0</v>
      </c>
      <c r="O38" s="54">
        <f>'[4]Other Assumptions'!Q38</f>
        <v>0</v>
      </c>
    </row>
    <row r="39" spans="1:15" ht="13" thickTop="1" x14ac:dyDescent="0.25"/>
    <row r="40" spans="1:15" ht="13" thickBot="1" x14ac:dyDescent="0.3"/>
    <row r="41" spans="1:15" ht="16" thickTop="1" x14ac:dyDescent="0.35">
      <c r="A41" s="6" t="s">
        <v>69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9"/>
    </row>
    <row r="42" spans="1:15" ht="13.5" thickBot="1" x14ac:dyDescent="0.35">
      <c r="A42" s="10"/>
      <c r="B42" s="11" t="s">
        <v>22</v>
      </c>
      <c r="C42" s="11" t="s">
        <v>23</v>
      </c>
      <c r="D42" s="11" t="s">
        <v>24</v>
      </c>
      <c r="E42" s="11" t="s">
        <v>118</v>
      </c>
      <c r="F42" s="11" t="s">
        <v>119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 t="s">
        <v>120</v>
      </c>
      <c r="N42" s="11" t="s">
        <v>121</v>
      </c>
      <c r="O42" s="12" t="s">
        <v>122</v>
      </c>
    </row>
    <row r="43" spans="1:15" ht="14" thickTop="1" thickBot="1" x14ac:dyDescent="0.35">
      <c r="A43" s="13"/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5" t="s">
        <v>32</v>
      </c>
    </row>
    <row r="44" spans="1:15" ht="16" thickTop="1" x14ac:dyDescent="0.35">
      <c r="A44" s="16" t="s">
        <v>33</v>
      </c>
      <c r="B44" s="17">
        <f>'[4]Other Assumptions'!D82</f>
        <v>0</v>
      </c>
      <c r="C44" s="18">
        <f>'[4]Other Assumptions'!E82</f>
        <v>0</v>
      </c>
      <c r="D44" s="18">
        <f>'[4]Other Assumptions'!F82</f>
        <v>0</v>
      </c>
      <c r="E44" s="18">
        <f>'[4]Other Assumptions'!G82</f>
        <v>0</v>
      </c>
      <c r="F44" s="18">
        <f>'[4]Other Assumptions'!H82</f>
        <v>0</v>
      </c>
      <c r="G44" s="36">
        <f>'[4]Other Assumptions'!I44</f>
        <v>0</v>
      </c>
      <c r="H44" s="36">
        <f>'[4]Other Assumptions'!J44</f>
        <v>0</v>
      </c>
      <c r="I44" s="36">
        <f>'[4]Other Assumptions'!K44</f>
        <v>0</v>
      </c>
      <c r="J44" s="36">
        <f>'[4]Other Assumptions'!L44</f>
        <v>0</v>
      </c>
      <c r="K44" s="36">
        <f>'[4]Other Assumptions'!M44</f>
        <v>0</v>
      </c>
      <c r="L44" s="36">
        <f>'[4]Other Assumptions'!N44</f>
        <v>0</v>
      </c>
      <c r="M44" s="36">
        <f>'[4]Other Assumptions'!O44</f>
        <v>0</v>
      </c>
      <c r="N44" s="36">
        <f>'[4]Other Assumptions'!P44</f>
        <v>0</v>
      </c>
      <c r="O44" s="37">
        <f>'[4]Other Assumptions'!Q44</f>
        <v>0</v>
      </c>
    </row>
    <row r="45" spans="1:15" ht="15.5" x14ac:dyDescent="0.35">
      <c r="A45" s="16" t="s">
        <v>34</v>
      </c>
      <c r="B45" s="19">
        <f>'[4]Other Assumptions'!D83</f>
        <v>0</v>
      </c>
      <c r="C45" s="20">
        <f>'[4]Other Assumptions'!E83</f>
        <v>0</v>
      </c>
      <c r="D45" s="20">
        <f>'[4]Other Assumptions'!F83</f>
        <v>0</v>
      </c>
      <c r="E45" s="20">
        <f>'[4]Other Assumptions'!G83</f>
        <v>0</v>
      </c>
      <c r="F45" s="20">
        <f>'[4]Other Assumptions'!H83</f>
        <v>0</v>
      </c>
      <c r="G45" s="40">
        <f>'[4]Other Assumptions'!I45</f>
        <v>0</v>
      </c>
      <c r="H45" s="40">
        <f>'[4]Other Assumptions'!J45</f>
        <v>-0.02</v>
      </c>
      <c r="I45" s="40">
        <f>'[4]Other Assumptions'!K45</f>
        <v>-0.04</v>
      </c>
      <c r="J45" s="40">
        <f>'[4]Other Assumptions'!L45</f>
        <v>-0.06</v>
      </c>
      <c r="K45" s="40">
        <f>'[4]Other Assumptions'!M45</f>
        <v>-0.08</v>
      </c>
      <c r="L45" s="40">
        <f>'[4]Other Assumptions'!N45</f>
        <v>-0.1</v>
      </c>
      <c r="M45" s="40">
        <f>'[4]Other Assumptions'!O45</f>
        <v>-0.12</v>
      </c>
      <c r="N45" s="40">
        <f>'[4]Other Assumptions'!P45</f>
        <v>-0.14000000000000001</v>
      </c>
      <c r="O45" s="41">
        <f>'[4]Other Assumptions'!Q45</f>
        <v>-0.16</v>
      </c>
    </row>
    <row r="46" spans="1:15" ht="15.5" x14ac:dyDescent="0.35">
      <c r="A46" s="16" t="s">
        <v>35</v>
      </c>
      <c r="B46" s="19">
        <f>'[4]Other Assumptions'!D84</f>
        <v>0</v>
      </c>
      <c r="C46" s="20">
        <f>'[4]Other Assumptions'!E84</f>
        <v>0</v>
      </c>
      <c r="D46" s="20">
        <f>'[4]Other Assumptions'!F84</f>
        <v>0</v>
      </c>
      <c r="E46" s="20">
        <f>'[4]Other Assumptions'!G84</f>
        <v>0</v>
      </c>
      <c r="F46" s="20">
        <f>'[4]Other Assumptions'!H84</f>
        <v>0</v>
      </c>
      <c r="G46" s="40">
        <f>'[4]Other Assumptions'!I46</f>
        <v>0</v>
      </c>
      <c r="H46" s="40">
        <f>'[4]Other Assumptions'!J46</f>
        <v>0</v>
      </c>
      <c r="I46" s="40">
        <f>'[4]Other Assumptions'!K46</f>
        <v>0</v>
      </c>
      <c r="J46" s="40">
        <f>'[4]Other Assumptions'!L46</f>
        <v>0</v>
      </c>
      <c r="K46" s="40">
        <f>'[4]Other Assumptions'!M46</f>
        <v>0</v>
      </c>
      <c r="L46" s="40">
        <f>'[4]Other Assumptions'!N46</f>
        <v>0</v>
      </c>
      <c r="M46" s="40">
        <f>'[4]Other Assumptions'!O46</f>
        <v>0</v>
      </c>
      <c r="N46" s="40">
        <f>'[4]Other Assumptions'!P46</f>
        <v>0</v>
      </c>
      <c r="O46" s="41">
        <f>'[4]Other Assumptions'!Q46</f>
        <v>0</v>
      </c>
    </row>
    <row r="47" spans="1:15" ht="15.5" x14ac:dyDescent="0.35">
      <c r="A47" s="16" t="s">
        <v>36</v>
      </c>
      <c r="B47" s="19">
        <f>'[4]Other Assumptions'!D85</f>
        <v>0</v>
      </c>
      <c r="C47" s="20">
        <f>'[4]Other Assumptions'!E85</f>
        <v>0</v>
      </c>
      <c r="D47" s="20">
        <f>'[4]Other Assumptions'!F85</f>
        <v>0</v>
      </c>
      <c r="E47" s="20">
        <f>'[4]Other Assumptions'!G85</f>
        <v>0</v>
      </c>
      <c r="F47" s="20">
        <f>'[4]Other Assumptions'!H85</f>
        <v>0</v>
      </c>
      <c r="G47" s="40">
        <f>'[4]Other Assumptions'!I47</f>
        <v>0</v>
      </c>
      <c r="H47" s="40">
        <f>'[4]Other Assumptions'!J47</f>
        <v>0</v>
      </c>
      <c r="I47" s="40">
        <f>'[4]Other Assumptions'!K47</f>
        <v>0</v>
      </c>
      <c r="J47" s="40">
        <f>'[4]Other Assumptions'!L47</f>
        <v>0</v>
      </c>
      <c r="K47" s="40">
        <f>'[4]Other Assumptions'!M47</f>
        <v>0</v>
      </c>
      <c r="L47" s="40">
        <f>'[4]Other Assumptions'!N47</f>
        <v>0</v>
      </c>
      <c r="M47" s="40">
        <f>'[4]Other Assumptions'!O47</f>
        <v>0</v>
      </c>
      <c r="N47" s="40">
        <f>'[4]Other Assumptions'!P47</f>
        <v>0</v>
      </c>
      <c r="O47" s="41">
        <f>'[4]Other Assumptions'!Q47</f>
        <v>0</v>
      </c>
    </row>
    <row r="48" spans="1:15" ht="15.5" x14ac:dyDescent="0.35">
      <c r="A48" s="16" t="s">
        <v>37</v>
      </c>
      <c r="B48" s="19">
        <f>'[4]Other Assumptions'!D86</f>
        <v>0</v>
      </c>
      <c r="C48" s="20">
        <f>'[4]Other Assumptions'!E86</f>
        <v>0</v>
      </c>
      <c r="D48" s="20">
        <f>'[4]Other Assumptions'!F86</f>
        <v>0</v>
      </c>
      <c r="E48" s="20">
        <f>'[4]Other Assumptions'!G86</f>
        <v>0</v>
      </c>
      <c r="F48" s="20">
        <f>'[4]Other Assumptions'!H86</f>
        <v>0</v>
      </c>
      <c r="G48" s="40">
        <f>'[4]Other Assumptions'!I48</f>
        <v>0</v>
      </c>
      <c r="H48" s="40">
        <f>'[4]Other Assumptions'!J48</f>
        <v>0</v>
      </c>
      <c r="I48" s="40">
        <f>'[4]Other Assumptions'!K48</f>
        <v>0</v>
      </c>
      <c r="J48" s="40">
        <f>'[4]Other Assumptions'!L48</f>
        <v>0</v>
      </c>
      <c r="K48" s="40">
        <f>'[4]Other Assumptions'!M48</f>
        <v>0</v>
      </c>
      <c r="L48" s="40">
        <f>'[4]Other Assumptions'!N48</f>
        <v>0</v>
      </c>
      <c r="M48" s="40">
        <f>'[4]Other Assumptions'!O48</f>
        <v>0</v>
      </c>
      <c r="N48" s="40">
        <f>'[4]Other Assumptions'!P48</f>
        <v>0</v>
      </c>
      <c r="O48" s="41">
        <f>'[4]Other Assumptions'!Q48</f>
        <v>0</v>
      </c>
    </row>
    <row r="49" spans="1:15" ht="15.5" x14ac:dyDescent="0.35">
      <c r="A49" s="16" t="s">
        <v>38</v>
      </c>
      <c r="B49" s="19">
        <f>'[4]Other Assumptions'!D87</f>
        <v>0</v>
      </c>
      <c r="C49" s="20">
        <f>'[4]Other Assumptions'!E87</f>
        <v>0</v>
      </c>
      <c r="D49" s="20">
        <f>'[4]Other Assumptions'!F87</f>
        <v>0</v>
      </c>
      <c r="E49" s="20">
        <f>'[4]Other Assumptions'!G87</f>
        <v>0</v>
      </c>
      <c r="F49" s="20">
        <f>'[4]Other Assumptions'!H87</f>
        <v>0</v>
      </c>
      <c r="G49" s="40">
        <f>'[4]Other Assumptions'!I49</f>
        <v>0</v>
      </c>
      <c r="H49" s="40">
        <f>'[4]Other Assumptions'!J49</f>
        <v>0</v>
      </c>
      <c r="I49" s="40">
        <f>'[4]Other Assumptions'!K49</f>
        <v>0</v>
      </c>
      <c r="J49" s="40">
        <f>'[4]Other Assumptions'!L49</f>
        <v>0</v>
      </c>
      <c r="K49" s="40">
        <f>'[4]Other Assumptions'!M49</f>
        <v>0</v>
      </c>
      <c r="L49" s="40">
        <f>'[4]Other Assumptions'!N49</f>
        <v>0</v>
      </c>
      <c r="M49" s="40">
        <f>'[4]Other Assumptions'!O49</f>
        <v>0</v>
      </c>
      <c r="N49" s="40">
        <f>'[4]Other Assumptions'!P49</f>
        <v>0</v>
      </c>
      <c r="O49" s="41">
        <f>'[4]Other Assumptions'!Q49</f>
        <v>0</v>
      </c>
    </row>
    <row r="50" spans="1:15" ht="15.5" x14ac:dyDescent="0.35">
      <c r="A50" s="16" t="s">
        <v>39</v>
      </c>
      <c r="B50" s="19">
        <f>'[4]Other Assumptions'!D88</f>
        <v>0</v>
      </c>
      <c r="C50" s="20">
        <f>'[4]Other Assumptions'!E88</f>
        <v>0</v>
      </c>
      <c r="D50" s="20">
        <f>'[4]Other Assumptions'!F88</f>
        <v>0</v>
      </c>
      <c r="E50" s="20">
        <f>'[4]Other Assumptions'!G88</f>
        <v>0</v>
      </c>
      <c r="F50" s="20">
        <f>'[4]Other Assumptions'!H88</f>
        <v>0</v>
      </c>
      <c r="G50" s="40">
        <f>'[4]Other Assumptions'!I50</f>
        <v>0</v>
      </c>
      <c r="H50" s="40">
        <f>'[4]Other Assumptions'!J50</f>
        <v>0</v>
      </c>
      <c r="I50" s="40">
        <f>'[4]Other Assumptions'!K50</f>
        <v>0</v>
      </c>
      <c r="J50" s="40">
        <f>'[4]Other Assumptions'!L50</f>
        <v>0</v>
      </c>
      <c r="K50" s="40">
        <f>'[4]Other Assumptions'!M50</f>
        <v>0</v>
      </c>
      <c r="L50" s="40">
        <f>'[4]Other Assumptions'!N50</f>
        <v>0</v>
      </c>
      <c r="M50" s="40">
        <f>'[4]Other Assumptions'!O50</f>
        <v>0</v>
      </c>
      <c r="N50" s="40">
        <f>'[4]Other Assumptions'!P50</f>
        <v>0</v>
      </c>
      <c r="O50" s="41">
        <f>'[4]Other Assumptions'!Q50</f>
        <v>0</v>
      </c>
    </row>
    <row r="51" spans="1:15" ht="15.5" x14ac:dyDescent="0.35">
      <c r="A51" s="16" t="s">
        <v>40</v>
      </c>
      <c r="B51" s="19">
        <f>'[4]Other Assumptions'!D89</f>
        <v>0</v>
      </c>
      <c r="C51" s="20">
        <f>'[4]Other Assumptions'!E89</f>
        <v>0</v>
      </c>
      <c r="D51" s="20">
        <f>'[4]Other Assumptions'!F89</f>
        <v>0</v>
      </c>
      <c r="E51" s="20">
        <f>'[4]Other Assumptions'!G89</f>
        <v>0</v>
      </c>
      <c r="F51" s="20">
        <f>'[4]Other Assumptions'!H89</f>
        <v>0</v>
      </c>
      <c r="G51" s="40">
        <f>'[4]Other Assumptions'!I51</f>
        <v>0</v>
      </c>
      <c r="H51" s="40">
        <f>'[4]Other Assumptions'!J51</f>
        <v>0</v>
      </c>
      <c r="I51" s="40">
        <f>'[4]Other Assumptions'!K51</f>
        <v>0</v>
      </c>
      <c r="J51" s="40">
        <f>'[4]Other Assumptions'!L51</f>
        <v>0</v>
      </c>
      <c r="K51" s="40">
        <f>'[4]Other Assumptions'!M51</f>
        <v>0</v>
      </c>
      <c r="L51" s="40">
        <f>'[4]Other Assumptions'!N51</f>
        <v>0</v>
      </c>
      <c r="M51" s="40">
        <f>'[4]Other Assumptions'!O51</f>
        <v>0</v>
      </c>
      <c r="N51" s="40">
        <f>'[4]Other Assumptions'!P51</f>
        <v>0</v>
      </c>
      <c r="O51" s="41">
        <f>'[4]Other Assumptions'!Q51</f>
        <v>0</v>
      </c>
    </row>
    <row r="52" spans="1:15" ht="15.5" x14ac:dyDescent="0.35">
      <c r="A52" s="16" t="s">
        <v>41</v>
      </c>
      <c r="B52" s="19">
        <f>'[4]Other Assumptions'!D90</f>
        <v>0</v>
      </c>
      <c r="C52" s="20">
        <f>'[4]Other Assumptions'!E90</f>
        <v>0</v>
      </c>
      <c r="D52" s="20">
        <f>'[4]Other Assumptions'!F90</f>
        <v>0</v>
      </c>
      <c r="E52" s="20">
        <f>'[4]Other Assumptions'!G90</f>
        <v>0</v>
      </c>
      <c r="F52" s="20">
        <f>'[4]Other Assumptions'!H90</f>
        <v>0</v>
      </c>
      <c r="G52" s="40">
        <f>'[4]Other Assumptions'!I52</f>
        <v>0</v>
      </c>
      <c r="H52" s="40">
        <f>'[4]Other Assumptions'!J52</f>
        <v>-0.01</v>
      </c>
      <c r="I52" s="40">
        <f>'[4]Other Assumptions'!K52</f>
        <v>-0.02</v>
      </c>
      <c r="J52" s="40">
        <f>'[4]Other Assumptions'!L52</f>
        <v>-0.03</v>
      </c>
      <c r="K52" s="40">
        <f>'[4]Other Assumptions'!M52</f>
        <v>-0.04</v>
      </c>
      <c r="L52" s="40">
        <f>'[4]Other Assumptions'!N52</f>
        <v>-0.05</v>
      </c>
      <c r="M52" s="40">
        <f>'[4]Other Assumptions'!O52</f>
        <v>-0.06</v>
      </c>
      <c r="N52" s="40">
        <f>'[4]Other Assumptions'!P52</f>
        <v>-7.0000000000000007E-2</v>
      </c>
      <c r="O52" s="41">
        <f>'[4]Other Assumptions'!Q52</f>
        <v>-0.08</v>
      </c>
    </row>
    <row r="53" spans="1:15" ht="15.5" x14ac:dyDescent="0.35">
      <c r="A53" s="16" t="s">
        <v>42</v>
      </c>
      <c r="B53" s="19">
        <f>'[4]Other Assumptions'!D91</f>
        <v>0</v>
      </c>
      <c r="C53" s="20">
        <f>'[4]Other Assumptions'!E91</f>
        <v>0</v>
      </c>
      <c r="D53" s="20">
        <f>'[4]Other Assumptions'!F91</f>
        <v>0</v>
      </c>
      <c r="E53" s="20">
        <f>'[4]Other Assumptions'!G91</f>
        <v>0</v>
      </c>
      <c r="F53" s="20">
        <f>'[4]Other Assumptions'!H91</f>
        <v>0</v>
      </c>
      <c r="G53" s="40">
        <f>'[4]Other Assumptions'!I53</f>
        <v>0</v>
      </c>
      <c r="H53" s="40">
        <f>'[4]Other Assumptions'!J53</f>
        <v>0</v>
      </c>
      <c r="I53" s="40">
        <f>'[4]Other Assumptions'!K53</f>
        <v>0</v>
      </c>
      <c r="J53" s="40">
        <f>'[4]Other Assumptions'!L53</f>
        <v>0</v>
      </c>
      <c r="K53" s="40">
        <f>'[4]Other Assumptions'!M53</f>
        <v>0</v>
      </c>
      <c r="L53" s="40">
        <f>'[4]Other Assumptions'!N53</f>
        <v>0</v>
      </c>
      <c r="M53" s="40">
        <f>'[4]Other Assumptions'!O53</f>
        <v>0</v>
      </c>
      <c r="N53" s="40">
        <f>'[4]Other Assumptions'!P53</f>
        <v>0</v>
      </c>
      <c r="O53" s="41">
        <f>'[4]Other Assumptions'!Q53</f>
        <v>0</v>
      </c>
    </row>
    <row r="54" spans="1:15" ht="15.5" x14ac:dyDescent="0.35">
      <c r="A54" s="16" t="s">
        <v>43</v>
      </c>
      <c r="B54" s="19">
        <f>'[4]Other Assumptions'!D92</f>
        <v>0</v>
      </c>
      <c r="C54" s="20">
        <f>'[4]Other Assumptions'!E92</f>
        <v>0</v>
      </c>
      <c r="D54" s="20">
        <f>'[4]Other Assumptions'!F92</f>
        <v>0</v>
      </c>
      <c r="E54" s="20">
        <f>'[4]Other Assumptions'!G92</f>
        <v>0</v>
      </c>
      <c r="F54" s="20">
        <f>'[4]Other Assumptions'!H92</f>
        <v>0</v>
      </c>
      <c r="G54" s="40">
        <f>'[4]Other Assumptions'!I54</f>
        <v>0</v>
      </c>
      <c r="H54" s="40">
        <f>'[4]Other Assumptions'!J54</f>
        <v>0</v>
      </c>
      <c r="I54" s="40">
        <f>'[4]Other Assumptions'!K54</f>
        <v>0</v>
      </c>
      <c r="J54" s="40">
        <f>'[4]Other Assumptions'!L54</f>
        <v>0</v>
      </c>
      <c r="K54" s="40">
        <f>'[4]Other Assumptions'!M54</f>
        <v>0</v>
      </c>
      <c r="L54" s="40">
        <f>'[4]Other Assumptions'!N54</f>
        <v>0</v>
      </c>
      <c r="M54" s="40">
        <f>'[4]Other Assumptions'!O54</f>
        <v>0</v>
      </c>
      <c r="N54" s="40">
        <f>'[4]Other Assumptions'!P54</f>
        <v>0</v>
      </c>
      <c r="O54" s="41">
        <f>'[4]Other Assumptions'!Q54</f>
        <v>0</v>
      </c>
    </row>
    <row r="55" spans="1:15" ht="15.5" x14ac:dyDescent="0.35">
      <c r="A55" s="16" t="s">
        <v>44</v>
      </c>
      <c r="B55" s="19">
        <f>'[4]Other Assumptions'!D93</f>
        <v>0</v>
      </c>
      <c r="C55" s="20">
        <f>'[4]Other Assumptions'!E93</f>
        <v>0</v>
      </c>
      <c r="D55" s="20">
        <f>'[4]Other Assumptions'!F93</f>
        <v>0</v>
      </c>
      <c r="E55" s="20">
        <f>'[4]Other Assumptions'!G93</f>
        <v>0</v>
      </c>
      <c r="F55" s="20">
        <f>'[4]Other Assumptions'!H93</f>
        <v>0</v>
      </c>
      <c r="G55" s="40">
        <f>'[4]Other Assumptions'!I55</f>
        <v>0</v>
      </c>
      <c r="H55" s="40">
        <f>'[4]Other Assumptions'!J55</f>
        <v>0</v>
      </c>
      <c r="I55" s="40">
        <f>'[4]Other Assumptions'!K55</f>
        <v>0</v>
      </c>
      <c r="J55" s="40">
        <f>'[4]Other Assumptions'!L55</f>
        <v>0</v>
      </c>
      <c r="K55" s="40">
        <f>'[4]Other Assumptions'!M55</f>
        <v>0</v>
      </c>
      <c r="L55" s="40">
        <f>'[4]Other Assumptions'!N55</f>
        <v>0</v>
      </c>
      <c r="M55" s="40">
        <f>'[4]Other Assumptions'!O55</f>
        <v>0</v>
      </c>
      <c r="N55" s="40">
        <f>'[4]Other Assumptions'!P55</f>
        <v>0</v>
      </c>
      <c r="O55" s="41">
        <f>'[4]Other Assumptions'!Q55</f>
        <v>0</v>
      </c>
    </row>
    <row r="56" spans="1:15" ht="15.5" x14ac:dyDescent="0.35">
      <c r="A56" s="16" t="s">
        <v>45</v>
      </c>
      <c r="B56" s="19">
        <f>'[4]Other Assumptions'!D94</f>
        <v>0</v>
      </c>
      <c r="C56" s="20">
        <f>'[4]Other Assumptions'!E94</f>
        <v>0</v>
      </c>
      <c r="D56" s="20">
        <f>'[4]Other Assumptions'!F94</f>
        <v>0</v>
      </c>
      <c r="E56" s="20">
        <f>'[4]Other Assumptions'!G94</f>
        <v>0</v>
      </c>
      <c r="F56" s="20">
        <f>'[4]Other Assumptions'!H94</f>
        <v>0</v>
      </c>
      <c r="G56" s="40">
        <f>'[4]Other Assumptions'!I56</f>
        <v>0</v>
      </c>
      <c r="H56" s="40">
        <f>'[4]Other Assumptions'!J56</f>
        <v>0</v>
      </c>
      <c r="I56" s="40">
        <f>'[4]Other Assumptions'!K56</f>
        <v>0</v>
      </c>
      <c r="J56" s="40">
        <f>'[4]Other Assumptions'!L56</f>
        <v>0</v>
      </c>
      <c r="K56" s="40">
        <f>'[4]Other Assumptions'!M56</f>
        <v>0</v>
      </c>
      <c r="L56" s="40">
        <f>'[4]Other Assumptions'!N56</f>
        <v>0</v>
      </c>
      <c r="M56" s="40">
        <f>'[4]Other Assumptions'!O56</f>
        <v>0</v>
      </c>
      <c r="N56" s="40">
        <f>'[4]Other Assumptions'!P56</f>
        <v>0</v>
      </c>
      <c r="O56" s="41">
        <f>'[4]Other Assumptions'!Q56</f>
        <v>0</v>
      </c>
    </row>
    <row r="57" spans="1:15" ht="16" thickBot="1" x14ac:dyDescent="0.4">
      <c r="A57" s="23" t="s">
        <v>46</v>
      </c>
      <c r="B57" s="24">
        <f>'[4]Other Assumptions'!D95</f>
        <v>0</v>
      </c>
      <c r="C57" s="25">
        <f>'[4]Other Assumptions'!E95</f>
        <v>0</v>
      </c>
      <c r="D57" s="25">
        <f>'[4]Other Assumptions'!F95</f>
        <v>0</v>
      </c>
      <c r="E57" s="25">
        <f>'[4]Other Assumptions'!G95</f>
        <v>0</v>
      </c>
      <c r="F57" s="25">
        <f>'[4]Other Assumptions'!H95</f>
        <v>0</v>
      </c>
      <c r="G57" s="53">
        <f>'[4]Other Assumptions'!I57</f>
        <v>0</v>
      </c>
      <c r="H57" s="53">
        <f>'[4]Other Assumptions'!J57</f>
        <v>0</v>
      </c>
      <c r="I57" s="53">
        <f>'[4]Other Assumptions'!K57</f>
        <v>0</v>
      </c>
      <c r="J57" s="53">
        <f>'[4]Other Assumptions'!L57</f>
        <v>0</v>
      </c>
      <c r="K57" s="53">
        <f>'[4]Other Assumptions'!M57</f>
        <v>0</v>
      </c>
      <c r="L57" s="53">
        <f>'[4]Other Assumptions'!N57</f>
        <v>0</v>
      </c>
      <c r="M57" s="53">
        <f>'[4]Other Assumptions'!O57</f>
        <v>0</v>
      </c>
      <c r="N57" s="53">
        <f>'[4]Other Assumptions'!P57</f>
        <v>0</v>
      </c>
      <c r="O57" s="54">
        <f>'[4]Other Assumptions'!Q57</f>
        <v>0</v>
      </c>
    </row>
    <row r="58" spans="1:15" ht="13" thickTop="1" x14ac:dyDescent="0.25"/>
    <row r="59" spans="1:15" ht="13" thickBot="1" x14ac:dyDescent="0.3"/>
    <row r="60" spans="1:15" ht="16" thickTop="1" x14ac:dyDescent="0.35">
      <c r="A60" s="6" t="s">
        <v>47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9"/>
    </row>
    <row r="61" spans="1:15" ht="13.5" thickBot="1" x14ac:dyDescent="0.35">
      <c r="A61" s="10"/>
      <c r="B61" s="11" t="s">
        <v>22</v>
      </c>
      <c r="C61" s="11" t="s">
        <v>23</v>
      </c>
      <c r="D61" s="11" t="s">
        <v>24</v>
      </c>
      <c r="E61" s="11" t="s">
        <v>118</v>
      </c>
      <c r="F61" s="11" t="s">
        <v>119</v>
      </c>
      <c r="G61" s="11" t="s">
        <v>25</v>
      </c>
      <c r="H61" s="11" t="s">
        <v>26</v>
      </c>
      <c r="I61" s="11" t="s">
        <v>27</v>
      </c>
      <c r="J61" s="11" t="s">
        <v>28</v>
      </c>
      <c r="K61" s="11" t="s">
        <v>29</v>
      </c>
      <c r="L61" s="11" t="s">
        <v>30</v>
      </c>
      <c r="M61" s="11" t="s">
        <v>120</v>
      </c>
      <c r="N61" s="11" t="s">
        <v>121</v>
      </c>
      <c r="O61" s="12" t="s">
        <v>122</v>
      </c>
    </row>
    <row r="62" spans="1:15" ht="14" thickTop="1" thickBot="1" x14ac:dyDescent="0.35">
      <c r="A62" s="13"/>
      <c r="B62" s="14" t="s">
        <v>31</v>
      </c>
      <c r="C62" s="14" t="s">
        <v>31</v>
      </c>
      <c r="D62" s="14" t="s">
        <v>31</v>
      </c>
      <c r="E62" s="14" t="s">
        <v>31</v>
      </c>
      <c r="F62" s="14" t="s">
        <v>31</v>
      </c>
      <c r="G62" s="14" t="s">
        <v>32</v>
      </c>
      <c r="H62" s="14" t="s">
        <v>32</v>
      </c>
      <c r="I62" s="14" t="s">
        <v>32</v>
      </c>
      <c r="J62" s="14" t="s">
        <v>32</v>
      </c>
      <c r="K62" s="14" t="s">
        <v>32</v>
      </c>
      <c r="L62" s="14" t="s">
        <v>32</v>
      </c>
      <c r="M62" s="14" t="s">
        <v>32</v>
      </c>
      <c r="N62" s="14" t="s">
        <v>32</v>
      </c>
      <c r="O62" s="15" t="s">
        <v>32</v>
      </c>
    </row>
    <row r="63" spans="1:15" ht="13" thickTop="1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5.5" x14ac:dyDescent="0.35">
      <c r="A64" s="16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ht="15.5" x14ac:dyDescent="0.35">
      <c r="A65" s="16" t="s">
        <v>48</v>
      </c>
      <c r="B65" s="31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33"/>
      <c r="N65" s="33"/>
      <c r="O65" s="55"/>
    </row>
    <row r="66" spans="1:15" ht="15.5" x14ac:dyDescent="0.35">
      <c r="A66" s="16" t="s">
        <v>49</v>
      </c>
      <c r="B66" s="29"/>
      <c r="C66" s="29"/>
      <c r="D66" s="29"/>
      <c r="E66" s="29"/>
      <c r="F66" s="29"/>
      <c r="G66" s="40">
        <f>'[4]Other Assumptions'!I66</f>
        <v>0</v>
      </c>
      <c r="H66" s="40">
        <f>'[4]Other Assumptions'!J66</f>
        <v>0.21867137921564483</v>
      </c>
      <c r="I66" s="40">
        <f>'[4]Other Assumptions'!K66</f>
        <v>0.25483868190204506</v>
      </c>
      <c r="J66" s="40">
        <f>'[4]Other Assumptions'!L66</f>
        <v>0.28430849863160013</v>
      </c>
      <c r="K66" s="40">
        <f>'[4]Other Assumptions'!M66</f>
        <v>0.30243846038773858</v>
      </c>
      <c r="L66" s="40">
        <f>'[4]Other Assumptions'!N66</f>
        <v>0.31885978040828122</v>
      </c>
      <c r="M66" s="40">
        <f>'[4]Other Assumptions'!O66</f>
        <v>0.33739756938079357</v>
      </c>
      <c r="N66" s="40">
        <f>'[4]Other Assumptions'!P66</f>
        <v>0.35234175443852866</v>
      </c>
      <c r="O66" s="41">
        <f>'[4]Other Assumptions'!Q66</f>
        <v>0.36214191388672656</v>
      </c>
    </row>
    <row r="67" spans="1:15" ht="15.5" x14ac:dyDescent="0.35">
      <c r="A67" s="16" t="s">
        <v>50</v>
      </c>
      <c r="B67" s="29"/>
      <c r="C67" s="29"/>
      <c r="D67" s="29"/>
      <c r="E67" s="29"/>
      <c r="F67" s="29"/>
      <c r="G67" s="40">
        <f>'[4]Other Assumptions'!I67</f>
        <v>0</v>
      </c>
      <c r="H67" s="40">
        <f>'[4]Other Assumptions'!J67</f>
        <v>0.1</v>
      </c>
      <c r="I67" s="40">
        <f>'[4]Other Assumptions'!K67</f>
        <v>0.1</v>
      </c>
      <c r="J67" s="40">
        <f>'[4]Other Assumptions'!L67</f>
        <v>0.1</v>
      </c>
      <c r="K67" s="40">
        <f>'[4]Other Assumptions'!M67</f>
        <v>0.1</v>
      </c>
      <c r="L67" s="40">
        <f>'[4]Other Assumptions'!N67</f>
        <v>0.1</v>
      </c>
      <c r="M67" s="40">
        <f>'[4]Other Assumptions'!O67</f>
        <v>0.1</v>
      </c>
      <c r="N67" s="40">
        <f>'[4]Other Assumptions'!P67</f>
        <v>0.1</v>
      </c>
      <c r="O67" s="41">
        <f>'[4]Other Assumptions'!Q67</f>
        <v>0.1</v>
      </c>
    </row>
    <row r="68" spans="1:15" ht="15.5" x14ac:dyDescent="0.35">
      <c r="A68" s="16" t="s">
        <v>51</v>
      </c>
      <c r="B68" s="29"/>
      <c r="C68" s="29"/>
      <c r="D68" s="29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55"/>
    </row>
    <row r="69" spans="1:15" ht="15.5" x14ac:dyDescent="0.35">
      <c r="A69" s="16" t="s">
        <v>52</v>
      </c>
      <c r="B69" s="29"/>
      <c r="C69" s="29"/>
      <c r="D69" s="29"/>
      <c r="E69" s="29"/>
      <c r="F69" s="29"/>
      <c r="G69" s="40">
        <f>'[4]Other Assumptions'!I69</f>
        <v>0.45</v>
      </c>
      <c r="H69" s="40">
        <f>'[4]Other Assumptions'!J69</f>
        <v>0.45</v>
      </c>
      <c r="I69" s="40">
        <f>'[4]Other Assumptions'!K69</f>
        <v>0.45</v>
      </c>
      <c r="J69" s="40">
        <f>'[4]Other Assumptions'!L69</f>
        <v>0.45</v>
      </c>
      <c r="K69" s="40">
        <f>'[4]Other Assumptions'!M69</f>
        <v>0.45</v>
      </c>
      <c r="L69" s="40">
        <f>'[4]Other Assumptions'!N69</f>
        <v>0.45</v>
      </c>
      <c r="M69" s="40">
        <f>'[4]Other Assumptions'!O69</f>
        <v>0.45</v>
      </c>
      <c r="N69" s="40">
        <f>'[4]Other Assumptions'!P69</f>
        <v>0.45</v>
      </c>
      <c r="O69" s="41">
        <f>'[4]Other Assumptions'!Q69</f>
        <v>0.45</v>
      </c>
    </row>
    <row r="70" spans="1:15" ht="15.5" x14ac:dyDescent="0.35">
      <c r="A70" s="16" t="s">
        <v>53</v>
      </c>
      <c r="B70" s="29"/>
      <c r="C70" s="29"/>
      <c r="D70" s="29"/>
      <c r="E70" s="29"/>
      <c r="F70" s="29"/>
      <c r="G70" s="40">
        <f>'[4]Other Assumptions'!I70</f>
        <v>0.4</v>
      </c>
      <c r="H70" s="40">
        <f>'[4]Other Assumptions'!J70</f>
        <v>0.4</v>
      </c>
      <c r="I70" s="40">
        <f>'[4]Other Assumptions'!K70</f>
        <v>0.4</v>
      </c>
      <c r="J70" s="40">
        <f>'[4]Other Assumptions'!L70</f>
        <v>0.4</v>
      </c>
      <c r="K70" s="40">
        <f>'[4]Other Assumptions'!M70</f>
        <v>0.4</v>
      </c>
      <c r="L70" s="40">
        <f>'[4]Other Assumptions'!N70</f>
        <v>0.4</v>
      </c>
      <c r="M70" s="40">
        <f>'[4]Other Assumptions'!O70</f>
        <v>0.4</v>
      </c>
      <c r="N70" s="40">
        <f>'[4]Other Assumptions'!P70</f>
        <v>0.4</v>
      </c>
      <c r="O70" s="41">
        <f>'[4]Other Assumptions'!Q70</f>
        <v>0.4</v>
      </c>
    </row>
    <row r="71" spans="1:15" ht="15.5" x14ac:dyDescent="0.35">
      <c r="A71" s="16" t="s">
        <v>54</v>
      </c>
      <c r="B71" s="29"/>
      <c r="C71" s="29"/>
      <c r="D71" s="29"/>
      <c r="E71" s="29"/>
      <c r="F71" s="29"/>
      <c r="G71" s="40">
        <f>'[4]Other Assumptions'!I71</f>
        <v>0.1</v>
      </c>
      <c r="H71" s="40">
        <f>'[4]Other Assumptions'!J71</f>
        <v>0.1</v>
      </c>
      <c r="I71" s="40">
        <f>'[4]Other Assumptions'!K71</f>
        <v>0.1</v>
      </c>
      <c r="J71" s="40">
        <f>'[4]Other Assumptions'!L71</f>
        <v>0.1</v>
      </c>
      <c r="K71" s="40">
        <f>'[4]Other Assumptions'!M71</f>
        <v>0.1</v>
      </c>
      <c r="L71" s="40">
        <f>'[4]Other Assumptions'!N71</f>
        <v>0.1</v>
      </c>
      <c r="M71" s="40">
        <f>'[4]Other Assumptions'!O71</f>
        <v>0.1</v>
      </c>
      <c r="N71" s="40">
        <f>'[4]Other Assumptions'!P71</f>
        <v>0.1</v>
      </c>
      <c r="O71" s="41">
        <f>'[4]Other Assumptions'!Q71</f>
        <v>0.1</v>
      </c>
    </row>
    <row r="72" spans="1:15" ht="15.5" x14ac:dyDescent="0.35">
      <c r="A72" s="16" t="s">
        <v>55</v>
      </c>
      <c r="B72" s="29"/>
      <c r="C72" s="29"/>
      <c r="D72" s="29"/>
      <c r="E72" s="29"/>
      <c r="F72" s="29"/>
      <c r="G72" s="40">
        <f>'[4]Other Assumptions'!I72</f>
        <v>0.02</v>
      </c>
      <c r="H72" s="40">
        <f>'[4]Other Assumptions'!J72</f>
        <v>0.02</v>
      </c>
      <c r="I72" s="40">
        <f>'[4]Other Assumptions'!K72</f>
        <v>0.02</v>
      </c>
      <c r="J72" s="40">
        <f>'[4]Other Assumptions'!L72</f>
        <v>0.02</v>
      </c>
      <c r="K72" s="40">
        <f>'[4]Other Assumptions'!M72</f>
        <v>0.02</v>
      </c>
      <c r="L72" s="40">
        <f>'[4]Other Assumptions'!N72</f>
        <v>0.02</v>
      </c>
      <c r="M72" s="40">
        <f>'[4]Other Assumptions'!O72</f>
        <v>0.02</v>
      </c>
      <c r="N72" s="40">
        <f>'[4]Other Assumptions'!P72</f>
        <v>0.02</v>
      </c>
      <c r="O72" s="41">
        <f>'[4]Other Assumptions'!Q72</f>
        <v>0.02</v>
      </c>
    </row>
    <row r="73" spans="1:15" ht="15.5" x14ac:dyDescent="0.35">
      <c r="A73" s="16" t="s">
        <v>56</v>
      </c>
      <c r="B73" s="29"/>
      <c r="C73" s="29"/>
      <c r="D73" s="29"/>
      <c r="E73" s="29"/>
      <c r="F73" s="29"/>
      <c r="G73" s="40">
        <f>'[4]Other Assumptions'!I73</f>
        <v>0.03</v>
      </c>
      <c r="H73" s="40">
        <f>'[4]Other Assumptions'!J73</f>
        <v>0.03</v>
      </c>
      <c r="I73" s="40">
        <f>'[4]Other Assumptions'!K73</f>
        <v>0.03</v>
      </c>
      <c r="J73" s="40">
        <f>'[4]Other Assumptions'!L73</f>
        <v>0.03</v>
      </c>
      <c r="K73" s="40">
        <f>'[4]Other Assumptions'!M73</f>
        <v>0.03</v>
      </c>
      <c r="L73" s="40">
        <f>'[4]Other Assumptions'!N73</f>
        <v>0.03</v>
      </c>
      <c r="M73" s="40">
        <f>'[4]Other Assumptions'!O73</f>
        <v>0.03</v>
      </c>
      <c r="N73" s="40">
        <f>'[4]Other Assumptions'!P73</f>
        <v>0.03</v>
      </c>
      <c r="O73" s="41">
        <f>'[4]Other Assumptions'!Q73</f>
        <v>0.03</v>
      </c>
    </row>
    <row r="74" spans="1:15" x14ac:dyDescent="0.25">
      <c r="A74" s="32"/>
      <c r="B74" s="29"/>
      <c r="C74" s="29"/>
      <c r="D74" s="29"/>
      <c r="E74" s="29"/>
      <c r="F74" s="29"/>
      <c r="G74" s="33"/>
      <c r="H74" s="33"/>
      <c r="I74" s="33"/>
      <c r="J74" s="33"/>
      <c r="K74" s="33"/>
      <c r="L74" s="33"/>
      <c r="M74" s="33"/>
      <c r="N74" s="33"/>
      <c r="O74" s="55"/>
    </row>
    <row r="75" spans="1:15" ht="15.5" x14ac:dyDescent="0.35">
      <c r="A75" s="16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3"/>
      <c r="N75" s="33"/>
      <c r="O75" s="55"/>
    </row>
    <row r="76" spans="1:15" ht="15.5" x14ac:dyDescent="0.35">
      <c r="A76" s="16" t="s">
        <v>48</v>
      </c>
      <c r="B76" s="31"/>
      <c r="C76" s="31"/>
      <c r="D76" s="31"/>
      <c r="E76" s="31"/>
      <c r="F76" s="31"/>
      <c r="G76" s="31"/>
      <c r="H76" s="33"/>
      <c r="I76" s="29"/>
      <c r="J76" s="29"/>
      <c r="K76" s="29"/>
      <c r="L76" s="29"/>
      <c r="M76" s="33"/>
      <c r="N76" s="33"/>
      <c r="O76" s="55"/>
    </row>
    <row r="77" spans="1:15" ht="15.5" x14ac:dyDescent="0.35">
      <c r="A77" s="16" t="s">
        <v>49</v>
      </c>
      <c r="B77" s="29"/>
      <c r="C77" s="29"/>
      <c r="D77" s="29"/>
      <c r="E77" s="29"/>
      <c r="F77" s="29"/>
      <c r="G77" s="40">
        <f>'[4]Other Assumptions'!I77</f>
        <v>0</v>
      </c>
      <c r="H77" s="40">
        <f>'[4]Other Assumptions'!J77</f>
        <v>0.16442441612077097</v>
      </c>
      <c r="I77" s="40">
        <f>'[4]Other Assumptions'!K77</f>
        <v>0.18205317536037091</v>
      </c>
      <c r="J77" s="40">
        <f>'[4]Other Assumptions'!L77</f>
        <v>0.19351201955588571</v>
      </c>
      <c r="K77" s="40">
        <f>'[4]Other Assumptions'!M77</f>
        <v>0.19441818465248584</v>
      </c>
      <c r="L77" s="40">
        <f>'[4]Other Assumptions'!N77</f>
        <v>0.19260685486875684</v>
      </c>
      <c r="M77" s="40">
        <f>'[4]Other Assumptions'!O77</f>
        <v>0.19119865984812445</v>
      </c>
      <c r="N77" s="40">
        <f>'[4]Other Assumptions'!P77</f>
        <v>0.18537145142017097</v>
      </c>
      <c r="O77" s="41">
        <f>'[4]Other Assumptions'!Q77</f>
        <v>0.17451365511206407</v>
      </c>
    </row>
    <row r="78" spans="1:15" ht="15.5" x14ac:dyDescent="0.35">
      <c r="A78" s="16" t="s">
        <v>50</v>
      </c>
      <c r="B78" s="29"/>
      <c r="C78" s="29"/>
      <c r="D78" s="29"/>
      <c r="E78" s="29"/>
      <c r="F78" s="29"/>
      <c r="G78" s="40">
        <f>'[4]Other Assumptions'!I78</f>
        <v>0</v>
      </c>
      <c r="H78" s="40">
        <f>'[4]Other Assumptions'!J78</f>
        <v>0.1</v>
      </c>
      <c r="I78" s="40">
        <f>'[4]Other Assumptions'!K78</f>
        <v>0.1</v>
      </c>
      <c r="J78" s="40">
        <f>'[4]Other Assumptions'!L78</f>
        <v>0.1</v>
      </c>
      <c r="K78" s="40">
        <f>'[4]Other Assumptions'!M78</f>
        <v>0.1</v>
      </c>
      <c r="L78" s="40">
        <f>'[4]Other Assumptions'!N78</f>
        <v>0.1</v>
      </c>
      <c r="M78" s="40">
        <f>'[4]Other Assumptions'!O78</f>
        <v>0.1</v>
      </c>
      <c r="N78" s="40">
        <f>'[4]Other Assumptions'!P78</f>
        <v>0.1</v>
      </c>
      <c r="O78" s="41">
        <f>'[4]Other Assumptions'!Q78</f>
        <v>0.1</v>
      </c>
    </row>
    <row r="79" spans="1:15" ht="15.5" x14ac:dyDescent="0.35">
      <c r="A79" s="16" t="s">
        <v>51</v>
      </c>
      <c r="B79" s="29"/>
      <c r="C79" s="29"/>
      <c r="D79" s="29"/>
      <c r="E79" s="29"/>
      <c r="F79" s="29"/>
      <c r="G79" s="33"/>
      <c r="H79" s="33"/>
      <c r="I79" s="33"/>
      <c r="J79" s="33"/>
      <c r="K79" s="33"/>
      <c r="L79" s="33"/>
      <c r="M79" s="33"/>
      <c r="N79" s="33"/>
      <c r="O79" s="55"/>
    </row>
    <row r="80" spans="1:15" ht="15.5" x14ac:dyDescent="0.35">
      <c r="A80" s="16" t="s">
        <v>52</v>
      </c>
      <c r="B80" s="29"/>
      <c r="C80" s="29"/>
      <c r="D80" s="29"/>
      <c r="E80" s="29"/>
      <c r="F80" s="29"/>
      <c r="G80" s="40">
        <f>'[4]Other Assumptions'!I80</f>
        <v>0.45</v>
      </c>
      <c r="H80" s="40">
        <f>'[4]Other Assumptions'!J80</f>
        <v>0.45</v>
      </c>
      <c r="I80" s="40">
        <f>'[4]Other Assumptions'!K80</f>
        <v>0.45</v>
      </c>
      <c r="J80" s="40">
        <f>'[4]Other Assumptions'!L80</f>
        <v>0.45</v>
      </c>
      <c r="K80" s="40">
        <f>'[4]Other Assumptions'!M80</f>
        <v>0.45</v>
      </c>
      <c r="L80" s="40">
        <f>'[4]Other Assumptions'!N80</f>
        <v>0.45</v>
      </c>
      <c r="M80" s="40">
        <f>'[4]Other Assumptions'!O80</f>
        <v>0.45</v>
      </c>
      <c r="N80" s="40">
        <f>'[4]Other Assumptions'!P80</f>
        <v>0.45</v>
      </c>
      <c r="O80" s="41">
        <f>'[4]Other Assumptions'!Q80</f>
        <v>0.45</v>
      </c>
    </row>
    <row r="81" spans="1:15" ht="15.5" x14ac:dyDescent="0.35">
      <c r="A81" s="16" t="s">
        <v>53</v>
      </c>
      <c r="B81" s="29"/>
      <c r="C81" s="29"/>
      <c r="D81" s="29"/>
      <c r="E81" s="29"/>
      <c r="F81" s="29"/>
      <c r="G81" s="40">
        <f>'[4]Other Assumptions'!I81</f>
        <v>0.4</v>
      </c>
      <c r="H81" s="40">
        <f>'[4]Other Assumptions'!J81</f>
        <v>0.4</v>
      </c>
      <c r="I81" s="40">
        <f>'[4]Other Assumptions'!K81</f>
        <v>0.4</v>
      </c>
      <c r="J81" s="40">
        <f>'[4]Other Assumptions'!L81</f>
        <v>0.4</v>
      </c>
      <c r="K81" s="40">
        <f>'[4]Other Assumptions'!M81</f>
        <v>0.4</v>
      </c>
      <c r="L81" s="40">
        <f>'[4]Other Assumptions'!N81</f>
        <v>0.4</v>
      </c>
      <c r="M81" s="40">
        <f>'[4]Other Assumptions'!O81</f>
        <v>0.4</v>
      </c>
      <c r="N81" s="40">
        <f>'[4]Other Assumptions'!P81</f>
        <v>0.4</v>
      </c>
      <c r="O81" s="41">
        <f>'[4]Other Assumptions'!Q81</f>
        <v>0.4</v>
      </c>
    </row>
    <row r="82" spans="1:15" ht="15.5" x14ac:dyDescent="0.35">
      <c r="A82" s="16" t="s">
        <v>54</v>
      </c>
      <c r="B82" s="29"/>
      <c r="C82" s="29"/>
      <c r="D82" s="29"/>
      <c r="E82" s="29"/>
      <c r="F82" s="29"/>
      <c r="G82" s="40">
        <f>'[4]Other Assumptions'!I82</f>
        <v>0.1</v>
      </c>
      <c r="H82" s="40">
        <f>'[4]Other Assumptions'!J82</f>
        <v>0.1</v>
      </c>
      <c r="I82" s="40">
        <f>'[4]Other Assumptions'!K82</f>
        <v>0.1</v>
      </c>
      <c r="J82" s="40">
        <f>'[4]Other Assumptions'!L82</f>
        <v>0.1</v>
      </c>
      <c r="K82" s="40">
        <f>'[4]Other Assumptions'!M82</f>
        <v>0.1</v>
      </c>
      <c r="L82" s="40">
        <f>'[4]Other Assumptions'!N82</f>
        <v>0.1</v>
      </c>
      <c r="M82" s="40">
        <f>'[4]Other Assumptions'!O82</f>
        <v>0.1</v>
      </c>
      <c r="N82" s="40">
        <f>'[4]Other Assumptions'!P82</f>
        <v>0.1</v>
      </c>
      <c r="O82" s="41">
        <f>'[4]Other Assumptions'!Q82</f>
        <v>0.1</v>
      </c>
    </row>
    <row r="83" spans="1:15" ht="15.5" x14ac:dyDescent="0.35">
      <c r="A83" s="16" t="s">
        <v>55</v>
      </c>
      <c r="B83" s="29"/>
      <c r="C83" s="29"/>
      <c r="D83" s="29"/>
      <c r="E83" s="29"/>
      <c r="F83" s="29"/>
      <c r="G83" s="40">
        <f>'[4]Other Assumptions'!I83</f>
        <v>0.02</v>
      </c>
      <c r="H83" s="40">
        <f>'[4]Other Assumptions'!J83</f>
        <v>0.02</v>
      </c>
      <c r="I83" s="40">
        <f>'[4]Other Assumptions'!K83</f>
        <v>0.02</v>
      </c>
      <c r="J83" s="40">
        <f>'[4]Other Assumptions'!L83</f>
        <v>0.02</v>
      </c>
      <c r="K83" s="40">
        <f>'[4]Other Assumptions'!M83</f>
        <v>0.02</v>
      </c>
      <c r="L83" s="40">
        <f>'[4]Other Assumptions'!N83</f>
        <v>0.02</v>
      </c>
      <c r="M83" s="40">
        <f>'[4]Other Assumptions'!O83</f>
        <v>0.02</v>
      </c>
      <c r="N83" s="40">
        <f>'[4]Other Assumptions'!P83</f>
        <v>0.02</v>
      </c>
      <c r="O83" s="41">
        <f>'[4]Other Assumptions'!Q83</f>
        <v>0.02</v>
      </c>
    </row>
    <row r="84" spans="1:15" ht="15.5" x14ac:dyDescent="0.35">
      <c r="A84" s="16" t="s">
        <v>56</v>
      </c>
      <c r="B84" s="29"/>
      <c r="C84" s="29"/>
      <c r="D84" s="29"/>
      <c r="E84" s="29"/>
      <c r="F84" s="29"/>
      <c r="G84" s="40">
        <f>'[4]Other Assumptions'!I84</f>
        <v>0.03</v>
      </c>
      <c r="H84" s="40">
        <f>'[4]Other Assumptions'!J84</f>
        <v>0.03</v>
      </c>
      <c r="I84" s="40">
        <f>'[4]Other Assumptions'!K84</f>
        <v>0.03</v>
      </c>
      <c r="J84" s="40">
        <f>'[4]Other Assumptions'!L84</f>
        <v>0.03</v>
      </c>
      <c r="K84" s="40">
        <f>'[4]Other Assumptions'!M84</f>
        <v>0.03</v>
      </c>
      <c r="L84" s="40">
        <f>'[4]Other Assumptions'!N84</f>
        <v>0.03</v>
      </c>
      <c r="M84" s="40">
        <f>'[4]Other Assumptions'!O84</f>
        <v>0.03</v>
      </c>
      <c r="N84" s="40">
        <f>'[4]Other Assumptions'!P84</f>
        <v>0.03</v>
      </c>
      <c r="O84" s="41">
        <f>'[4]Other Assumptions'!Q84</f>
        <v>0.03</v>
      </c>
    </row>
    <row r="85" spans="1:15" x14ac:dyDescent="0.25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3"/>
      <c r="N85" s="33"/>
      <c r="O85" s="55"/>
    </row>
    <row r="86" spans="1:15" ht="15.5" x14ac:dyDescent="0.35">
      <c r="A86" s="16" t="s">
        <v>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3"/>
      <c r="N86" s="33"/>
      <c r="O86" s="55"/>
    </row>
    <row r="87" spans="1:15" ht="15.5" x14ac:dyDescent="0.35">
      <c r="A87" s="16" t="s">
        <v>48</v>
      </c>
      <c r="B87" s="31"/>
      <c r="C87" s="31"/>
      <c r="D87" s="31"/>
      <c r="E87" s="31"/>
      <c r="F87" s="31"/>
      <c r="G87" s="31"/>
      <c r="H87" s="29"/>
      <c r="I87" s="29"/>
      <c r="J87" s="29"/>
      <c r="K87" s="29"/>
      <c r="L87" s="29"/>
      <c r="M87" s="33"/>
      <c r="N87" s="33"/>
      <c r="O87" s="55"/>
    </row>
    <row r="88" spans="1:15" ht="15.5" x14ac:dyDescent="0.35">
      <c r="A88" s="16" t="s">
        <v>49</v>
      </c>
      <c r="B88" s="29"/>
      <c r="C88" s="29"/>
      <c r="D88" s="29"/>
      <c r="E88" s="29"/>
      <c r="F88" s="29"/>
      <c r="G88" s="40">
        <f>'[4]Other Assumptions'!I88</f>
        <v>0</v>
      </c>
      <c r="H88" s="40">
        <f>'[4]Other Assumptions'!J88</f>
        <v>0</v>
      </c>
      <c r="I88" s="40">
        <f>'[4]Other Assumptions'!K88</f>
        <v>0</v>
      </c>
      <c r="J88" s="40">
        <f>'[4]Other Assumptions'!L88</f>
        <v>0</v>
      </c>
      <c r="K88" s="40">
        <f>'[4]Other Assumptions'!M88</f>
        <v>0</v>
      </c>
      <c r="L88" s="40">
        <f>'[4]Other Assumptions'!N88</f>
        <v>0</v>
      </c>
      <c r="M88" s="40">
        <f>'[4]Other Assumptions'!O88</f>
        <v>0</v>
      </c>
      <c r="N88" s="40">
        <f>'[4]Other Assumptions'!P88</f>
        <v>0</v>
      </c>
      <c r="O88" s="41">
        <f>'[4]Other Assumptions'!Q88</f>
        <v>0</v>
      </c>
    </row>
    <row r="89" spans="1:15" ht="15.5" x14ac:dyDescent="0.35">
      <c r="A89" s="16" t="s">
        <v>50</v>
      </c>
      <c r="B89" s="29"/>
      <c r="C89" s="29"/>
      <c r="D89" s="29"/>
      <c r="E89" s="29"/>
      <c r="F89" s="29"/>
      <c r="G89" s="40">
        <f>'[4]Other Assumptions'!I89</f>
        <v>0</v>
      </c>
      <c r="H89" s="40">
        <f>'[4]Other Assumptions'!J89</f>
        <v>0</v>
      </c>
      <c r="I89" s="40">
        <f>'[4]Other Assumptions'!K89</f>
        <v>0</v>
      </c>
      <c r="J89" s="40">
        <f>'[4]Other Assumptions'!L89</f>
        <v>0</v>
      </c>
      <c r="K89" s="40">
        <f>'[4]Other Assumptions'!M89</f>
        <v>0</v>
      </c>
      <c r="L89" s="40">
        <f>'[4]Other Assumptions'!N89</f>
        <v>0</v>
      </c>
      <c r="M89" s="40">
        <f>'[4]Other Assumptions'!O89</f>
        <v>0</v>
      </c>
      <c r="N89" s="40">
        <f>'[4]Other Assumptions'!P89</f>
        <v>0</v>
      </c>
      <c r="O89" s="41">
        <f>'[4]Other Assumptions'!Q89</f>
        <v>0</v>
      </c>
    </row>
    <row r="90" spans="1:15" ht="15.5" x14ac:dyDescent="0.35">
      <c r="A90" s="16" t="s">
        <v>51</v>
      </c>
      <c r="B90" s="29"/>
      <c r="C90" s="29"/>
      <c r="D90" s="29"/>
      <c r="E90" s="29"/>
      <c r="F90" s="29"/>
      <c r="G90" s="33"/>
      <c r="H90" s="33"/>
      <c r="I90" s="33"/>
      <c r="J90" s="33"/>
      <c r="K90" s="33"/>
      <c r="L90" s="33"/>
      <c r="M90" s="33"/>
      <c r="N90" s="33"/>
      <c r="O90" s="55"/>
    </row>
    <row r="91" spans="1:15" ht="15.5" x14ac:dyDescent="0.35">
      <c r="A91" s="16" t="s">
        <v>52</v>
      </c>
      <c r="B91" s="29"/>
      <c r="C91" s="29"/>
      <c r="D91" s="29"/>
      <c r="E91" s="29"/>
      <c r="F91" s="29"/>
      <c r="G91" s="40">
        <f>'[4]Other Assumptions'!I91</f>
        <v>0</v>
      </c>
      <c r="H91" s="40">
        <f>'[4]Other Assumptions'!J91</f>
        <v>0</v>
      </c>
      <c r="I91" s="40">
        <f>'[4]Other Assumptions'!K91</f>
        <v>0</v>
      </c>
      <c r="J91" s="40">
        <f>'[4]Other Assumptions'!L91</f>
        <v>0</v>
      </c>
      <c r="K91" s="40">
        <f>'[4]Other Assumptions'!M91</f>
        <v>0</v>
      </c>
      <c r="L91" s="40">
        <f>'[4]Other Assumptions'!N91</f>
        <v>0</v>
      </c>
      <c r="M91" s="40">
        <f>'[4]Other Assumptions'!O91</f>
        <v>0</v>
      </c>
      <c r="N91" s="40">
        <f>'[4]Other Assumptions'!P91</f>
        <v>0</v>
      </c>
      <c r="O91" s="41">
        <f>'[4]Other Assumptions'!Q91</f>
        <v>0</v>
      </c>
    </row>
    <row r="92" spans="1:15" ht="15.5" x14ac:dyDescent="0.35">
      <c r="A92" s="16" t="s">
        <v>53</v>
      </c>
      <c r="B92" s="29"/>
      <c r="C92" s="29"/>
      <c r="D92" s="29"/>
      <c r="E92" s="29"/>
      <c r="F92" s="29"/>
      <c r="G92" s="40">
        <f>'[4]Other Assumptions'!I92</f>
        <v>0</v>
      </c>
      <c r="H92" s="40">
        <f>'[4]Other Assumptions'!J92</f>
        <v>0</v>
      </c>
      <c r="I92" s="40">
        <f>'[4]Other Assumptions'!K92</f>
        <v>0</v>
      </c>
      <c r="J92" s="40">
        <f>'[4]Other Assumptions'!L92</f>
        <v>0</v>
      </c>
      <c r="K92" s="40">
        <f>'[4]Other Assumptions'!M92</f>
        <v>0</v>
      </c>
      <c r="L92" s="40">
        <f>'[4]Other Assumptions'!N92</f>
        <v>0</v>
      </c>
      <c r="M92" s="40">
        <f>'[4]Other Assumptions'!O92</f>
        <v>0</v>
      </c>
      <c r="N92" s="40">
        <f>'[4]Other Assumptions'!P92</f>
        <v>0</v>
      </c>
      <c r="O92" s="41">
        <f>'[4]Other Assumptions'!Q92</f>
        <v>0</v>
      </c>
    </row>
    <row r="93" spans="1:15" ht="15.5" x14ac:dyDescent="0.35">
      <c r="A93" s="16" t="s">
        <v>54</v>
      </c>
      <c r="B93" s="29"/>
      <c r="C93" s="29"/>
      <c r="D93" s="29"/>
      <c r="E93" s="29"/>
      <c r="F93" s="29"/>
      <c r="G93" s="40">
        <f>'[4]Other Assumptions'!I93</f>
        <v>0</v>
      </c>
      <c r="H93" s="40">
        <f>'[4]Other Assumptions'!J93</f>
        <v>0</v>
      </c>
      <c r="I93" s="40">
        <f>'[4]Other Assumptions'!K93</f>
        <v>0</v>
      </c>
      <c r="J93" s="40">
        <f>'[4]Other Assumptions'!L93</f>
        <v>0</v>
      </c>
      <c r="K93" s="40">
        <f>'[4]Other Assumptions'!M93</f>
        <v>0</v>
      </c>
      <c r="L93" s="40">
        <f>'[4]Other Assumptions'!N93</f>
        <v>0</v>
      </c>
      <c r="M93" s="40">
        <f>'[4]Other Assumptions'!O93</f>
        <v>0</v>
      </c>
      <c r="N93" s="40">
        <f>'[4]Other Assumptions'!P93</f>
        <v>0</v>
      </c>
      <c r="O93" s="41">
        <f>'[4]Other Assumptions'!Q93</f>
        <v>0</v>
      </c>
    </row>
    <row r="94" spans="1:15" ht="15.5" x14ac:dyDescent="0.35">
      <c r="A94" s="16" t="s">
        <v>55</v>
      </c>
      <c r="B94" s="29"/>
      <c r="C94" s="29"/>
      <c r="D94" s="29"/>
      <c r="E94" s="29"/>
      <c r="F94" s="29"/>
      <c r="G94" s="40">
        <f>'[4]Other Assumptions'!I94</f>
        <v>0</v>
      </c>
      <c r="H94" s="40">
        <f>'[4]Other Assumptions'!J94</f>
        <v>0</v>
      </c>
      <c r="I94" s="40">
        <f>'[4]Other Assumptions'!K94</f>
        <v>0</v>
      </c>
      <c r="J94" s="40">
        <f>'[4]Other Assumptions'!L94</f>
        <v>0</v>
      </c>
      <c r="K94" s="40">
        <f>'[4]Other Assumptions'!M94</f>
        <v>0</v>
      </c>
      <c r="L94" s="40">
        <f>'[4]Other Assumptions'!N94</f>
        <v>0</v>
      </c>
      <c r="M94" s="40">
        <f>'[4]Other Assumptions'!O94</f>
        <v>0</v>
      </c>
      <c r="N94" s="40">
        <f>'[4]Other Assumptions'!P94</f>
        <v>0</v>
      </c>
      <c r="O94" s="41">
        <f>'[4]Other Assumptions'!Q94</f>
        <v>0</v>
      </c>
    </row>
    <row r="95" spans="1:15" ht="16" thickBot="1" x14ac:dyDescent="0.4">
      <c r="A95" s="23" t="s">
        <v>56</v>
      </c>
      <c r="B95" s="34"/>
      <c r="C95" s="34"/>
      <c r="D95" s="34"/>
      <c r="E95" s="34"/>
      <c r="F95" s="34"/>
      <c r="G95" s="53">
        <f>'[4]Other Assumptions'!I95</f>
        <v>0</v>
      </c>
      <c r="H95" s="53">
        <f>'[4]Other Assumptions'!J95</f>
        <v>0</v>
      </c>
      <c r="I95" s="53">
        <f>'[4]Other Assumptions'!K95</f>
        <v>0</v>
      </c>
      <c r="J95" s="53">
        <f>'[4]Other Assumptions'!L95</f>
        <v>0</v>
      </c>
      <c r="K95" s="53">
        <f>'[4]Other Assumptions'!M95</f>
        <v>0</v>
      </c>
      <c r="L95" s="53">
        <f>'[4]Other Assumptions'!N95</f>
        <v>0</v>
      </c>
      <c r="M95" s="53">
        <f>'[4]Other Assumptions'!O95</f>
        <v>0</v>
      </c>
      <c r="N95" s="53">
        <f>'[4]Other Assumptions'!P95</f>
        <v>0</v>
      </c>
      <c r="O95" s="54">
        <f>'[4]Other Assumptions'!Q95</f>
        <v>0</v>
      </c>
    </row>
    <row r="96" spans="1:15" ht="13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177"/>
  <sheetViews>
    <sheetView topLeftCell="A115" workbookViewId="0">
      <selection activeCell="K23" sqref="K23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13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'Total Distance Tables Sup #2'!B5</f>
        <v>17.849116999</v>
      </c>
      <c r="C5" s="4">
        <f ca="1">'Total Distance Tables Sup #2'!C5</f>
        <v>18.767226236114464</v>
      </c>
      <c r="D5" s="4">
        <f ca="1">'Total Distance Tables Sup #2'!D5</f>
        <v>20.291577888308879</v>
      </c>
      <c r="E5" s="4">
        <f ca="1">'Total Distance Tables Sup #2'!E5</f>
        <v>21.483983549718808</v>
      </c>
      <c r="F5" s="4">
        <f ca="1">'Total Distance Tables Sup #2'!F5</f>
        <v>22.406057002806783</v>
      </c>
      <c r="G5" s="4">
        <f ca="1">'Total Distance Tables Sup #2'!G5</f>
        <v>23.224637609220522</v>
      </c>
      <c r="H5" s="4">
        <f ca="1">'Total Distance Tables Sup #2'!H5</f>
        <v>23.90847607705016</v>
      </c>
      <c r="I5" s="1">
        <f ca="1">'Total Distance Tables Sup #2'!I5</f>
        <v>23.993334875152701</v>
      </c>
      <c r="J5" s="1">
        <f ca="1">'Total Distance Tables Sup #2'!J5</f>
        <v>24.002187653056286</v>
      </c>
      <c r="K5" s="1">
        <f ca="1">'Total Distance Tables Sup #2'!K5</f>
        <v>23.959780257933598</v>
      </c>
    </row>
    <row r="6" spans="1:11" x14ac:dyDescent="0.25">
      <c r="A6" t="str">
        <f ca="1">OFFSET(Northland_Reference,7,2)</f>
        <v>Cyclist</v>
      </c>
      <c r="B6" s="4">
        <f ca="1">'Total Distance Tables Sup #2'!B6</f>
        <v>1.0072239942000001</v>
      </c>
      <c r="C6" s="4">
        <f ca="1">'Total Distance Tables Sup #2'!C6</f>
        <v>1.0961271310404386</v>
      </c>
      <c r="D6" s="4">
        <f ca="1">'Total Distance Tables Sup #2'!D6</f>
        <v>1.5882903765152652</v>
      </c>
      <c r="E6" s="4">
        <f ca="1">'Total Distance Tables Sup #2'!E6</f>
        <v>2.0637005897739966</v>
      </c>
      <c r="F6" s="4">
        <f ca="1">'Total Distance Tables Sup #2'!F6</f>
        <v>2.5723890343799867</v>
      </c>
      <c r="G6" s="4">
        <f ca="1">'Total Distance Tables Sup #2'!G6</f>
        <v>3.1387298424584</v>
      </c>
      <c r="H6" s="4">
        <f ca="1">'Total Distance Tables Sup #2'!H6</f>
        <v>3.7322381023877482</v>
      </c>
      <c r="I6" s="1">
        <f ca="1">'Total Distance Tables Sup #2'!I6</f>
        <v>3.7630820800573894</v>
      </c>
      <c r="J6" s="1">
        <f ca="1">'Total Distance Tables Sup #2'!J6</f>
        <v>3.7823290036573289</v>
      </c>
      <c r="K6" s="1">
        <f ca="1">'Total Distance Tables Sup #2'!K6</f>
        <v>3.7937260613731683</v>
      </c>
    </row>
    <row r="7" spans="1:11" x14ac:dyDescent="0.25">
      <c r="A7" t="str">
        <f ca="1">OFFSET(Northland_Reference,14,2)</f>
        <v>Light Vehicle Driver</v>
      </c>
      <c r="B7" s="4">
        <f ca="1">'Total Distance Tables Sup #2'!B7</f>
        <v>1011.4273062</v>
      </c>
      <c r="C7" s="4">
        <f ca="1">'Total Distance Tables Sup #2'!C7*(1-'Other Assumptions'!G6)</f>
        <v>1100.7217232881153</v>
      </c>
      <c r="D7" s="4">
        <f ca="1">'Total Distance Tables Sup #2'!D7*(1-'Other Assumptions'!H6)</f>
        <v>1147.710610488765</v>
      </c>
      <c r="E7" s="4">
        <f ca="1">'Total Distance Tables Sup #2'!E7*(1-'Other Assumptions'!I6)</f>
        <v>1069.029330403321</v>
      </c>
      <c r="F7" s="4">
        <f ca="1">'Total Distance Tables Sup #2'!F7*(1-'Other Assumptions'!J6)</f>
        <v>975.22401757120588</v>
      </c>
      <c r="G7" s="4">
        <f ca="1">'Total Distance Tables Sup #2'!G7*(1-'Other Assumptions'!K6)</f>
        <v>864.84550107898247</v>
      </c>
      <c r="H7" s="4">
        <f ca="1">'Total Distance Tables Sup #2'!H7*(1-'Other Assumptions'!L6)</f>
        <v>746.92045342964354</v>
      </c>
      <c r="I7" s="1">
        <f ca="1">'Total Distance Tables Sup #2'!I7*(1-'Other Assumptions'!M6)</f>
        <v>625.8557606306091</v>
      </c>
      <c r="J7" s="1">
        <f ca="1">'Total Distance Tables Sup #2'!J7*(1-'Other Assumptions'!N6)</f>
        <v>501.83871225462991</v>
      </c>
      <c r="K7" s="1">
        <f ca="1">'Total Distance Tables Sup #2'!K7*(1-'Other Assumptions'!O6)</f>
        <v>501.91823611948359</v>
      </c>
    </row>
    <row r="8" spans="1:11" x14ac:dyDescent="0.25">
      <c r="A8" t="str">
        <f ca="1">OFFSET(Northland_Reference,21,2)</f>
        <v>Light Vehicle Passenger</v>
      </c>
      <c r="B8" s="4">
        <f ca="1">'Total Distance Tables Sup #2'!B8</f>
        <v>666.23785996000004</v>
      </c>
      <c r="C8" s="4">
        <f ca="1">'Total Distance Tables Sup #2'!C8*(1-'Other Assumptions'!G6)</f>
        <v>697.54273977354603</v>
      </c>
      <c r="D8" s="4">
        <f ca="1">'Total Distance Tables Sup #2'!D8*(1-'Other Assumptions'!H6)</f>
        <v>711.71771149172048</v>
      </c>
      <c r="E8" s="4">
        <f ca="1">'Total Distance Tables Sup #2'!E8*(1-'Other Assumptions'!I6)</f>
        <v>649.30882224875393</v>
      </c>
      <c r="F8" s="4">
        <f ca="1">'Total Distance Tables Sup #2'!F8*(1-'Other Assumptions'!J6)</f>
        <v>579.27240811329375</v>
      </c>
      <c r="G8" s="4">
        <f ca="1">'Total Distance Tables Sup #2'!G8*(1-'Other Assumptions'!K6)</f>
        <v>504.6359530153872</v>
      </c>
      <c r="H8" s="4">
        <f ca="1">'Total Distance Tables Sup #2'!H8*(1-'Other Assumptions'!L6)</f>
        <v>428.09626111913946</v>
      </c>
      <c r="I8" s="1">
        <f ca="1">'Total Distance Tables Sup #2'!I8*(1-'Other Assumptions'!M6)</f>
        <v>359.10492450181442</v>
      </c>
      <c r="J8" s="1">
        <f ca="1">'Total Distance Tables Sup #2'!J8*(1-'Other Assumptions'!N6)</f>
        <v>288.26561819332323</v>
      </c>
      <c r="K8" s="1">
        <f ca="1">'Total Distance Tables Sup #2'!K8*(1-'Other Assumptions'!O6)</f>
        <v>288.63203948578325</v>
      </c>
    </row>
    <row r="9" spans="1:11" x14ac:dyDescent="0.25">
      <c r="A9" t="str">
        <f ca="1">OFFSET(Northland_Reference,28,2)</f>
        <v>Taxi/Vehicle Share</v>
      </c>
      <c r="B9" s="4">
        <f ca="1">'Total Distance Tables Sup #2'!B9</f>
        <v>0.75976041549999995</v>
      </c>
      <c r="C9" s="4">
        <f ca="1">'Total Distance Tables Sup #2'!C9+((C7+C8)*'Other Assumptions'!G6/(1-'Other Assumptions'!G6))</f>
        <v>0.8617410004730689</v>
      </c>
      <c r="D9" s="4">
        <f ca="1">'Total Distance Tables Sup #2'!D9+((D7+D8)*'Other Assumptions'!H6/(1-'Other Assumptions'!H6))</f>
        <v>0.94481287775548894</v>
      </c>
      <c r="E9" s="4">
        <f ca="1">'Total Distance Tables Sup #2'!E9+((E7+E8)*'Other Assumptions'!I6/(1-'Other Assumptions'!I6))</f>
        <v>191.94480587990338</v>
      </c>
      <c r="F9" s="4">
        <f ca="1">'Total Distance Tables Sup #2'!F9+((F7+F8)*'Other Assumptions'!J6/(1-'Other Assumptions'!J6))</f>
        <v>389.70134671895579</v>
      </c>
      <c r="G9" s="4">
        <f ca="1">'Total Distance Tables Sup #2'!G9+((G7+G8)*'Other Assumptions'!K6/(1-'Other Assumptions'!K6))</f>
        <v>588.03722433692349</v>
      </c>
      <c r="H9" s="4">
        <f ca="1">'Total Distance Tables Sup #2'!H9+((H7+H8)*'Other Assumptions'!L6/(1-'Other Assumptions'!L6))</f>
        <v>784.49459115744435</v>
      </c>
      <c r="I9" s="1">
        <f ca="1">'Total Distance Tables Sup #2'!I9+((I7+I8)*'Other Assumptions'!M6/(1-'Other Assumptions'!M6))</f>
        <v>986.11387784347778</v>
      </c>
      <c r="J9" s="1">
        <f ca="1">'Total Distance Tables Sup #2'!J9+((J7+J8)*'Other Assumptions'!N6/(1-'Other Assumptions'!N6))</f>
        <v>1186.3090869568223</v>
      </c>
      <c r="K9" s="1">
        <f ca="1">'Total Distance Tables Sup #2'!K9+((K7+K8)*'Other Assumptions'!O6/(1-'Other Assumptions'!O6))</f>
        <v>1186.9749224226875</v>
      </c>
    </row>
    <row r="10" spans="1:11" x14ac:dyDescent="0.25">
      <c r="A10" t="str">
        <f ca="1">OFFSET(Northland_Reference,35,2)</f>
        <v>Motorcyclist</v>
      </c>
      <c r="B10" s="4">
        <f ca="1">'Total Distance Tables Sup #2'!B10</f>
        <v>9.2423909657000003</v>
      </c>
      <c r="C10" s="4">
        <f ca="1">'Total Distance Tables Sup #2'!C10</f>
        <v>10.060223522479673</v>
      </c>
      <c r="D10" s="4">
        <f ca="1">'Total Distance Tables Sup #2'!D10</f>
        <v>10.481694481717982</v>
      </c>
      <c r="E10" s="4">
        <f ca="1">'Total Distance Tables Sup #2'!E10</f>
        <v>10.663508061365253</v>
      </c>
      <c r="F10" s="4">
        <f ca="1">'Total Distance Tables Sup #2'!F10</f>
        <v>10.703956029117174</v>
      </c>
      <c r="G10" s="4">
        <f ca="1">'Total Distance Tables Sup #2'!G10</f>
        <v>10.536617711075795</v>
      </c>
      <c r="H10" s="4">
        <f ca="1">'Total Distance Tables Sup #2'!H10</f>
        <v>10.304895651045236</v>
      </c>
      <c r="I10" s="1">
        <f ca="1">'Total Distance Tables Sup #2'!I10</f>
        <v>10.425571959938052</v>
      </c>
      <c r="J10" s="1">
        <f ca="1">'Total Distance Tables Sup #2'!J10</f>
        <v>10.514490936852701</v>
      </c>
      <c r="K10" s="1">
        <f ca="1">'Total Distance Tables Sup #2'!K10</f>
        <v>10.581753700362061</v>
      </c>
    </row>
    <row r="11" spans="1:11" x14ac:dyDescent="0.25">
      <c r="A11" t="str">
        <f ca="1">OFFSET(Auckland_Reference,42,2)</f>
        <v>Local Train</v>
      </c>
      <c r="B11" s="4">
        <f ca="1">'Total Distance Tables Sup #2'!B11</f>
        <v>0</v>
      </c>
      <c r="C11" s="4">
        <f ca="1">'Total Distance Tables Sup #2'!C11</f>
        <v>0</v>
      </c>
      <c r="D11" s="4">
        <f ca="1">'Total Distance Tables Sup #2'!D11</f>
        <v>0</v>
      </c>
      <c r="E11" s="4">
        <f ca="1">'Total Distance Tables Sup #2'!E11</f>
        <v>0</v>
      </c>
      <c r="F11" s="4">
        <f ca="1">'Total Distance Tables Sup #2'!F11</f>
        <v>0</v>
      </c>
      <c r="G11" s="4">
        <f ca="1">'Total Distance Tables Sup #2'!G11</f>
        <v>0</v>
      </c>
      <c r="H11" s="4">
        <f ca="1">'Total Distance Tables Sup #2'!H11</f>
        <v>0</v>
      </c>
      <c r="I11" s="1">
        <f ca="1">'Total Distance Tables Sup #2'!I11</f>
        <v>0</v>
      </c>
      <c r="J11" s="1">
        <f ca="1">'Total Distance Tables Sup #2'!J11</f>
        <v>0</v>
      </c>
      <c r="K11" s="1">
        <f ca="1">'Total Distance Tables Sup #2'!K11</f>
        <v>0</v>
      </c>
    </row>
    <row r="12" spans="1:11" x14ac:dyDescent="0.25">
      <c r="A12" t="str">
        <f ca="1">OFFSET(Northland_Reference,42,2)</f>
        <v>Local Bus</v>
      </c>
      <c r="B12" s="4">
        <f ca="1">'Total Distance Tables Sup #2'!B12</f>
        <v>44.734594063999999</v>
      </c>
      <c r="C12" s="4">
        <f ca="1">'Total Distance Tables Sup #2'!C12</f>
        <v>43.384731572267668</v>
      </c>
      <c r="D12" s="4">
        <f ca="1">'Total Distance Tables Sup #2'!D12</f>
        <v>42.233675441070901</v>
      </c>
      <c r="E12" s="4">
        <f ca="1">'Total Distance Tables Sup #2'!E12</f>
        <v>41.360656839606634</v>
      </c>
      <c r="F12" s="4">
        <f ca="1">'Total Distance Tables Sup #2'!F12</f>
        <v>39.739708775500226</v>
      </c>
      <c r="G12" s="4">
        <f ca="1">'Total Distance Tables Sup #2'!G12</f>
        <v>38.572297591238886</v>
      </c>
      <c r="H12" s="4">
        <f ca="1">'Total Distance Tables Sup #2'!H12</f>
        <v>37.265326625834454</v>
      </c>
      <c r="I12" s="1">
        <f ca="1">'Total Distance Tables Sup #2'!I12</f>
        <v>37.515427611156191</v>
      </c>
      <c r="J12" s="1">
        <f ca="1">'Total Distance Tables Sup #2'!J12</f>
        <v>37.64693504980508</v>
      </c>
      <c r="K12" s="1">
        <f ca="1">'Total Distance Tables Sup #2'!K12</f>
        <v>37.697648860954558</v>
      </c>
    </row>
    <row r="13" spans="1:11" x14ac:dyDescent="0.25">
      <c r="A13" t="str">
        <f ca="1">OFFSET(Northland_Reference,49,2)</f>
        <v>Local Ferry</v>
      </c>
      <c r="B13" s="4">
        <f ca="1">'Total Distance Tables Sup #2'!B13</f>
        <v>0</v>
      </c>
      <c r="C13" s="4">
        <f ca="1">'Total Distance Tables Sup #2'!C13</f>
        <v>0</v>
      </c>
      <c r="D13" s="4">
        <f ca="1">'Total Distance Tables Sup #2'!D13</f>
        <v>0</v>
      </c>
      <c r="E13" s="4">
        <f ca="1">'Total Distance Tables Sup #2'!E13</f>
        <v>0</v>
      </c>
      <c r="F13" s="4">
        <f ca="1">'Total Distance Tables Sup #2'!F13</f>
        <v>0</v>
      </c>
      <c r="G13" s="4">
        <f ca="1">'Total Distance Tables Sup #2'!G13</f>
        <v>0</v>
      </c>
      <c r="H13" s="4">
        <f ca="1">'Total Distance Tables Sup #2'!H13</f>
        <v>0</v>
      </c>
      <c r="I13" s="1">
        <f ca="1">'Total Distance Tables Sup #2'!I13</f>
        <v>0</v>
      </c>
      <c r="J13" s="1">
        <f ca="1">'Total Distance Tables Sup #2'!J13</f>
        <v>0</v>
      </c>
      <c r="K13" s="1">
        <f ca="1">'Total Distance Tables Sup #2'!K13</f>
        <v>0</v>
      </c>
    </row>
    <row r="14" spans="1:11" x14ac:dyDescent="0.25">
      <c r="A14" t="str">
        <f ca="1">OFFSET(Northland_Reference,56,2)</f>
        <v>Other Household Travel</v>
      </c>
      <c r="B14" s="4">
        <f ca="1">'Total Distance Tables Sup #2'!B14</f>
        <v>0</v>
      </c>
      <c r="C14" s="4">
        <f ca="1">'Total Distance Tables Sup #2'!C14</f>
        <v>0</v>
      </c>
      <c r="D14" s="4">
        <f ca="1">'Total Distance Tables Sup #2'!D14</f>
        <v>0</v>
      </c>
      <c r="E14" s="4">
        <f ca="1">'Total Distance Tables Sup #2'!E14</f>
        <v>0</v>
      </c>
      <c r="F14" s="4">
        <f ca="1">'Total Distance Tables Sup #2'!F14</f>
        <v>0</v>
      </c>
      <c r="G14" s="4">
        <f ca="1">'Total Distance Tables Sup #2'!G14</f>
        <v>0</v>
      </c>
      <c r="H14" s="4">
        <f ca="1">'Total Distance Tables Sup #2'!H14</f>
        <v>0</v>
      </c>
      <c r="I14" s="1">
        <f ca="1">'Total Distance Tables Sup #2'!I14</f>
        <v>0</v>
      </c>
      <c r="J14" s="1">
        <f ca="1">'Total Distance Tables Sup #2'!J14</f>
        <v>0</v>
      </c>
      <c r="K14" s="1">
        <f ca="1">'Total Distance Tables Sup #2'!K14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'Total Distance Tables Sup #2'!B16</f>
        <v>294.55939388000002</v>
      </c>
      <c r="C16" s="4">
        <f ca="1">'Total Distance Tables Sup #2'!C16+'Total Distance Tables Sup #2'!C18*'Other Assumptions'!G66*'Other Assumptions'!G73+'Total Distance Tables Sup #2'!C19*'Other Assumptions'!G66*'Other Assumptions'!G73</f>
        <v>329.61879490397536</v>
      </c>
      <c r="D16" s="4">
        <f ca="1">'Total Distance Tables Sup #2'!D16+'Total Distance Tables Sup #2'!D18*'Other Assumptions'!H66*'Other Assumptions'!H73+'Total Distance Tables Sup #2'!D19*'Other Assumptions'!H66*'Other Assumptions'!H73</f>
        <v>470.95314797711063</v>
      </c>
      <c r="E16" s="4">
        <f ca="1">'Total Distance Tables Sup #2'!E16+'Total Distance Tables Sup #2'!E18*'Other Assumptions'!I66*'Other Assumptions'!I73+'Total Distance Tables Sup #2'!E19*'Other Assumptions'!I66*'Other Assumptions'!I73</f>
        <v>515.75537477729551</v>
      </c>
      <c r="F16" s="4">
        <f ca="1">'Total Distance Tables Sup #2'!F16+'Total Distance Tables Sup #2'!F18*'Other Assumptions'!J66*'Other Assumptions'!J73+'Total Distance Tables Sup #2'!F19*'Other Assumptions'!J66*'Other Assumptions'!J73</f>
        <v>556.45979354970245</v>
      </c>
      <c r="G16" s="4">
        <f ca="1">'Total Distance Tables Sup #2'!G16+'Total Distance Tables Sup #2'!G18*'Other Assumptions'!K66*'Other Assumptions'!K73+'Total Distance Tables Sup #2'!G19*'Other Assumptions'!K66*'Other Assumptions'!K73</f>
        <v>587.96868005500187</v>
      </c>
      <c r="H16" s="4">
        <f ca="1">'Total Distance Tables Sup #2'!H16+'Total Distance Tables Sup #2'!H18*'Other Assumptions'!L66*'Other Assumptions'!L73+'Total Distance Tables Sup #2'!H19*'Other Assumptions'!L66*'Other Assumptions'!L73</f>
        <v>615.38950768330778</v>
      </c>
      <c r="I16" s="1">
        <f ca="1">'Total Distance Tables Sup #2'!I16+'Total Distance Tables Sup #2'!I18*'Other Assumptions'!M66*'Other Assumptions'!M73+'Total Distance Tables Sup #2'!I19*'Other Assumptions'!M66*'Other Assumptions'!M73</f>
        <v>634.35151648009344</v>
      </c>
      <c r="J16" s="1">
        <f ca="1">'Total Distance Tables Sup #2'!J16+'Total Distance Tables Sup #2'!J18*'Other Assumptions'!N66*'Other Assumptions'!N73+'Total Distance Tables Sup #2'!J19*'Other Assumptions'!N66*'Other Assumptions'!N73</f>
        <v>649.11412091599448</v>
      </c>
      <c r="K16" s="1">
        <f ca="1">'Total Distance Tables Sup #2'!K16+'Total Distance Tables Sup #2'!K18*'Other Assumptions'!O66*'Other Assumptions'!O73+'Total Distance Tables Sup #2'!K19*'Other Assumptions'!O66*'Other Assumptions'!O73</f>
        <v>659.01300715884395</v>
      </c>
    </row>
    <row r="17" spans="1:17" x14ac:dyDescent="0.25">
      <c r="A17" t="str">
        <f ca="1">OFFSET(Auckland_Reference,7,2)</f>
        <v>Cyclist</v>
      </c>
      <c r="B17" s="4">
        <f ca="1">'Total Distance Tables Sup #2'!B17</f>
        <v>55.843008154000003</v>
      </c>
      <c r="C17" s="4">
        <f ca="1">'Total Distance Tables Sup #2'!C17+'Total Distance Tables Sup #2'!C18*'Other Assumptions'!G66*'Other Assumptions'!G72+'Total Distance Tables Sup #2'!C19*'Other Assumptions'!G66*'Other Assumptions'!G72</f>
        <v>64.705814009594476</v>
      </c>
      <c r="D17" s="4">
        <f ca="1">'Total Distance Tables Sup #2'!D17+'Total Distance Tables Sup #2'!D18*'Other Assumptions'!H66*'Other Assumptions'!H72+'Total Distance Tables Sup #2'!D19*'Other Assumptions'!H66*'Other Assumptions'!H72</f>
        <v>170.61358489642052</v>
      </c>
      <c r="E17" s="4">
        <f ca="1">'Total Distance Tables Sup #2'!E17+'Total Distance Tables Sup #2'!E18*'Other Assumptions'!I66*'Other Assumptions'!I72+'Total Distance Tables Sup #2'!E19*'Other Assumptions'!I66*'Other Assumptions'!I72</f>
        <v>216.92674545517357</v>
      </c>
      <c r="F17" s="4">
        <f ca="1">'Total Distance Tables Sup #2'!F17+'Total Distance Tables Sup #2'!F18*'Other Assumptions'!J66*'Other Assumptions'!J72+'Total Distance Tables Sup #2'!F19*'Other Assumptions'!J66*'Other Assumptions'!J72</f>
        <v>264.64835122070292</v>
      </c>
      <c r="G17" s="4">
        <f ca="1">'Total Distance Tables Sup #2'!G17+'Total Distance Tables Sup #2'!G18*'Other Assumptions'!K66*'Other Assumptions'!K72+'Total Distance Tables Sup #2'!G19*'Other Assumptions'!K66*'Other Assumptions'!K72</f>
        <v>312.01302524673213</v>
      </c>
      <c r="H17" s="4">
        <f ca="1">'Total Distance Tables Sup #2'!H17+'Total Distance Tables Sup #2'!H18*'Other Assumptions'!L66*'Other Assumptions'!L72+'Total Distance Tables Sup #2'!H19*'Other Assumptions'!L66*'Other Assumptions'!L72</f>
        <v>361.02208054053551</v>
      </c>
      <c r="I17" s="1">
        <f ca="1">'Total Distance Tables Sup #2'!I17+'Total Distance Tables Sup #2'!I18*'Other Assumptions'!M66*'Other Assumptions'!M72+'Total Distance Tables Sup #2'!I19*'Other Assumptions'!M66*'Other Assumptions'!M72</f>
        <v>375.59393945455554</v>
      </c>
      <c r="J17" s="1">
        <f ca="1">'Total Distance Tables Sup #2'!J17+'Total Distance Tables Sup #2'!J18*'Other Assumptions'!N66*'Other Assumptions'!N72+'Total Distance Tables Sup #2'!J19*'Other Assumptions'!N66*'Other Assumptions'!N72</f>
        <v>387.7274975204777</v>
      </c>
      <c r="K17" s="1">
        <f ca="1">'Total Distance Tables Sup #2'!K17+'Total Distance Tables Sup #2'!K18*'Other Assumptions'!O66*'Other Assumptions'!O72+'Total Distance Tables Sup #2'!K19*'Other Assumptions'!O66*'Other Assumptions'!O72</f>
        <v>397.00700668493857</v>
      </c>
    </row>
    <row r="18" spans="1:17" x14ac:dyDescent="0.25">
      <c r="A18" t="str">
        <f ca="1">OFFSET(Auckland_Reference,14,2)</f>
        <v>Light Vehicle Driver</v>
      </c>
      <c r="B18" s="4">
        <f ca="1">'Total Distance Tables Sup #2'!B18</f>
        <v>9374.4733825999992</v>
      </c>
      <c r="C18" s="4">
        <f ca="1">'Total Distance Tables Sup #2'!C18*(1-'Other Assumptions'!G7)*(1-'Other Assumptions'!G66)</f>
        <v>10823.956226264809</v>
      </c>
      <c r="D18" s="4">
        <f ca="1">'Total Distance Tables Sup #2'!D18*(1-'Other Assumptions'!H7)*(1-'Other Assumptions'!H66)</f>
        <v>8969.4888558976254</v>
      </c>
      <c r="E18" s="4">
        <f ca="1">'Total Distance Tables Sup #2'!E18*(1-'Other Assumptions'!I7)*(1-'Other Assumptions'!I66)</f>
        <v>8033.0964860167851</v>
      </c>
      <c r="F18" s="4">
        <f ca="1">'Total Distance Tables Sup #2'!F18*(1-'Other Assumptions'!J7)*(1-'Other Assumptions'!J66)</f>
        <v>7132.264595211539</v>
      </c>
      <c r="G18" s="4">
        <f ca="1">'Total Distance Tables Sup #2'!G18*(1-'Other Assumptions'!K7)*(1-'Other Assumptions'!K66)</f>
        <v>6236.1842744159094</v>
      </c>
      <c r="H18" s="4">
        <f ca="1">'Total Distance Tables Sup #2'!H18*(1-'Other Assumptions'!L7)*(1-'Other Assumptions'!L66)</f>
        <v>5316.1046854657379</v>
      </c>
      <c r="I18" s="1">
        <f ca="1">'Total Distance Tables Sup #2'!I18*(1-'Other Assumptions'!M7)*(1-'Other Assumptions'!M66)</f>
        <v>4383.7164186642003</v>
      </c>
      <c r="J18" s="1">
        <f ca="1">'Total Distance Tables Sup #2'!J18*(1-'Other Assumptions'!N7)*(1-'Other Assumptions'!N66)</f>
        <v>3473.4612328716398</v>
      </c>
      <c r="K18" s="1">
        <f ca="1">'Total Distance Tables Sup #2'!K18*(1-'Other Assumptions'!O7)*(1-'Other Assumptions'!O66)</f>
        <v>3455.8644934950216</v>
      </c>
    </row>
    <row r="19" spans="1:17" x14ac:dyDescent="0.25">
      <c r="A19" t="str">
        <f ca="1">OFFSET(Auckland_Reference,21,2)</f>
        <v>Light Vehicle Passenger</v>
      </c>
      <c r="B19" s="4">
        <f ca="1">'Total Distance Tables Sup #2'!B19</f>
        <v>4814.6436660999998</v>
      </c>
      <c r="C19" s="4">
        <f ca="1">'Total Distance Tables Sup #2'!C19*(1-'Other Assumptions'!G7)*(1-'Other Assumptions'!G66+'Other Assumptions'!G66*'Other Assumptions'!G69)+'Total Distance Tables Sup #2'!C18*(1-'Other Assumptions'!G7)*'Other Assumptions'!G66*'Other Assumptions'!G69</f>
        <v>5328.6358558951306</v>
      </c>
      <c r="D19" s="4">
        <f ca="1">'Total Distance Tables Sup #2'!D19*(1-'Other Assumptions'!H7)*(1-'Other Assumptions'!H66+'Other Assumptions'!H66*'Other Assumptions'!H69)+'Total Distance Tables Sup #2'!D18*(1-'Other Assumptions'!H7)*'Other Assumptions'!H66*'Other Assumptions'!H69</f>
        <v>5928.2630905577134</v>
      </c>
      <c r="E19" s="4">
        <f ca="1">'Total Distance Tables Sup #2'!E19*(1-'Other Assumptions'!I7)*(1-'Other Assumptions'!I66+'Other Assumptions'!I66*'Other Assumptions'!I69)+'Total Distance Tables Sup #2'!E18*(1-'Other Assumptions'!I7)*'Other Assumptions'!I66*'Other Assumptions'!I69</f>
        <v>5493.026742154183</v>
      </c>
      <c r="F19" s="4">
        <f ca="1">'Total Distance Tables Sup #2'!F19*(1-'Other Assumptions'!J7)*(1-'Other Assumptions'!J66+'Other Assumptions'!J66*'Other Assumptions'!J69)+'Total Distance Tables Sup #2'!F18*(1-'Other Assumptions'!J7)*'Other Assumptions'!J66*'Other Assumptions'!J69</f>
        <v>5023.3395822596121</v>
      </c>
      <c r="G19" s="4">
        <f ca="1">'Total Distance Tables Sup #2'!G19*(1-'Other Assumptions'!K7)*(1-'Other Assumptions'!K66+'Other Assumptions'!K66*'Other Assumptions'!K69)+'Total Distance Tables Sup #2'!G18*(1-'Other Assumptions'!K7)*'Other Assumptions'!K66*'Other Assumptions'!K69</f>
        <v>4456.5942981066819</v>
      </c>
      <c r="H19" s="4">
        <f ca="1">'Total Distance Tables Sup #2'!H19*(1-'Other Assumptions'!L7)*(1-'Other Assumptions'!L66+'Other Assumptions'!L66*'Other Assumptions'!L69)+'Total Distance Tables Sup #2'!H18*(1-'Other Assumptions'!L7)*'Other Assumptions'!L66*'Other Assumptions'!L69</f>
        <v>3846.456024807092</v>
      </c>
      <c r="I19" s="1">
        <f ca="1">'Total Distance Tables Sup #2'!I19*(1-'Other Assumptions'!M7)*(1-'Other Assumptions'!M66+'Other Assumptions'!M66*'Other Assumptions'!M69)+'Total Distance Tables Sup #2'!I18*(1-'Other Assumptions'!M7)*'Other Assumptions'!M66*'Other Assumptions'!M69</f>
        <v>3279.7446595152542</v>
      </c>
      <c r="J19" s="1">
        <f ca="1">'Total Distance Tables Sup #2'!J19*(1-'Other Assumptions'!N7)*(1-'Other Assumptions'!N66+'Other Assumptions'!N66*'Other Assumptions'!N69)+'Total Distance Tables Sup #2'!J18*(1-'Other Assumptions'!N7)*'Other Assumptions'!N66*'Other Assumptions'!N69</f>
        <v>2669.7604760847644</v>
      </c>
      <c r="K19" s="1">
        <f ca="1">'Total Distance Tables Sup #2'!K19*(1-'Other Assumptions'!O7)*(1-'Other Assumptions'!O66+'Other Assumptions'!O66*'Other Assumptions'!O69)+'Total Distance Tables Sup #2'!K18*(1-'Other Assumptions'!O7)*'Other Assumptions'!O66*'Other Assumptions'!O69</f>
        <v>2701.3453671409948</v>
      </c>
    </row>
    <row r="20" spans="1:17" x14ac:dyDescent="0.25">
      <c r="A20" t="str">
        <f ca="1">OFFSET(Auckland_Reference,28,2)</f>
        <v>Taxi/Vehicle Share</v>
      </c>
      <c r="B20" s="4">
        <f ca="1">'Total Distance Tables Sup #2'!B20</f>
        <v>41.157157814999998</v>
      </c>
      <c r="C20" s="4">
        <f ca="1">'Total Distance Tables Sup #2'!C20+((C18+C19)*'Other Assumptions'!G7/(1-'Other Assumptions'!G7))</f>
        <v>49.703286471480382</v>
      </c>
      <c r="D20" s="4">
        <f ca="1">'Total Distance Tables Sup #2'!D20+((D18+D19)*'Other Assumptions'!H7/(1-'Other Assumptions'!H7))</f>
        <v>56.118133205498125</v>
      </c>
      <c r="E20" s="4">
        <f ca="1">'Total Distance Tables Sup #2'!E20+((E18+E19)*'Other Assumptions'!I7/(1-'Other Assumptions'!I7))</f>
        <v>1564.5398639644143</v>
      </c>
      <c r="F20" s="4">
        <f ca="1">'Total Distance Tables Sup #2'!F20+((F18+F19)*'Other Assumptions'!J7/(1-'Other Assumptions'!J7))</f>
        <v>3105.2826811139294</v>
      </c>
      <c r="G20" s="4">
        <f ca="1">'Total Distance Tables Sup #2'!G20+((G18+G19)*'Other Assumptions'!K7/(1-'Other Assumptions'!K7))</f>
        <v>4652.5478236019271</v>
      </c>
      <c r="H20" s="4">
        <f ca="1">'Total Distance Tables Sup #2'!H20+((H18+H19)*'Other Assumptions'!L7/(1-'Other Assumptions'!L7))</f>
        <v>6181.516461957217</v>
      </c>
      <c r="I20" s="1">
        <f ca="1">'Total Distance Tables Sup #2'!I20+((I18+I19)*'Other Assumptions'!M7/(1-'Other Assumptions'!M7))</f>
        <v>7737.8983924465492</v>
      </c>
      <c r="J20" s="1">
        <f ca="1">'Total Distance Tables Sup #2'!J20+((J18+J19)*'Other Assumptions'!N7/(1-'Other Assumptions'!N7))</f>
        <v>9290.3068520700235</v>
      </c>
      <c r="K20" s="1">
        <f ca="1">'Total Distance Tables Sup #2'!K20+((K18+K19)*'Other Assumptions'!O7/(1-'Other Assumptions'!O7))</f>
        <v>9312.1343802536321</v>
      </c>
      <c r="L20" s="4"/>
      <c r="M20" s="4"/>
      <c r="N20" s="4"/>
      <c r="O20" s="4"/>
      <c r="P20" s="4"/>
      <c r="Q20" s="4"/>
    </row>
    <row r="21" spans="1:17" x14ac:dyDescent="0.25">
      <c r="A21" t="str">
        <f ca="1">OFFSET(Auckland_Reference,35,2)</f>
        <v>Motorcyclist</v>
      </c>
      <c r="B21" s="4">
        <f ca="1">'Total Distance Tables Sup #2'!B21</f>
        <v>43.570185572</v>
      </c>
      <c r="C21" s="4">
        <f ca="1">'Total Distance Tables Sup #2'!C21</f>
        <v>50.495460814108554</v>
      </c>
      <c r="D21" s="4">
        <f ca="1">'Total Distance Tables Sup #2'!D21</f>
        <v>54.178286893748904</v>
      </c>
      <c r="E21" s="4">
        <f ca="1">'Total Distance Tables Sup #2'!E21</f>
        <v>56.167518588435946</v>
      </c>
      <c r="F21" s="4">
        <f ca="1">'Total Distance Tables Sup #2'!F21</f>
        <v>57.400548417724067</v>
      </c>
      <c r="G21" s="4">
        <f ca="1">'Total Distance Tables Sup #2'!G21</f>
        <v>57.423984333829203</v>
      </c>
      <c r="H21" s="4">
        <f ca="1">'Total Distance Tables Sup #2'!H21</f>
        <v>57.030803595687161</v>
      </c>
      <c r="I21" s="1">
        <f ca="1">'Total Distance Tables Sup #2'!I21</f>
        <v>58.563234742781681</v>
      </c>
      <c r="J21" s="1">
        <f ca="1">'Total Distance Tables Sup #2'!J21</f>
        <v>59.916758255901115</v>
      </c>
      <c r="K21" s="1">
        <f ca="1">'Total Distance Tables Sup #2'!K21</f>
        <v>61.138904420749782</v>
      </c>
    </row>
    <row r="22" spans="1:17" x14ac:dyDescent="0.25">
      <c r="A22" t="str">
        <f ca="1">OFFSET(Auckland_Reference,42,2)</f>
        <v>Local Train</v>
      </c>
      <c r="B22" s="4">
        <f ca="1">'Total Distance Tables Sup #2'!B22</f>
        <v>158.68929399999999</v>
      </c>
      <c r="C22" s="4">
        <f ca="1">'Total Distance Tables Sup #2'!C22+'Total Distance Tables Sup #2'!C18*'Other Assumptions'!G66*'Other Assumptions'!G71+'Total Distance Tables Sup #2'!C19*'Other Assumptions'!G66*'Other Assumptions'!G71</f>
        <v>326.34854930533783</v>
      </c>
      <c r="D22" s="4">
        <f ca="1">'Total Distance Tables Sup #2'!D22+'Total Distance Tables Sup #2'!D18*'Other Assumptions'!H66*'Other Assumptions'!H71+'Total Distance Tables Sup #2'!D19*'Other Assumptions'!H66*'Other Assumptions'!H71</f>
        <v>1013.824661836838</v>
      </c>
      <c r="E22" s="4">
        <f ca="1">'Total Distance Tables Sup #2'!E22+'Total Distance Tables Sup #2'!E18*'Other Assumptions'!I66*'Other Assumptions'!I71+'Total Distance Tables Sup #2'!E19*'Other Assumptions'!I66*'Other Assumptions'!I71</f>
        <v>1375.2309502553499</v>
      </c>
      <c r="F22" s="4">
        <f ca="1">'Total Distance Tables Sup #2'!F22+'Total Distance Tables Sup #2'!F18*'Other Assumptions'!J66*'Other Assumptions'!J71+'Total Distance Tables Sup #2'!F19*'Other Assumptions'!J66*'Other Assumptions'!J71</f>
        <v>1551.7426019660534</v>
      </c>
      <c r="G22" s="4">
        <f ca="1">'Total Distance Tables Sup #2'!G22+'Total Distance Tables Sup #2'!G18*'Other Assumptions'!K66*'Other Assumptions'!K71+'Total Distance Tables Sup #2'!G19*'Other Assumptions'!K66*'Other Assumptions'!K71</f>
        <v>1691.930590866004</v>
      </c>
      <c r="H22" s="4">
        <f ca="1">'Total Distance Tables Sup #2'!H22+'Total Distance Tables Sup #2'!H18*'Other Assumptions'!L66*'Other Assumptions'!L71+'Total Distance Tables Sup #2'!H19*'Other Assumptions'!L66*'Other Assumptions'!L71</f>
        <v>1813.8668324189691</v>
      </c>
      <c r="I22" s="1">
        <f ca="1">'Total Distance Tables Sup #2'!I22+'Total Distance Tables Sup #2'!I18*'Other Assumptions'!M66*'Other Assumptions'!M71+'Total Distance Tables Sup #2'!I19*'Other Assumptions'!M66*'Other Assumptions'!M71</f>
        <v>1966.6265511095476</v>
      </c>
      <c r="J22" s="1">
        <f ca="1">'Total Distance Tables Sup #2'!J22+'Total Distance Tables Sup #2'!J18*'Other Assumptions'!N66*'Other Assumptions'!N71+'Total Distance Tables Sup #2'!J19*'Other Assumptions'!N66*'Other Assumptions'!N71</f>
        <v>2113.4832161544864</v>
      </c>
      <c r="K22" s="1">
        <f ca="1">'Total Distance Tables Sup #2'!K22+'Total Distance Tables Sup #2'!K18*'Other Assumptions'!O66*'Other Assumptions'!O71+'Total Distance Tables Sup #2'!K19*'Other Assumptions'!O66*'Other Assumptions'!O71</f>
        <v>2257.3321136468671</v>
      </c>
    </row>
    <row r="23" spans="1:17" x14ac:dyDescent="0.25">
      <c r="A23" t="str">
        <f ca="1">OFFSET(Auckland_Reference,49,2)</f>
        <v>Local Bus</v>
      </c>
      <c r="B23" s="4">
        <f ca="1">'Total Distance Tables Sup #2'!B23</f>
        <v>438.79018300000001</v>
      </c>
      <c r="C23" s="4">
        <f ca="1">'Total Distance Tables Sup #2'!C23+'Total Distance Tables Sup #2'!C18*'Other Assumptions'!G66*'Other Assumptions'!G70+'Total Distance Tables Sup #2'!C19*'Other Assumptions'!G66*'Other Assumptions'!G70</f>
        <v>481.01167058374421</v>
      </c>
      <c r="D23" s="4">
        <f ca="1">'Total Distance Tables Sup #2'!D23+'Total Distance Tables Sup #2'!D18*'Other Assumptions'!H66*'Other Assumptions'!H70+'Total Distance Tables Sup #2'!D19*'Other Assumptions'!H66*'Other Assumptions'!H70</f>
        <v>2112.5133184402757</v>
      </c>
      <c r="E23" s="4">
        <f ca="1">'Total Distance Tables Sup #2'!E23+'Total Distance Tables Sup #2'!E18*'Other Assumptions'!I66*'Other Assumptions'!I70+'Total Distance Tables Sup #2'!E19*'Other Assumptions'!I66*'Other Assumptions'!I70</f>
        <v>2534.5939192487117</v>
      </c>
      <c r="F23" s="4">
        <f ca="1">'Total Distance Tables Sup #2'!F23+'Total Distance Tables Sup #2'!F18*'Other Assumptions'!J66*'Other Assumptions'!J70+'Total Distance Tables Sup #2'!F19*'Other Assumptions'!J66*'Other Assumptions'!J70</f>
        <v>2848.8209549639282</v>
      </c>
      <c r="G23" s="4">
        <f ca="1">'Total Distance Tables Sup #2'!G23+'Total Distance Tables Sup #2'!G18*'Other Assumptions'!K66*'Other Assumptions'!K70+'Total Distance Tables Sup #2'!G19*'Other Assumptions'!K66*'Other Assumptions'!K70</f>
        <v>3054.5835714878299</v>
      </c>
      <c r="H23" s="4">
        <f ca="1">'Total Distance Tables Sup #2'!H23+'Total Distance Tables Sup #2'!H18*'Other Assumptions'!L66*'Other Assumptions'!L70+'Total Distance Tables Sup #2'!H19*'Other Assumptions'!L66*'Other Assumptions'!L70</f>
        <v>3228.1731044100284</v>
      </c>
      <c r="I23" s="1">
        <f ca="1">'Total Distance Tables Sup #2'!I23+'Total Distance Tables Sup #2'!I18*'Other Assumptions'!M66*'Other Assumptions'!M70+'Total Distance Tables Sup #2'!I19*'Other Assumptions'!M66*'Other Assumptions'!M70</f>
        <v>3464.953473039287</v>
      </c>
      <c r="J23" s="1">
        <f ca="1">'Total Distance Tables Sup #2'!J23+'Total Distance Tables Sup #2'!J18*'Other Assumptions'!N66*'Other Assumptions'!N70+'Total Distance Tables Sup #2'!J19*'Other Assumptions'!N66*'Other Assumptions'!N70</f>
        <v>3669.3045987729683</v>
      </c>
      <c r="K23" s="1">
        <f ca="1">'Total Distance Tables Sup #2'!K23+'Total Distance Tables Sup #2'!K18*'Other Assumptions'!O66*'Other Assumptions'!O70+'Total Distance Tables Sup #2'!K19*'Other Assumptions'!O66*'Other Assumptions'!O70</f>
        <v>3831.4968049935101</v>
      </c>
    </row>
    <row r="24" spans="1:17" x14ac:dyDescent="0.25">
      <c r="A24" t="str">
        <f ca="1">OFFSET(Auckland_Reference,56,2)</f>
        <v>Local Ferry</v>
      </c>
      <c r="B24" s="4">
        <f ca="1">'Total Distance Tables Sup #2'!B24</f>
        <v>0</v>
      </c>
      <c r="C24" s="4">
        <f ca="1">'Total Distance Tables Sup #2'!C24</f>
        <v>0</v>
      </c>
      <c r="D24" s="4">
        <f ca="1">'Total Distance Tables Sup #2'!D24</f>
        <v>0</v>
      </c>
      <c r="E24" s="4">
        <f ca="1">'Total Distance Tables Sup #2'!E24</f>
        <v>0</v>
      </c>
      <c r="F24" s="4">
        <f ca="1">'Total Distance Tables Sup #2'!F24</f>
        <v>0</v>
      </c>
      <c r="G24" s="4">
        <f ca="1">'Total Distance Tables Sup #2'!G24</f>
        <v>0</v>
      </c>
      <c r="H24" s="4">
        <f ca="1">'Total Distance Tables Sup #2'!H24</f>
        <v>0</v>
      </c>
      <c r="I24" s="1">
        <f ca="1">'Total Distance Tables Sup #2'!I24</f>
        <v>0</v>
      </c>
      <c r="J24" s="1">
        <f ca="1">'Total Distance Tables Sup #2'!J24</f>
        <v>0</v>
      </c>
      <c r="K24" s="1">
        <f ca="1">'Total Distance Tables Sup #2'!K24</f>
        <v>0</v>
      </c>
    </row>
    <row r="25" spans="1:17" x14ac:dyDescent="0.25">
      <c r="A25" t="str">
        <f ca="1">OFFSET(Auckland_Reference,63,2)</f>
        <v>Other Household Travel</v>
      </c>
      <c r="B25" s="4">
        <f ca="1">'Total Distance Tables Sup #2'!B25</f>
        <v>1.8241938706</v>
      </c>
      <c r="C25" s="4">
        <f ca="1">'Total Distance Tables Sup #2'!C25</f>
        <v>1.8625495231541189</v>
      </c>
      <c r="D25" s="4">
        <f ca="1">'Total Distance Tables Sup #2'!D25</f>
        <v>1.7718452542225991</v>
      </c>
      <c r="E25" s="4">
        <f ca="1">'Total Distance Tables Sup #2'!E25</f>
        <v>2.0174259855609571</v>
      </c>
      <c r="F25" s="4">
        <f ca="1">'Total Distance Tables Sup #2'!F25</f>
        <v>2.1319075673452783</v>
      </c>
      <c r="G25" s="4">
        <f ca="1">'Total Distance Tables Sup #2'!G25</f>
        <v>2.0993375279487907</v>
      </c>
      <c r="H25" s="4">
        <f ca="1">'Total Distance Tables Sup #2'!H25</f>
        <v>2.0192644258930623</v>
      </c>
      <c r="I25" s="1">
        <f ca="1">'Total Distance Tables Sup #2'!I25</f>
        <v>2.0205638165371811</v>
      </c>
      <c r="J25" s="1">
        <f ca="1">'Total Distance Tables Sup #2'!J25</f>
        <v>2.0150404592219475</v>
      </c>
      <c r="K25" s="1">
        <f ca="1">'Total Distance Tables Sup #2'!K25</f>
        <v>2.0047741366401359</v>
      </c>
    </row>
    <row r="26" spans="1:17" x14ac:dyDescent="0.25">
      <c r="A26" t="str">
        <f ca="1">OFFSET(Waikato_Reference,0,0)</f>
        <v>03 WAIKATO</v>
      </c>
      <c r="I26" s="1"/>
      <c r="J26" s="1"/>
      <c r="K26" s="1"/>
    </row>
    <row r="27" spans="1:17" x14ac:dyDescent="0.25">
      <c r="A27" t="str">
        <f ca="1">OFFSET(Waikato_Reference,0,2)</f>
        <v>Pedestrian</v>
      </c>
      <c r="B27" s="4">
        <f ca="1">'Total Distance Tables Sup #2'!B27</f>
        <v>52.675735545000002</v>
      </c>
      <c r="C27" s="4">
        <f ca="1">'Total Distance Tables Sup #2'!C27</f>
        <v>56.996875550444209</v>
      </c>
      <c r="D27" s="4">
        <f ca="1">'Total Distance Tables Sup #2'!D27</f>
        <v>62.53857671788063</v>
      </c>
      <c r="E27" s="4">
        <f ca="1">'Total Distance Tables Sup #2'!E27</f>
        <v>67.104305555781224</v>
      </c>
      <c r="F27" s="4">
        <f ca="1">'Total Distance Tables Sup #2'!F27</f>
        <v>71.018156296876228</v>
      </c>
      <c r="G27" s="4">
        <f ca="1">'Total Distance Tables Sup #2'!G27</f>
        <v>74.743906112528776</v>
      </c>
      <c r="H27" s="4">
        <f ca="1">'Total Distance Tables Sup #2'!H27</f>
        <v>78.211137480652241</v>
      </c>
      <c r="I27" s="1">
        <f ca="1">'Total Distance Tables Sup #2'!I27</f>
        <v>79.780579291763331</v>
      </c>
      <c r="J27" s="1">
        <f ca="1">'Total Distance Tables Sup #2'!J27</f>
        <v>81.123608331217966</v>
      </c>
      <c r="K27" s="1">
        <f ca="1">'Total Distance Tables Sup #2'!K27</f>
        <v>82.313131905069042</v>
      </c>
    </row>
    <row r="28" spans="1:17" x14ac:dyDescent="0.25">
      <c r="A28" t="str">
        <f ca="1">OFFSET(Waikato_Reference,7,2)</f>
        <v>Cyclist</v>
      </c>
      <c r="B28" s="4">
        <f ca="1">'Total Distance Tables Sup #2'!B28</f>
        <v>21.829422874999999</v>
      </c>
      <c r="C28" s="4">
        <f ca="1">'Total Distance Tables Sup #2'!C28</f>
        <v>24.447485987303487</v>
      </c>
      <c r="D28" s="4">
        <f ca="1">'Total Distance Tables Sup #2'!D28</f>
        <v>35.94879991774237</v>
      </c>
      <c r="E28" s="4">
        <f ca="1">'Total Distance Tables Sup #2'!E28</f>
        <v>47.337419770889525</v>
      </c>
      <c r="F28" s="4">
        <f ca="1">'Total Distance Tables Sup #2'!F28</f>
        <v>59.877398755661169</v>
      </c>
      <c r="G28" s="4">
        <f ca="1">'Total Distance Tables Sup #2'!G28</f>
        <v>74.182779137624678</v>
      </c>
      <c r="H28" s="4">
        <f ca="1">'Total Distance Tables Sup #2'!H28</f>
        <v>89.661988841373926</v>
      </c>
      <c r="I28" s="1">
        <f ca="1">'Total Distance Tables Sup #2'!I28</f>
        <v>91.890915793438353</v>
      </c>
      <c r="J28" s="1">
        <f ca="1">'Total Distance Tables Sup #2'!J28</f>
        <v>93.881075106498116</v>
      </c>
      <c r="K28" s="1">
        <f ca="1">'Total Distance Tables Sup #2'!K28</f>
        <v>95.713805171969611</v>
      </c>
    </row>
    <row r="29" spans="1:17" x14ac:dyDescent="0.25">
      <c r="A29" t="str">
        <f ca="1">OFFSET(Waikato_Reference,14,2)</f>
        <v>Light Vehicle Driver</v>
      </c>
      <c r="B29" s="4">
        <f ca="1">'Total Distance Tables Sup #2'!B29</f>
        <v>3709.9843593000001</v>
      </c>
      <c r="C29" s="4">
        <f ca="1">'Total Distance Tables Sup #2'!C29*(1-'Other Assumptions'!G8)</f>
        <v>4155.0095790598562</v>
      </c>
      <c r="D29" s="4">
        <f ca="1">'Total Distance Tables Sup #2'!D29*(1-'Other Assumptions'!H8)</f>
        <v>4394.592171678908</v>
      </c>
      <c r="E29" s="4">
        <f ca="1">'Total Distance Tables Sup #2'!E29*(1-'Other Assumptions'!I8)</f>
        <v>4146.6575533762534</v>
      </c>
      <c r="F29" s="4">
        <f ca="1">'Total Distance Tables Sup #2'!F29*(1-'Other Assumptions'!J8)</f>
        <v>3837.0512742567098</v>
      </c>
      <c r="G29" s="4">
        <f ca="1">'Total Distance Tables Sup #2'!G29*(1-'Other Assumptions'!K8)</f>
        <v>3453.4429023887678</v>
      </c>
      <c r="H29" s="4">
        <f ca="1">'Total Distance Tables Sup #2'!H29*(1-'Other Assumptions'!L8)</f>
        <v>3030.1376340460729</v>
      </c>
      <c r="I29" s="1">
        <f ca="1">'Total Distance Tables Sup #2'!I29*(1-'Other Assumptions'!M8)</f>
        <v>2580.7682086524151</v>
      </c>
      <c r="J29" s="1">
        <f ca="1">'Total Distance Tables Sup #2'!J29*(1-'Other Assumptions'!N8)</f>
        <v>2103.4180023288404</v>
      </c>
      <c r="K29" s="1">
        <f ca="1">'Total Distance Tables Sup #2'!K29*(1-'Other Assumptions'!O8)</f>
        <v>2138.3609724555463</v>
      </c>
    </row>
    <row r="30" spans="1:17" x14ac:dyDescent="0.25">
      <c r="A30" t="str">
        <f ca="1">OFFSET(Waikato_Reference,21,2)</f>
        <v>Light Vehicle Passenger</v>
      </c>
      <c r="B30" s="4">
        <f ca="1">'Total Distance Tables Sup #2'!B30</f>
        <v>1955.0668243</v>
      </c>
      <c r="C30" s="4">
        <f ca="1">'Total Distance Tables Sup #2'!C30*(1-'Other Assumptions'!G8)</f>
        <v>2106.4939105043773</v>
      </c>
      <c r="D30" s="4">
        <f ca="1">'Total Distance Tables Sup #2'!D30*(1-'Other Assumptions'!H8)</f>
        <v>2178.88893772234</v>
      </c>
      <c r="E30" s="4">
        <f ca="1">'Total Distance Tables Sup #2'!E30*(1-'Other Assumptions'!I8)</f>
        <v>2012.523790852252</v>
      </c>
      <c r="F30" s="4">
        <f ca="1">'Total Distance Tables Sup #2'!F30*(1-'Other Assumptions'!J8)</f>
        <v>1820.0224960570381</v>
      </c>
      <c r="G30" s="4">
        <f ca="1">'Total Distance Tables Sup #2'!G30*(1-'Other Assumptions'!K8)</f>
        <v>1607.9703772551782</v>
      </c>
      <c r="H30" s="4">
        <f ca="1">'Total Distance Tables Sup #2'!H30*(1-'Other Assumptions'!L8)</f>
        <v>1384.736887300757</v>
      </c>
      <c r="I30" s="1">
        <f ca="1">'Total Distance Tables Sup #2'!I30*(1-'Other Assumptions'!M8)</f>
        <v>1180.6823439458976</v>
      </c>
      <c r="J30" s="1">
        <f ca="1">'Total Distance Tables Sup #2'!J30*(1-'Other Assumptions'!N8)</f>
        <v>963.36377564908071</v>
      </c>
      <c r="K30" s="1">
        <f ca="1">'Total Distance Tables Sup #2'!K30*(1-'Other Assumptions'!O8)</f>
        <v>980.45493386470048</v>
      </c>
    </row>
    <row r="31" spans="1:17" x14ac:dyDescent="0.25">
      <c r="A31" t="str">
        <f ca="1">OFFSET(Waikato_Reference,28,2)</f>
        <v>Taxi/Vehicle Share</v>
      </c>
      <c r="B31" s="4">
        <f ca="1">'Total Distance Tables Sup #2'!B31</f>
        <v>2.4426175743999998</v>
      </c>
      <c r="C31" s="4">
        <f ca="1">'Total Distance Tables Sup #2'!C31+((C29+C30)*'Other Assumptions'!G8/(1-'Other Assumptions'!G8))</f>
        <v>2.8511013716454858</v>
      </c>
      <c r="D31" s="4">
        <f ca="1">'Total Distance Tables Sup #2'!D31+((D29+D30)*'Other Assumptions'!H8/(1-'Other Assumptions'!H8))</f>
        <v>3.172217235408231</v>
      </c>
      <c r="E31" s="4">
        <f ca="1">'Total Distance Tables Sup #2'!E31+((E29+E30)*'Other Assumptions'!I8/(1-'Other Assumptions'!I8))</f>
        <v>687.81857835467872</v>
      </c>
      <c r="F31" s="4">
        <f ca="1">'Total Distance Tables Sup #2'!F31+((F29+F30)*'Other Assumptions'!J8/(1-'Other Assumptions'!J8))</f>
        <v>1417.9880875584568</v>
      </c>
      <c r="G31" s="4">
        <f ca="1">'Total Distance Tables Sup #2'!G31+((G29+G30)*'Other Assumptions'!K8/(1-'Other Assumptions'!K8))</f>
        <v>2173.0919223659162</v>
      </c>
      <c r="H31" s="4">
        <f ca="1">'Total Distance Tables Sup #2'!H31+((H29+H30)*'Other Assumptions'!L8/(1-'Other Assumptions'!L8))</f>
        <v>2947.3483498187202</v>
      </c>
      <c r="I31" s="1">
        <f ca="1">'Total Distance Tables Sup #2'!I31+((I29+I30)*'Other Assumptions'!M8/(1-'Other Assumptions'!M8))</f>
        <v>3765.6278308146789</v>
      </c>
      <c r="J31" s="1">
        <f ca="1">'Total Distance Tables Sup #2'!J31+((J29+J30)*'Other Assumptions'!N8/(1-'Other Assumptions'!N8))</f>
        <v>4604.4164845399655</v>
      </c>
      <c r="K31" s="1">
        <f ca="1">'Total Distance Tables Sup #2'!K31+((K29+K30)*'Other Assumptions'!O8/(1-'Other Assumptions'!O8))</f>
        <v>4682.5259903735396</v>
      </c>
    </row>
    <row r="32" spans="1:17" x14ac:dyDescent="0.25">
      <c r="A32" t="str">
        <f ca="1">OFFSET(Waikato_Reference,35,2)</f>
        <v>Motorcyclist</v>
      </c>
      <c r="B32" s="4">
        <f ca="1">'Total Distance Tables Sup #2'!B32</f>
        <v>38.030338682999997</v>
      </c>
      <c r="C32" s="4">
        <f ca="1">'Total Distance Tables Sup #2'!C32</f>
        <v>42.600095717550701</v>
      </c>
      <c r="D32" s="4">
        <f ca="1">'Total Distance Tables Sup #2'!D32</f>
        <v>45.041791456536529</v>
      </c>
      <c r="E32" s="4">
        <f ca="1">'Total Distance Tables Sup #2'!E32</f>
        <v>46.439513527012167</v>
      </c>
      <c r="F32" s="4">
        <f ca="1">'Total Distance Tables Sup #2'!F32</f>
        <v>47.304260560466552</v>
      </c>
      <c r="G32" s="4">
        <f ca="1">'Total Distance Tables Sup #2'!G32</f>
        <v>47.280281369664593</v>
      </c>
      <c r="H32" s="4">
        <f ca="1">'Total Distance Tables Sup #2'!H32</f>
        <v>47.001561926938919</v>
      </c>
      <c r="I32" s="1">
        <f ca="1">'Total Distance Tables Sup #2'!I32</f>
        <v>48.334635190955936</v>
      </c>
      <c r="J32" s="1">
        <f ca="1">'Total Distance Tables Sup #2'!J32</f>
        <v>49.5492024804878</v>
      </c>
      <c r="K32" s="1">
        <f ca="1">'Total Distance Tables Sup #2'!K32</f>
        <v>50.686923178643362</v>
      </c>
    </row>
    <row r="33" spans="1:11" x14ac:dyDescent="0.25">
      <c r="A33" t="str">
        <f ca="1">OFFSET(Waikato_Reference,42,2)</f>
        <v>Local Train</v>
      </c>
      <c r="B33" s="4">
        <f ca="1">'Total Distance Tables Sup #2'!B33</f>
        <v>0</v>
      </c>
      <c r="C33" s="4">
        <f ca="1">'Total Distance Tables Sup #2'!C33</f>
        <v>0</v>
      </c>
      <c r="D33" s="4">
        <f ca="1">'Total Distance Tables Sup #2'!D33</f>
        <v>0</v>
      </c>
      <c r="E33" s="4">
        <f ca="1">'Total Distance Tables Sup #2'!E33</f>
        <v>0</v>
      </c>
      <c r="F33" s="4">
        <f ca="1">'Total Distance Tables Sup #2'!F33</f>
        <v>0</v>
      </c>
      <c r="G33" s="4">
        <f ca="1">'Total Distance Tables Sup #2'!G33</f>
        <v>0</v>
      </c>
      <c r="H33" s="4">
        <f ca="1">'Total Distance Tables Sup #2'!H33</f>
        <v>0</v>
      </c>
      <c r="I33" s="1">
        <f ca="1">'Total Distance Tables Sup #2'!I33</f>
        <v>0</v>
      </c>
      <c r="J33" s="1">
        <f ca="1">'Total Distance Tables Sup #2'!J33</f>
        <v>0</v>
      </c>
      <c r="K33" s="1">
        <f ca="1">'Total Distance Tables Sup #2'!K33</f>
        <v>0</v>
      </c>
    </row>
    <row r="34" spans="1:11" x14ac:dyDescent="0.25">
      <c r="A34" t="str">
        <f ca="1">OFFSET(Waikato_Reference,49,2)</f>
        <v>Local Bus</v>
      </c>
      <c r="B34" s="4">
        <f ca="1">'Total Distance Tables Sup #2'!B34</f>
        <v>54.303948532</v>
      </c>
      <c r="C34" s="4">
        <f ca="1">'Total Distance Tables Sup #2'!C34</f>
        <v>54.197831509645304</v>
      </c>
      <c r="D34" s="4">
        <f ca="1">'Total Distance Tables Sup #2'!D34</f>
        <v>53.540828562054578</v>
      </c>
      <c r="E34" s="4">
        <f ca="1">'Total Distance Tables Sup #2'!E34</f>
        <v>53.139447925816029</v>
      </c>
      <c r="F34" s="4">
        <f ca="1">'Total Distance Tables Sup #2'!F34</f>
        <v>51.811083303047667</v>
      </c>
      <c r="G34" s="4">
        <f ca="1">'Total Distance Tables Sup #2'!G34</f>
        <v>51.061831584382716</v>
      </c>
      <c r="H34" s="4">
        <f ca="1">'Total Distance Tables Sup #2'!H34</f>
        <v>50.143619015008575</v>
      </c>
      <c r="I34" s="1">
        <f ca="1">'Total Distance Tables Sup #2'!I34</f>
        <v>51.311003325168706</v>
      </c>
      <c r="J34" s="1">
        <f ca="1">'Total Distance Tables Sup #2'!J34</f>
        <v>52.338357993621813</v>
      </c>
      <c r="K34" s="1">
        <f ca="1">'Total Distance Tables Sup #2'!K34</f>
        <v>53.271459607977015</v>
      </c>
    </row>
    <row r="35" spans="1:11" x14ac:dyDescent="0.25">
      <c r="A35" t="str">
        <f ca="1">OFFSET(Waikato_Reference,56,2)</f>
        <v>Local Ferry</v>
      </c>
      <c r="B35" s="4">
        <f ca="1">'Total Distance Tables Sup #2'!B35</f>
        <v>0</v>
      </c>
      <c r="C35" s="4">
        <f ca="1">'Total Distance Tables Sup #2'!C35</f>
        <v>0</v>
      </c>
      <c r="D35" s="4">
        <f ca="1">'Total Distance Tables Sup #2'!D35</f>
        <v>0</v>
      </c>
      <c r="E35" s="4">
        <f ca="1">'Total Distance Tables Sup #2'!E35</f>
        <v>0</v>
      </c>
      <c r="F35" s="4">
        <f ca="1">'Total Distance Tables Sup #2'!F35</f>
        <v>0</v>
      </c>
      <c r="G35" s="4">
        <f ca="1">'Total Distance Tables Sup #2'!G35</f>
        <v>0</v>
      </c>
      <c r="H35" s="4">
        <f ca="1">'Total Distance Tables Sup #2'!H35</f>
        <v>0</v>
      </c>
      <c r="I35" s="1">
        <f ca="1">'Total Distance Tables Sup #2'!I35</f>
        <v>0</v>
      </c>
      <c r="J35" s="1">
        <f ca="1">'Total Distance Tables Sup #2'!J35</f>
        <v>0</v>
      </c>
      <c r="K35" s="1">
        <f ca="1">'Total Distance Tables Sup #2'!K35</f>
        <v>0</v>
      </c>
    </row>
    <row r="36" spans="1:11" x14ac:dyDescent="0.25">
      <c r="A36" t="str">
        <f ca="1">OFFSET(Waikato_Reference,63,2)</f>
        <v>Other Household Travel</v>
      </c>
      <c r="B36" s="4">
        <f ca="1">'Total Distance Tables Sup #2'!B36</f>
        <v>0</v>
      </c>
      <c r="C36" s="4">
        <f ca="1">'Total Distance Tables Sup #2'!C36</f>
        <v>0</v>
      </c>
      <c r="D36" s="4">
        <f ca="1">'Total Distance Tables Sup #2'!D36</f>
        <v>0</v>
      </c>
      <c r="E36" s="4">
        <f ca="1">'Total Distance Tables Sup #2'!E36</f>
        <v>0</v>
      </c>
      <c r="F36" s="4">
        <f ca="1">'Total Distance Tables Sup #2'!F36</f>
        <v>0</v>
      </c>
      <c r="G36" s="4">
        <f ca="1">'Total Distance Tables Sup #2'!G36</f>
        <v>0</v>
      </c>
      <c r="H36" s="4">
        <f ca="1">'Total Distance Tables Sup #2'!H36</f>
        <v>0</v>
      </c>
      <c r="I36" s="1">
        <f ca="1">'Total Distance Tables Sup #2'!I36</f>
        <v>0</v>
      </c>
      <c r="J36" s="1">
        <f ca="1">'Total Distance Tables Sup #2'!J36</f>
        <v>0</v>
      </c>
      <c r="K36" s="1">
        <f ca="1">'Total Distance Tables Sup #2'!K36</f>
        <v>0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'Total Distance Tables Sup #2'!B38</f>
        <v>35.579183637</v>
      </c>
      <c r="C38" s="4">
        <f ca="1">'Total Distance Tables Sup #2'!C38</f>
        <v>37.964685306421586</v>
      </c>
      <c r="D38" s="4">
        <f ca="1">'Total Distance Tables Sup #2'!D38</f>
        <v>41.372026005457457</v>
      </c>
      <c r="E38" s="4">
        <f ca="1">'Total Distance Tables Sup #2'!E38</f>
        <v>44.096502972198991</v>
      </c>
      <c r="F38" s="4">
        <f ca="1">'Total Distance Tables Sup #2'!F38</f>
        <v>46.368913111301239</v>
      </c>
      <c r="G38" s="4">
        <f ca="1">'Total Distance Tables Sup #2'!G38</f>
        <v>48.470371909096372</v>
      </c>
      <c r="H38" s="4">
        <f ca="1">'Total Distance Tables Sup #2'!H38</f>
        <v>50.376225954458754</v>
      </c>
      <c r="I38" s="1">
        <f ca="1">'Total Distance Tables Sup #2'!I38</f>
        <v>51.040001188961902</v>
      </c>
      <c r="J38" s="1">
        <f ca="1">'Total Distance Tables Sup #2'!J38</f>
        <v>51.54864029504607</v>
      </c>
      <c r="K38" s="1">
        <f ca="1">'Total Distance Tables Sup #2'!K38</f>
        <v>51.951195431500167</v>
      </c>
    </row>
    <row r="39" spans="1:11" x14ac:dyDescent="0.25">
      <c r="A39" t="str">
        <f ca="1">OFFSET(BOP_Reference,7,2)</f>
        <v>Cyclist</v>
      </c>
      <c r="B39" s="4">
        <f ca="1">'Total Distance Tables Sup #2'!B39</f>
        <v>8.5028812633000008</v>
      </c>
      <c r="C39" s="4">
        <f ca="1">'Total Distance Tables Sup #2'!C39</f>
        <v>9.3907753464377812</v>
      </c>
      <c r="D39" s="4">
        <f ca="1">'Total Distance Tables Sup #2'!D39</f>
        <v>13.714553812186907</v>
      </c>
      <c r="E39" s="4">
        <f ca="1">'Total Distance Tables Sup #2'!E39</f>
        <v>17.938942402586015</v>
      </c>
      <c r="F39" s="4">
        <f ca="1">'Total Distance Tables Sup #2'!F39</f>
        <v>22.545451551950617</v>
      </c>
      <c r="G39" s="4">
        <f ca="1">'Total Distance Tables Sup #2'!G39</f>
        <v>27.742280039275826</v>
      </c>
      <c r="H39" s="4">
        <f ca="1">'Total Distance Tables Sup #2'!H39</f>
        <v>33.304574094421774</v>
      </c>
      <c r="I39" s="1">
        <f ca="1">'Total Distance Tables Sup #2'!I39</f>
        <v>33.901940734404818</v>
      </c>
      <c r="J39" s="1">
        <f ca="1">'Total Distance Tables Sup #2'!J39</f>
        <v>34.402222415707577</v>
      </c>
      <c r="K39" s="1">
        <f ca="1">'Total Distance Tables Sup #2'!K39</f>
        <v>34.836899167834389</v>
      </c>
    </row>
    <row r="40" spans="1:11" x14ac:dyDescent="0.25">
      <c r="A40" t="str">
        <f ca="1">OFFSET(BOP_Reference,14,2)</f>
        <v>Light Vehicle Driver</v>
      </c>
      <c r="B40" s="4">
        <f ca="1">'Total Distance Tables Sup #2'!B40</f>
        <v>1972.0747595</v>
      </c>
      <c r="C40" s="4">
        <f ca="1">'Total Distance Tables Sup #2'!C40*(1-'Other Assumptions'!G9)</f>
        <v>2178.044306286693</v>
      </c>
      <c r="D40" s="4">
        <f ca="1">'Total Distance Tables Sup #2'!D40*(1-'Other Assumptions'!H9)</f>
        <v>2288.1655062574027</v>
      </c>
      <c r="E40" s="4">
        <f ca="1">'Total Distance Tables Sup #2'!E40*(1-'Other Assumptions'!I9)</f>
        <v>2144.8872896484099</v>
      </c>
      <c r="F40" s="4">
        <f ca="1">'Total Distance Tables Sup #2'!F40*(1-'Other Assumptions'!J9)</f>
        <v>1972.2057397695326</v>
      </c>
      <c r="G40" s="4">
        <f ca="1">'Total Distance Tables Sup #2'!G40*(1-'Other Assumptions'!K9)</f>
        <v>1763.1977436531279</v>
      </c>
      <c r="H40" s="4">
        <f ca="1">'Total Distance Tables Sup #2'!H40*(1-'Other Assumptions'!L9)</f>
        <v>1536.8221624991863</v>
      </c>
      <c r="I40" s="1">
        <f ca="1">'Total Distance Tables Sup #2'!I40*(1-'Other Assumptions'!M9)</f>
        <v>1300.073402650637</v>
      </c>
      <c r="J40" s="1">
        <f ca="1">'Total Distance Tables Sup #2'!J40*(1-'Other Assumptions'!N9)</f>
        <v>1052.4515038086672</v>
      </c>
      <c r="K40" s="1">
        <f ca="1">'Total Distance Tables Sup #2'!K40*(1-'Other Assumptions'!O9)</f>
        <v>1062.7110060793482</v>
      </c>
    </row>
    <row r="41" spans="1:11" x14ac:dyDescent="0.25">
      <c r="A41" t="str">
        <f ca="1">OFFSET(BOP_Reference,21,2)</f>
        <v>Light Vehicle Passenger</v>
      </c>
      <c r="B41" s="4">
        <f ca="1">'Total Distance Tables Sup #2'!B41</f>
        <v>1385.2330090999999</v>
      </c>
      <c r="C41" s="4">
        <f ca="1">'Total Distance Tables Sup #2'!C41*(1-'Other Assumptions'!G9)</f>
        <v>1471.8542915566561</v>
      </c>
      <c r="D41" s="4">
        <f ca="1">'Total Distance Tables Sup #2'!D41*(1-'Other Assumptions'!H9)</f>
        <v>1512.8935167152772</v>
      </c>
      <c r="E41" s="4">
        <f ca="1">'Total Distance Tables Sup #2'!E41*(1-'Other Assumptions'!I9)</f>
        <v>1388.8221401706614</v>
      </c>
      <c r="F41" s="4">
        <f ca="1">'Total Distance Tables Sup #2'!F41*(1-'Other Assumptions'!J9)</f>
        <v>1248.6349380020258</v>
      </c>
      <c r="G41" s="4">
        <f ca="1">'Total Distance Tables Sup #2'!G41*(1-'Other Assumptions'!K9)</f>
        <v>1096.3690365580969</v>
      </c>
      <c r="H41" s="4">
        <f ca="1">'Total Distance Tables Sup #2'!H41*(1-'Other Assumptions'!L9)</f>
        <v>938.4345487089322</v>
      </c>
      <c r="I41" s="1">
        <f ca="1">'Total Distance Tables Sup #2'!I41*(1-'Other Assumptions'!M9)</f>
        <v>794.7457721979074</v>
      </c>
      <c r="J41" s="1">
        <f ca="1">'Total Distance Tables Sup #2'!J41*(1-'Other Assumptions'!N9)</f>
        <v>644.08615746175064</v>
      </c>
      <c r="K41" s="1">
        <f ca="1">'Total Distance Tables Sup #2'!K41*(1-'Other Assumptions'!O9)</f>
        <v>651.08824035742873</v>
      </c>
    </row>
    <row r="42" spans="1:11" x14ac:dyDescent="0.25">
      <c r="A42" t="str">
        <f ca="1">OFFSET(BOP_Reference,28,2)</f>
        <v>Taxi/Vehicle Share</v>
      </c>
      <c r="B42" s="4">
        <f ca="1">'Total Distance Tables Sup #2'!B42</f>
        <v>0.98369936449999995</v>
      </c>
      <c r="C42" s="4">
        <f ca="1">'Total Distance Tables Sup #2'!C42+((C40+C41)*'Other Assumptions'!G9/(1-'Other Assumptions'!G9))</f>
        <v>1.1323037800207978</v>
      </c>
      <c r="D42" s="4">
        <f ca="1">'Total Distance Tables Sup #2'!D42+((D40+D41)*'Other Assumptions'!H9/(1-'Other Assumptions'!H9))</f>
        <v>1.2512476051982415</v>
      </c>
      <c r="E42" s="4">
        <f ca="1">'Total Distance Tables Sup #2'!E42+((E40+E41)*'Other Assumptions'!I9/(1-'Other Assumptions'!I9))</f>
        <v>393.99203956646602</v>
      </c>
      <c r="F42" s="4">
        <f ca="1">'Total Distance Tables Sup #2'!F42+((F40+F41)*'Other Assumptions'!J9/(1-'Other Assumptions'!J9))</f>
        <v>806.65820943547169</v>
      </c>
      <c r="G42" s="4">
        <f ca="1">'Total Distance Tables Sup #2'!G42+((G40+G41)*'Other Assumptions'!K9/(1-'Other Assumptions'!K9))</f>
        <v>1227.0422927401144</v>
      </c>
      <c r="H42" s="4">
        <f ca="1">'Total Distance Tables Sup #2'!H42+((H40+H41)*'Other Assumptions'!L9/(1-'Other Assumptions'!L9))</f>
        <v>1651.7452012581791</v>
      </c>
      <c r="I42" s="1">
        <f ca="1">'Total Distance Tables Sup #2'!I42+((I40+I41)*'Other Assumptions'!M9/(1-'Other Assumptions'!M9))</f>
        <v>2096.4125881368391</v>
      </c>
      <c r="J42" s="1">
        <f ca="1">'Total Distance Tables Sup #2'!J42+((J40+J41)*'Other Assumptions'!N9/(1-'Other Assumptions'!N9))</f>
        <v>2546.4143518075693</v>
      </c>
      <c r="K42" s="1">
        <f ca="1">'Total Distance Tables Sup #2'!K42+((K40+K41)*'Other Assumptions'!O9/(1-'Other Assumptions'!O9))</f>
        <v>2572.3178127428328</v>
      </c>
    </row>
    <row r="43" spans="1:11" x14ac:dyDescent="0.25">
      <c r="A43" t="str">
        <f ca="1">OFFSET(BOP_Reference,35,2)</f>
        <v>Motorcyclist</v>
      </c>
      <c r="B43" s="4">
        <f ca="1">'Total Distance Tables Sup #2'!B43</f>
        <v>35.608960758999999</v>
      </c>
      <c r="C43" s="4">
        <f ca="1">'Total Distance Tables Sup #2'!C43</f>
        <v>39.335354242678605</v>
      </c>
      <c r="D43" s="4">
        <f ca="1">'Total Distance Tables Sup #2'!D43</f>
        <v>41.306479955427022</v>
      </c>
      <c r="E43" s="4">
        <f ca="1">'Total Distance Tables Sup #2'!E43</f>
        <v>42.30436305033605</v>
      </c>
      <c r="F43" s="4">
        <f ca="1">'Total Distance Tables Sup #2'!F43</f>
        <v>42.815548945391932</v>
      </c>
      <c r="G43" s="4">
        <f ca="1">'Total Distance Tables Sup #2'!G43</f>
        <v>42.503466310655902</v>
      </c>
      <c r="H43" s="4">
        <f ca="1">'Total Distance Tables Sup #2'!H43</f>
        <v>41.96749545649223</v>
      </c>
      <c r="I43" s="1">
        <f ca="1">'Total Distance Tables Sup #2'!I43</f>
        <v>42.866267631788695</v>
      </c>
      <c r="J43" s="1">
        <f ca="1">'Total Distance Tables Sup #2'!J43</f>
        <v>43.64659402522652</v>
      </c>
      <c r="K43" s="1">
        <f ca="1">'Total Distance Tables Sup #2'!K43</f>
        <v>44.347187696282717</v>
      </c>
    </row>
    <row r="44" spans="1:11" x14ac:dyDescent="0.25">
      <c r="A44" t="str">
        <f ca="1">OFFSET(Auckland_Reference,42,2)</f>
        <v>Local Train</v>
      </c>
      <c r="B44" s="4">
        <f ca="1">'Total Distance Tables Sup #2'!B44</f>
        <v>0</v>
      </c>
      <c r="C44" s="4">
        <f ca="1">'Total Distance Tables Sup #2'!C44</f>
        <v>0</v>
      </c>
      <c r="D44" s="4">
        <f ca="1">'Total Distance Tables Sup #2'!D44</f>
        <v>0</v>
      </c>
      <c r="E44" s="4">
        <f ca="1">'Total Distance Tables Sup #2'!E44</f>
        <v>0</v>
      </c>
      <c r="F44" s="4">
        <f ca="1">'Total Distance Tables Sup #2'!F44</f>
        <v>0</v>
      </c>
      <c r="G44" s="4">
        <f ca="1">'Total Distance Tables Sup #2'!G44</f>
        <v>0</v>
      </c>
      <c r="H44" s="4">
        <f ca="1">'Total Distance Tables Sup #2'!H44</f>
        <v>0</v>
      </c>
      <c r="I44" s="1">
        <f ca="1">'Total Distance Tables Sup #2'!I44</f>
        <v>0</v>
      </c>
      <c r="J44" s="1">
        <f ca="1">'Total Distance Tables Sup #2'!J44</f>
        <v>0</v>
      </c>
      <c r="K44" s="1">
        <f ca="1">'Total Distance Tables Sup #2'!K44</f>
        <v>0</v>
      </c>
    </row>
    <row r="45" spans="1:11" x14ac:dyDescent="0.25">
      <c r="A45" t="str">
        <f ca="1">OFFSET(BOP_Reference,42,2)</f>
        <v>Local Bus</v>
      </c>
      <c r="B45" s="4">
        <f ca="1">'Total Distance Tables Sup #2'!B45</f>
        <v>52.669440211999998</v>
      </c>
      <c r="C45" s="4">
        <f ca="1">'Total Distance Tables Sup #2'!C45</f>
        <v>51.83851939559559</v>
      </c>
      <c r="D45" s="4">
        <f ca="1">'Total Distance Tables Sup #2'!D45</f>
        <v>50.861106809899731</v>
      </c>
      <c r="E45" s="4">
        <f ca="1">'Total Distance Tables Sup #2'!E45</f>
        <v>50.143278349867053</v>
      </c>
      <c r="F45" s="4">
        <f ca="1">'Total Distance Tables Sup #2'!F45</f>
        <v>48.576041271631219</v>
      </c>
      <c r="G45" s="4">
        <f ca="1">'Total Distance Tables Sup #2'!G45</f>
        <v>47.548724757845591</v>
      </c>
      <c r="H45" s="4">
        <f ca="1">'Total Distance Tables Sup #2'!H45</f>
        <v>46.378278519346011</v>
      </c>
      <c r="I45" s="1">
        <f ca="1">'Total Distance Tables Sup #2'!I45</f>
        <v>47.137432167534392</v>
      </c>
      <c r="J45" s="1">
        <f ca="1">'Total Distance Tables Sup #2'!J45</f>
        <v>47.756442913833681</v>
      </c>
      <c r="K45" s="1">
        <f ca="1">'Total Distance Tables Sup #2'!K45</f>
        <v>48.279519444816735</v>
      </c>
    </row>
    <row r="46" spans="1:11" x14ac:dyDescent="0.25">
      <c r="A46" t="str">
        <f ca="1">OFFSET(Waikato_Reference,56,2)</f>
        <v>Local Ferry</v>
      </c>
      <c r="B46" s="4">
        <f>'Total Distance Tables Sup #2'!B46</f>
        <v>0</v>
      </c>
      <c r="C46" s="4">
        <f ca="1">'Total Distance Tables Sup #2'!C46</f>
        <v>0</v>
      </c>
      <c r="D46" s="4">
        <f ca="1">'Total Distance Tables Sup #2'!D46</f>
        <v>0</v>
      </c>
      <c r="E46" s="4">
        <f ca="1">'Total Distance Tables Sup #2'!E46</f>
        <v>0</v>
      </c>
      <c r="F46" s="4">
        <f ca="1">'Total Distance Tables Sup #2'!F46</f>
        <v>0</v>
      </c>
      <c r="G46" s="4">
        <f ca="1">'Total Distance Tables Sup #2'!G46</f>
        <v>0</v>
      </c>
      <c r="H46" s="4">
        <f ca="1">'Total Distance Tables Sup #2'!H46</f>
        <v>0</v>
      </c>
      <c r="I46" s="1">
        <f ca="1">'Total Distance Tables Sup #2'!I46</f>
        <v>0</v>
      </c>
      <c r="J46" s="1">
        <f ca="1">'Total Distance Tables Sup #2'!J46</f>
        <v>0</v>
      </c>
      <c r="K46" s="1">
        <f ca="1">'Total Distance Tables Sup #2'!K46</f>
        <v>0</v>
      </c>
    </row>
    <row r="47" spans="1:11" x14ac:dyDescent="0.25">
      <c r="A47" t="str">
        <f ca="1">OFFSET(BOP_Reference,49,2)</f>
        <v>Other Household Travel</v>
      </c>
      <c r="B47" s="4">
        <f ca="1">'Total Distance Tables Sup #2'!B47</f>
        <v>0</v>
      </c>
      <c r="C47" s="4">
        <f ca="1">'Total Distance Tables Sup #2'!C47</f>
        <v>0</v>
      </c>
      <c r="D47" s="4">
        <f ca="1">'Total Distance Tables Sup #2'!D47</f>
        <v>0</v>
      </c>
      <c r="E47" s="4">
        <f ca="1">'Total Distance Tables Sup #2'!E47</f>
        <v>0</v>
      </c>
      <c r="F47" s="4">
        <f ca="1">'Total Distance Tables Sup #2'!F47</f>
        <v>0</v>
      </c>
      <c r="G47" s="4">
        <f ca="1">'Total Distance Tables Sup #2'!G47</f>
        <v>0</v>
      </c>
      <c r="H47" s="4">
        <f ca="1">'Total Distance Tables Sup #2'!H47</f>
        <v>0</v>
      </c>
      <c r="I47" s="1">
        <f ca="1">'Total Distance Tables Sup #2'!I47</f>
        <v>0</v>
      </c>
      <c r="J47" s="1">
        <f ca="1">'Total Distance Tables Sup #2'!J47</f>
        <v>0</v>
      </c>
      <c r="K47" s="1">
        <f ca="1">'Total Distance Tables Sup #2'!K47</f>
        <v>0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'Total Distance Tables Sup #2'!B49</f>
        <v>7.5635235767999998</v>
      </c>
      <c r="C49" s="4">
        <f ca="1">'Total Distance Tables Sup #2'!C49</f>
        <v>7.6751282634597304</v>
      </c>
      <c r="D49" s="4">
        <f ca="1">'Total Distance Tables Sup #2'!D49</f>
        <v>8.1205131376615558</v>
      </c>
      <c r="E49" s="4">
        <f ca="1">'Total Distance Tables Sup #2'!E49</f>
        <v>8.4575835555300767</v>
      </c>
      <c r="F49" s="4">
        <f ca="1">'Total Distance Tables Sup #2'!F49</f>
        <v>8.693724183246113</v>
      </c>
      <c r="G49" s="4">
        <f ca="1">'Total Distance Tables Sup #2'!G49</f>
        <v>8.8735737629367488</v>
      </c>
      <c r="H49" s="4">
        <f ca="1">'Total Distance Tables Sup #2'!H49</f>
        <v>9.006400403361452</v>
      </c>
      <c r="I49" s="1">
        <f ca="1">'Total Distance Tables Sup #2'!I49</f>
        <v>8.9112721886903916</v>
      </c>
      <c r="J49" s="1">
        <f ca="1">'Total Distance Tables Sup #2'!J49</f>
        <v>8.7892063003182557</v>
      </c>
      <c r="K49" s="1">
        <f ca="1">'Total Distance Tables Sup #2'!K49</f>
        <v>8.6503045961837728</v>
      </c>
    </row>
    <row r="50" spans="1:11" x14ac:dyDescent="0.25">
      <c r="A50" t="str">
        <f ca="1">OFFSET(Gisborne_Reference,7,2)</f>
        <v>Cyclist</v>
      </c>
      <c r="B50" s="4">
        <f ca="1">'Total Distance Tables Sup #2'!B50</f>
        <v>3.8031873472000002</v>
      </c>
      <c r="C50" s="4">
        <f ca="1">'Total Distance Tables Sup #2'!C50</f>
        <v>3.9944842011575488</v>
      </c>
      <c r="D50" s="4">
        <f ca="1">'Total Distance Tables Sup #2'!D50</f>
        <v>5.6638505623232538</v>
      </c>
      <c r="E50" s="4">
        <f ca="1">'Total Distance Tables Sup #2'!E50</f>
        <v>7.2392304499117834</v>
      </c>
      <c r="F50" s="4">
        <f ca="1">'Total Distance Tables Sup #2'!F50</f>
        <v>8.8938806773812384</v>
      </c>
      <c r="G50" s="4">
        <f ca="1">'Total Distance Tables Sup #2'!G50</f>
        <v>10.686064275569059</v>
      </c>
      <c r="H50" s="4">
        <f ca="1">'Total Distance Tables Sup #2'!H50</f>
        <v>12.528034067978421</v>
      </c>
      <c r="I50" s="1">
        <f ca="1">'Total Distance Tables Sup #2'!I50</f>
        <v>12.45394698401568</v>
      </c>
      <c r="J50" s="1">
        <f ca="1">'Total Distance Tables Sup #2'!J50</f>
        <v>12.341625457445843</v>
      </c>
      <c r="K50" s="1">
        <f ca="1">'Total Distance Tables Sup #2'!K50</f>
        <v>12.204746556726732</v>
      </c>
    </row>
    <row r="51" spans="1:11" x14ac:dyDescent="0.25">
      <c r="A51" t="str">
        <f ca="1">OFFSET(Gisborne_Reference,14,2)</f>
        <v>Light Vehicle Driver</v>
      </c>
      <c r="B51" s="4">
        <f ca="1">'Total Distance Tables Sup #2'!B51</f>
        <v>241.40144318</v>
      </c>
      <c r="C51" s="4">
        <f ca="1">'Total Distance Tables Sup #2'!C51*(1-'Other Assumptions'!G10)</f>
        <v>253.54838532651931</v>
      </c>
      <c r="D51" s="4">
        <f ca="1">'Total Distance Tables Sup #2'!D51*(1-'Other Assumptions'!H10)</f>
        <v>258.27164522963392</v>
      </c>
      <c r="E51" s="4">
        <f ca="1">'Total Distance Tables Sup #2'!E51*(1-'Other Assumptions'!I10)</f>
        <v>236.27127347885511</v>
      </c>
      <c r="F51" s="4">
        <f ca="1">'Total Distance Tables Sup #2'!F51*(1-'Other Assumptions'!J10)</f>
        <v>212.10425623111752</v>
      </c>
      <c r="G51" s="4">
        <f ca="1">'Total Distance Tables Sup #2'!G51*(1-'Other Assumptions'!K10)</f>
        <v>184.90760738809925</v>
      </c>
      <c r="H51" s="4">
        <f ca="1">'Total Distance Tables Sup #2'!H51*(1-'Other Assumptions'!L10)</f>
        <v>157.16913014504459</v>
      </c>
      <c r="I51" s="1">
        <f ca="1">'Total Distance Tables Sup #2'!I51*(1-'Other Assumptions'!M10)</f>
        <v>129.84005663841822</v>
      </c>
      <c r="J51" s="1">
        <f ca="1">'Total Distance Tables Sup #2'!J51*(1-'Other Assumptions'!N10)</f>
        <v>102.64550834899126</v>
      </c>
      <c r="K51" s="1">
        <f ca="1">'Total Distance Tables Sup #2'!K51*(1-'Other Assumptions'!O10)</f>
        <v>101.21617379861664</v>
      </c>
    </row>
    <row r="52" spans="1:11" x14ac:dyDescent="0.25">
      <c r="A52" t="str">
        <f ca="1">OFFSET(Gisborne_Reference,21,2)</f>
        <v>Light Vehicle Passenger</v>
      </c>
      <c r="B52" s="4">
        <f ca="1">'Total Distance Tables Sup #2'!B52</f>
        <v>174.74236519999999</v>
      </c>
      <c r="C52" s="4">
        <f ca="1">'Total Distance Tables Sup #2'!C52*(1-'Other Assumptions'!G10)</f>
        <v>176.57037848359843</v>
      </c>
      <c r="D52" s="4">
        <f ca="1">'Total Distance Tables Sup #2'!D52*(1-'Other Assumptions'!H10)</f>
        <v>175.87349782430528</v>
      </c>
      <c r="E52" s="4">
        <f ca="1">'Total Distance Tables Sup #2'!E52*(1-'Other Assumptions'!I10)</f>
        <v>157.46243599162133</v>
      </c>
      <c r="F52" s="4">
        <f ca="1">'Total Distance Tables Sup #2'!F52*(1-'Other Assumptions'!J10)</f>
        <v>138.11454081481907</v>
      </c>
      <c r="G52" s="4">
        <f ca="1">'Total Distance Tables Sup #2'!G52*(1-'Other Assumptions'!K10)</f>
        <v>118.15549772717551</v>
      </c>
      <c r="H52" s="4">
        <f ca="1">'Total Distance Tables Sup #2'!H52*(1-'Other Assumptions'!L10)</f>
        <v>98.53190816008771</v>
      </c>
      <c r="I52" s="1">
        <f ca="1">'Total Distance Tables Sup #2'!I52*(1-'Other Assumptions'!M10)</f>
        <v>81.489134334215876</v>
      </c>
      <c r="J52" s="1">
        <f ca="1">'Total Distance Tables Sup #2'!J52*(1-'Other Assumptions'!N10)</f>
        <v>64.493182213389474</v>
      </c>
      <c r="K52" s="1">
        <f ca="1">'Total Distance Tables Sup #2'!K52*(1-'Other Assumptions'!O10)</f>
        <v>63.666040975725494</v>
      </c>
    </row>
    <row r="53" spans="1:11" x14ac:dyDescent="0.25">
      <c r="A53" t="str">
        <f ca="1">OFFSET(Gisborne_Reference,28,2)</f>
        <v>Taxi/Vehicle Share</v>
      </c>
      <c r="B53" s="4">
        <f ca="1">'Total Distance Tables Sup #2'!B53</f>
        <v>0.1174510768</v>
      </c>
      <c r="C53" s="4">
        <f ca="1">'Total Distance Tables Sup #2'!C53+((C51+C52)*'Other Assumptions'!G10/(1-'Other Assumptions'!G10))</f>
        <v>0.12856869055305409</v>
      </c>
      <c r="D53" s="4">
        <f ca="1">'Total Distance Tables Sup #2'!D53+((D51+D52)*'Other Assumptions'!H10/(1-'Other Assumptions'!H10))</f>
        <v>0.13793877649829311</v>
      </c>
      <c r="E53" s="4">
        <f ca="1">'Total Distance Tables Sup #2'!E53+((E51+E52)*'Other Assumptions'!I10/(1-'Other Assumptions'!I10))</f>
        <v>43.894441030157779</v>
      </c>
      <c r="F53" s="4">
        <f ca="1">'Total Distance Tables Sup #2'!F53+((F51+F52)*'Other Assumptions'!J10/(1-'Other Assumptions'!J10))</f>
        <v>87.707183840127755</v>
      </c>
      <c r="G53" s="4">
        <f ca="1">'Total Distance Tables Sup #2'!G53+((G51+G52)*'Other Assumptions'!K10/(1-'Other Assumptions'!K10))</f>
        <v>130.0398276841151</v>
      </c>
      <c r="H53" s="4">
        <f ca="1">'Total Distance Tables Sup #2'!H53+((H51+H52)*'Other Assumptions'!L10/(1-'Other Assumptions'!L10))</f>
        <v>170.62541576876168</v>
      </c>
      <c r="I53" s="1">
        <f ca="1">'Total Distance Tables Sup #2'!I53+((I51+I52)*'Other Assumptions'!M10/(1-'Other Assumptions'!M10))</f>
        <v>211.48544236420801</v>
      </c>
      <c r="J53" s="1">
        <f ca="1">'Total Distance Tables Sup #2'!J53+((J51+J52)*'Other Assumptions'!N10/(1-'Other Assumptions'!N10))</f>
        <v>250.86200973094671</v>
      </c>
      <c r="K53" s="1">
        <f ca="1">'Total Distance Tables Sup #2'!K53+((K51+K52)*'Other Assumptions'!O10/(1-'Other Assumptions'!O10))</f>
        <v>247.47472494603363</v>
      </c>
    </row>
    <row r="54" spans="1:11" x14ac:dyDescent="0.25">
      <c r="A54" t="str">
        <f ca="1">OFFSET(Gisborne_Reference,35,2)</f>
        <v>Motorcyclist</v>
      </c>
      <c r="B54" s="4">
        <f ca="1">'Total Distance Tables Sup #2'!B54</f>
        <v>0.95186353219999997</v>
      </c>
      <c r="C54" s="4">
        <f ca="1">'Total Distance Tables Sup #2'!C54</f>
        <v>0.99994498508974938</v>
      </c>
      <c r="D54" s="4">
        <f ca="1">'Total Distance Tables Sup #2'!D54</f>
        <v>1.0194878976908996</v>
      </c>
      <c r="E54" s="4">
        <f ca="1">'Total Distance Tables Sup #2'!E54</f>
        <v>1.0202685776296312</v>
      </c>
      <c r="F54" s="4">
        <f ca="1">'Total Distance Tables Sup #2'!F54</f>
        <v>1.0094101361576129</v>
      </c>
      <c r="G54" s="4">
        <f ca="1">'Total Distance Tables Sup #2'!G54</f>
        <v>0.97843902209992262</v>
      </c>
      <c r="H54" s="4">
        <f ca="1">'Total Distance Tables Sup #2'!H54</f>
        <v>0.94346518318291883</v>
      </c>
      <c r="I54" s="1">
        <f ca="1">'Total Distance Tables Sup #2'!I54</f>
        <v>0.94109162329883533</v>
      </c>
      <c r="J54" s="1">
        <f ca="1">'Total Distance Tables Sup #2'!J54</f>
        <v>0.9357719144580503</v>
      </c>
      <c r="K54" s="1">
        <f ca="1">'Total Distance Tables Sup #2'!K54</f>
        <v>0.92851546622883951</v>
      </c>
    </row>
    <row r="55" spans="1:11" x14ac:dyDescent="0.25">
      <c r="A55" t="str">
        <f ca="1">OFFSET(Gisborne_Reference,42,2)</f>
        <v>Local Train</v>
      </c>
      <c r="B55" s="4">
        <f ca="1">'Total Distance Tables Sup #2'!B55</f>
        <v>0</v>
      </c>
      <c r="C55" s="4">
        <f ca="1">'Total Distance Tables Sup #2'!C55</f>
        <v>0</v>
      </c>
      <c r="D55" s="4">
        <f ca="1">'Total Distance Tables Sup #2'!D55</f>
        <v>0</v>
      </c>
      <c r="E55" s="4">
        <f ca="1">'Total Distance Tables Sup #2'!E55</f>
        <v>0</v>
      </c>
      <c r="F55" s="4">
        <f ca="1">'Total Distance Tables Sup #2'!F55</f>
        <v>0</v>
      </c>
      <c r="G55" s="4">
        <f ca="1">'Total Distance Tables Sup #2'!G55</f>
        <v>0</v>
      </c>
      <c r="H55" s="4">
        <f ca="1">'Total Distance Tables Sup #2'!H55</f>
        <v>0</v>
      </c>
      <c r="I55" s="1">
        <f ca="1">'Total Distance Tables Sup #2'!I55</f>
        <v>0</v>
      </c>
      <c r="J55" s="1">
        <f ca="1">'Total Distance Tables Sup #2'!J55</f>
        <v>0</v>
      </c>
      <c r="K55" s="1">
        <f ca="1">'Total Distance Tables Sup #2'!K55</f>
        <v>0</v>
      </c>
    </row>
    <row r="56" spans="1:11" x14ac:dyDescent="0.25">
      <c r="A56" t="str">
        <f ca="1">OFFSET(Gisborne_Reference,49,2)</f>
        <v>Local Bus</v>
      </c>
      <c r="B56" s="4">
        <f ca="1">'Total Distance Tables Sup #2'!B56</f>
        <v>4.8778387282000004</v>
      </c>
      <c r="C56" s="4">
        <f ca="1">'Total Distance Tables Sup #2'!C56</f>
        <v>4.5656117302648109</v>
      </c>
      <c r="D56" s="4">
        <f ca="1">'Total Distance Tables Sup #2'!D56</f>
        <v>4.3491365160731137</v>
      </c>
      <c r="E56" s="4">
        <f ca="1">'Total Distance Tables Sup #2'!E56</f>
        <v>4.18982053505552</v>
      </c>
      <c r="F56" s="4">
        <f ca="1">'Total Distance Tables Sup #2'!F56</f>
        <v>3.967725414996333</v>
      </c>
      <c r="G56" s="4">
        <f ca="1">'Total Distance Tables Sup #2'!G56</f>
        <v>3.7922908175768497</v>
      </c>
      <c r="H56" s="4">
        <f ca="1">'Total Distance Tables Sup #2'!H56</f>
        <v>3.6122749197896895</v>
      </c>
      <c r="I56" s="1">
        <f ca="1">'Total Distance Tables Sup #2'!I56</f>
        <v>3.585382568204567</v>
      </c>
      <c r="J56" s="1">
        <f ca="1">'Total Distance Tables Sup #2'!J56</f>
        <v>3.5473575473236374</v>
      </c>
      <c r="K56" s="1">
        <f ca="1">'Total Distance Tables Sup #2'!K56</f>
        <v>3.5021870867699025</v>
      </c>
    </row>
    <row r="57" spans="1:11" x14ac:dyDescent="0.25">
      <c r="A57" t="str">
        <f ca="1">OFFSET(Gisborne_Reference,56,2)</f>
        <v>Local Ferry</v>
      </c>
      <c r="B57" s="4">
        <f ca="1">'Total Distance Tables Sup #2'!B57</f>
        <v>0</v>
      </c>
      <c r="C57" s="4">
        <f ca="1">'Total Distance Tables Sup #2'!C57</f>
        <v>0</v>
      </c>
      <c r="D57" s="4">
        <f ca="1">'Total Distance Tables Sup #2'!D57</f>
        <v>0</v>
      </c>
      <c r="E57" s="4">
        <f ca="1">'Total Distance Tables Sup #2'!E57</f>
        <v>0</v>
      </c>
      <c r="F57" s="4">
        <f ca="1">'Total Distance Tables Sup #2'!F57</f>
        <v>0</v>
      </c>
      <c r="G57" s="4">
        <f ca="1">'Total Distance Tables Sup #2'!G57</f>
        <v>0</v>
      </c>
      <c r="H57" s="4">
        <f ca="1">'Total Distance Tables Sup #2'!H57</f>
        <v>0</v>
      </c>
      <c r="I57" s="1">
        <f ca="1">'Total Distance Tables Sup #2'!I57</f>
        <v>0</v>
      </c>
      <c r="J57" s="1">
        <f ca="1">'Total Distance Tables Sup #2'!J57</f>
        <v>0</v>
      </c>
      <c r="K57" s="1">
        <f ca="1">'Total Distance Tables Sup #2'!K57</f>
        <v>0</v>
      </c>
    </row>
    <row r="58" spans="1:11" x14ac:dyDescent="0.25">
      <c r="A58" t="str">
        <f ca="1">OFFSET(Gisborne_Reference,63,2)</f>
        <v>Other Household Travel</v>
      </c>
      <c r="B58" s="4">
        <f ca="1">'Total Distance Tables Sup #2'!B58</f>
        <v>0</v>
      </c>
      <c r="C58" s="4">
        <f ca="1">'Total Distance Tables Sup #2'!C58</f>
        <v>0</v>
      </c>
      <c r="D58" s="4">
        <f ca="1">'Total Distance Tables Sup #2'!D58</f>
        <v>0</v>
      </c>
      <c r="E58" s="4">
        <f ca="1">'Total Distance Tables Sup #2'!E58</f>
        <v>0</v>
      </c>
      <c r="F58" s="4">
        <f ca="1">'Total Distance Tables Sup #2'!F58</f>
        <v>0</v>
      </c>
      <c r="G58" s="4">
        <f ca="1">'Total Distance Tables Sup #2'!G58</f>
        <v>0</v>
      </c>
      <c r="H58" s="4">
        <f ca="1">'Total Distance Tables Sup #2'!H58</f>
        <v>0</v>
      </c>
      <c r="I58" s="1">
        <f ca="1">'Total Distance Tables Sup #2'!I58</f>
        <v>0</v>
      </c>
      <c r="J58" s="1">
        <f ca="1">'Total Distance Tables Sup #2'!J58</f>
        <v>0</v>
      </c>
      <c r="K58" s="1">
        <f ca="1">'Total Distance Tables Sup #2'!K58</f>
        <v>0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'Total Distance Tables Sup #2'!B60</f>
        <v>22.691613215</v>
      </c>
      <c r="C60" s="4">
        <f ca="1">'Total Distance Tables Sup #2'!C60</f>
        <v>23.175785499753456</v>
      </c>
      <c r="D60" s="4">
        <f ca="1">'Total Distance Tables Sup #2'!D60</f>
        <v>24.558054356866052</v>
      </c>
      <c r="E60" s="4">
        <f ca="1">'Total Distance Tables Sup #2'!E60</f>
        <v>25.647890439107776</v>
      </c>
      <c r="F60" s="4">
        <f ca="1">'Total Distance Tables Sup #2'!F60</f>
        <v>26.407276403561731</v>
      </c>
      <c r="G60" s="4">
        <f ca="1">'Total Distance Tables Sup #2'!G60</f>
        <v>27.038814262045857</v>
      </c>
      <c r="H60" s="4">
        <f ca="1">'Total Distance Tables Sup #2'!H60</f>
        <v>27.511897814915883</v>
      </c>
      <c r="I60" s="1">
        <f ca="1">'Total Distance Tables Sup #2'!I60</f>
        <v>27.289100979327035</v>
      </c>
      <c r="J60" s="1">
        <f ca="1">'Total Distance Tables Sup #2'!J60</f>
        <v>26.982326795010088</v>
      </c>
      <c r="K60" s="1">
        <f ca="1">'Total Distance Tables Sup #2'!K60</f>
        <v>26.622041741531401</v>
      </c>
    </row>
    <row r="61" spans="1:11" x14ac:dyDescent="0.25">
      <c r="A61" t="str">
        <f ca="1">OFFSET(Hawkes_Bay_Reference,7,2)</f>
        <v>Cyclist</v>
      </c>
      <c r="B61" s="4">
        <f ca="1">'Total Distance Tables Sup #2'!B61</f>
        <v>9.5482363540000001</v>
      </c>
      <c r="C61" s="4">
        <f ca="1">'Total Distance Tables Sup #2'!C61</f>
        <v>10.093545905677599</v>
      </c>
      <c r="D61" s="4">
        <f ca="1">'Total Distance Tables Sup #2'!D61</f>
        <v>14.333640349749235</v>
      </c>
      <c r="E61" s="4">
        <f ca="1">'Total Distance Tables Sup #2'!E61</f>
        <v>18.370965804883152</v>
      </c>
      <c r="F61" s="4">
        <f ca="1">'Total Distance Tables Sup #2'!F61</f>
        <v>22.607018313896564</v>
      </c>
      <c r="G61" s="4">
        <f ca="1">'Total Distance Tables Sup #2'!G61</f>
        <v>27.248405573352279</v>
      </c>
      <c r="H61" s="4">
        <f ca="1">'Total Distance Tables Sup #2'!H61</f>
        <v>32.024802400519462</v>
      </c>
      <c r="I61" s="1">
        <f ca="1">'Total Distance Tables Sup #2'!I61</f>
        <v>31.914699966217484</v>
      </c>
      <c r="J61" s="1">
        <f ca="1">'Total Distance Tables Sup #2'!J61</f>
        <v>31.705626261317455</v>
      </c>
      <c r="K61" s="1">
        <f ca="1">'Total Distance Tables Sup #2'!K61</f>
        <v>31.432068278128636</v>
      </c>
    </row>
    <row r="62" spans="1:11" x14ac:dyDescent="0.25">
      <c r="A62" t="str">
        <f ca="1">OFFSET(Hawkes_Bay_Reference,14,2)</f>
        <v>Light Vehicle Driver</v>
      </c>
      <c r="B62" s="4">
        <f ca="1">'Total Distance Tables Sup #2'!B62</f>
        <v>1001.7566771</v>
      </c>
      <c r="C62" s="4">
        <f ca="1">'Total Distance Tables Sup #2'!C62*(1-'Other Assumptions'!G11)</f>
        <v>1058.9875304525199</v>
      </c>
      <c r="D62" s="4">
        <f ca="1">'Total Distance Tables Sup #2'!D62*(1-'Other Assumptions'!H11)</f>
        <v>1081.1613584136849</v>
      </c>
      <c r="E62" s="4">
        <f ca="1">'Total Distance Tables Sup #2'!E62*(1-'Other Assumptions'!I11)</f>
        <v>992.4906695918786</v>
      </c>
      <c r="F62" s="4">
        <f ca="1">'Total Distance Tables Sup #2'!F62*(1-'Other Assumptions'!J11)</f>
        <v>893.06378652801141</v>
      </c>
      <c r="G62" s="4">
        <f ca="1">'Total Distance Tables Sup #2'!G62*(1-'Other Assumptions'!K11)</f>
        <v>781.60336892873295</v>
      </c>
      <c r="H62" s="4">
        <f ca="1">'Total Distance Tables Sup #2'!H62*(1-'Other Assumptions'!L11)</f>
        <v>666.53173534519181</v>
      </c>
      <c r="I62" s="1">
        <f ca="1">'Total Distance Tables Sup #2'!I62*(1-'Other Assumptions'!M11)</f>
        <v>552.00856561793046</v>
      </c>
      <c r="J62" s="1">
        <f ca="1">'Total Distance Tables Sup #2'!J62*(1-'Other Assumptions'!N11)</f>
        <v>437.4825076758928</v>
      </c>
      <c r="K62" s="1">
        <f ca="1">'Total Distance Tables Sup #2'!K62*(1-'Other Assumptions'!O11)</f>
        <v>432.46838599989269</v>
      </c>
    </row>
    <row r="63" spans="1:11" x14ac:dyDescent="0.25">
      <c r="A63" t="str">
        <f ca="1">OFFSET(Hawkes_Bay_Reference,21,2)</f>
        <v>Light Vehicle Passenger</v>
      </c>
      <c r="B63" s="4">
        <f ca="1">'Total Distance Tables Sup #2'!B63</f>
        <v>607.82570181000006</v>
      </c>
      <c r="C63" s="4">
        <f ca="1">'Total Distance Tables Sup #2'!C63*(1-'Other Assumptions'!G11)</f>
        <v>618.16770414599478</v>
      </c>
      <c r="D63" s="4">
        <f ca="1">'Total Distance Tables Sup #2'!D63*(1-'Other Assumptions'!H11)</f>
        <v>617.11682657122583</v>
      </c>
      <c r="E63" s="4">
        <f ca="1">'Total Distance Tables Sup #2'!E63*(1-'Other Assumptions'!I11)</f>
        <v>554.439752188184</v>
      </c>
      <c r="F63" s="4">
        <f ca="1">'Total Distance Tables Sup #2'!F63*(1-'Other Assumptions'!J11)</f>
        <v>487.48277503169896</v>
      </c>
      <c r="G63" s="4">
        <f ca="1">'Total Distance Tables Sup #2'!G63*(1-'Other Assumptions'!K11)</f>
        <v>418.70625339459383</v>
      </c>
      <c r="H63" s="4">
        <f ca="1">'Total Distance Tables Sup #2'!H63*(1-'Other Assumptions'!L11)</f>
        <v>350.35454870839806</v>
      </c>
      <c r="I63" s="1">
        <f ca="1">'Total Distance Tables Sup #2'!I63*(1-'Other Assumptions'!M11)</f>
        <v>290.47767621567226</v>
      </c>
      <c r="J63" s="1">
        <f ca="1">'Total Distance Tables Sup #2'!J63*(1-'Other Assumptions'!N11)</f>
        <v>230.46720532721056</v>
      </c>
      <c r="K63" s="1">
        <f ca="1">'Total Distance Tables Sup #2'!K63*(1-'Other Assumptions'!O11)</f>
        <v>228.07911927191662</v>
      </c>
    </row>
    <row r="64" spans="1:11" x14ac:dyDescent="0.25">
      <c r="A64" t="str">
        <f ca="1">OFFSET(Hawkes_Bay_Reference,28,2)</f>
        <v>Taxi/Vehicle Share</v>
      </c>
      <c r="B64" s="4">
        <f ca="1">'Total Distance Tables Sup #2'!B64</f>
        <v>1.7589425135000001</v>
      </c>
      <c r="C64" s="4">
        <f ca="1">'Total Distance Tables Sup #2'!C64+((C62+C63)*'Other Assumptions'!G11/(1-'Other Assumptions'!G11))</f>
        <v>1.9379272844252591</v>
      </c>
      <c r="D64" s="4">
        <f ca="1">'Total Distance Tables Sup #2'!D64+((D62+D63)*'Other Assumptions'!H11/(1-'Other Assumptions'!H11))</f>
        <v>2.0823335113791162</v>
      </c>
      <c r="E64" s="4">
        <f ca="1">'Total Distance Tables Sup #2'!E64+((E62+E63)*'Other Assumptions'!I11/(1-'Other Assumptions'!I11))</f>
        <v>174.09505745004651</v>
      </c>
      <c r="F64" s="4">
        <f ca="1">'Total Distance Tables Sup #2'!F64+((F62+F63)*'Other Assumptions'!J11/(1-'Other Assumptions'!J11))</f>
        <v>347.44868981271418</v>
      </c>
      <c r="G64" s="4">
        <f ca="1">'Total Distance Tables Sup #2'!G64+((G62+G63)*'Other Assumptions'!K11/(1-'Other Assumptions'!K11))</f>
        <v>516.78576308425636</v>
      </c>
      <c r="H64" s="4">
        <f ca="1">'Total Distance Tables Sup #2'!H64+((H62+H63)*'Other Assumptions'!L11/(1-'Other Assumptions'!L11))</f>
        <v>680.33429563026141</v>
      </c>
      <c r="I64" s="1">
        <f ca="1">'Total Distance Tables Sup #2'!I64+((I62+I63)*'Other Assumptions'!M11/(1-'Other Assumptions'!M11))</f>
        <v>844.8747506516313</v>
      </c>
      <c r="J64" s="1">
        <f ca="1">'Total Distance Tables Sup #2'!J64+((J62+J63)*'Other Assumptions'!N11/(1-'Other Assumptions'!N11))</f>
        <v>1004.2841252922635</v>
      </c>
      <c r="K64" s="1">
        <f ca="1">'Total Distance Tables Sup #2'!K64+((K62+K63)*'Other Assumptions'!O11/(1-'Other Assumptions'!O11))</f>
        <v>993.14719121730161</v>
      </c>
    </row>
    <row r="65" spans="1:11" x14ac:dyDescent="0.25">
      <c r="A65" t="str">
        <f ca="1">OFFSET(Hawkes_Bay_Reference,35,2)</f>
        <v>Motorcyclist</v>
      </c>
      <c r="B65" s="4">
        <f ca="1">'Total Distance Tables Sup #2'!B65</f>
        <v>3.0321841239</v>
      </c>
      <c r="C65" s="4">
        <f ca="1">'Total Distance Tables Sup #2'!C65</f>
        <v>3.2060079958911447</v>
      </c>
      <c r="D65" s="4">
        <f ca="1">'Total Distance Tables Sup #2'!D65</f>
        <v>3.2736498956591733</v>
      </c>
      <c r="E65" s="4">
        <f ca="1">'Total Distance Tables Sup #2'!E65</f>
        <v>3.2851827819774346</v>
      </c>
      <c r="F65" s="4">
        <f ca="1">'Total Distance Tables Sup #2'!F65</f>
        <v>3.2555553896807794</v>
      </c>
      <c r="G65" s="4">
        <f ca="1">'Total Distance Tables Sup #2'!G65</f>
        <v>3.1656472344368494</v>
      </c>
      <c r="H65" s="4">
        <f ca="1">'Total Distance Tables Sup #2'!H65</f>
        <v>3.0600945876111592</v>
      </c>
      <c r="I65" s="1">
        <f ca="1">'Total Distance Tables Sup #2'!I65</f>
        <v>3.0599977054091743</v>
      </c>
      <c r="J65" s="1">
        <f ca="1">'Total Distance Tables Sup #2'!J65</f>
        <v>3.0502779817383754</v>
      </c>
      <c r="K65" s="1">
        <f ca="1">'Total Distance Tables Sup #2'!K65</f>
        <v>3.0341620759078634</v>
      </c>
    </row>
    <row r="66" spans="1:11" x14ac:dyDescent="0.25">
      <c r="A66" t="str">
        <f ca="1">OFFSET(Auckland_Reference,42,2)</f>
        <v>Local Train</v>
      </c>
      <c r="B66" s="4">
        <f ca="1">'Total Distance Tables Sup #2'!B66</f>
        <v>0</v>
      </c>
      <c r="C66" s="4">
        <f ca="1">'Total Distance Tables Sup #2'!C66</f>
        <v>0</v>
      </c>
      <c r="D66" s="4">
        <f ca="1">'Total Distance Tables Sup #2'!D66</f>
        <v>0</v>
      </c>
      <c r="E66" s="4">
        <f ca="1">'Total Distance Tables Sup #2'!E66</f>
        <v>0</v>
      </c>
      <c r="F66" s="4">
        <f ca="1">'Total Distance Tables Sup #2'!F66</f>
        <v>0</v>
      </c>
      <c r="G66" s="4">
        <f ca="1">'Total Distance Tables Sup #2'!G66</f>
        <v>0</v>
      </c>
      <c r="H66" s="4">
        <f ca="1">'Total Distance Tables Sup #2'!H66</f>
        <v>0</v>
      </c>
      <c r="I66" s="1">
        <f ca="1">'Total Distance Tables Sup #2'!I66</f>
        <v>0</v>
      </c>
      <c r="J66" s="1">
        <f ca="1">'Total Distance Tables Sup #2'!J66</f>
        <v>0</v>
      </c>
      <c r="K66" s="1">
        <f ca="1">'Total Distance Tables Sup #2'!K66</f>
        <v>0</v>
      </c>
    </row>
    <row r="67" spans="1:11" x14ac:dyDescent="0.25">
      <c r="A67" t="str">
        <f ca="1">OFFSET(Hawkes_Bay_Reference,42,2)</f>
        <v>Local Bus</v>
      </c>
      <c r="B67" s="4">
        <f ca="1">'Total Distance Tables Sup #2'!B67</f>
        <v>39.591997026999998</v>
      </c>
      <c r="C67" s="4">
        <f ca="1">'Total Distance Tables Sup #2'!C67</f>
        <v>37.298087157912285</v>
      </c>
      <c r="D67" s="4">
        <f ca="1">'Total Distance Tables Sup #2'!D67</f>
        <v>35.583796873651053</v>
      </c>
      <c r="E67" s="4">
        <f ca="1">'Total Distance Tables Sup #2'!E67</f>
        <v>34.37474911824058</v>
      </c>
      <c r="F67" s="4">
        <f ca="1">'Total Distance Tables Sup #2'!F67</f>
        <v>32.606045201961749</v>
      </c>
      <c r="G67" s="4">
        <f ca="1">'Total Distance Tables Sup #2'!G67</f>
        <v>31.262915486307815</v>
      </c>
      <c r="H67" s="4">
        <f ca="1">'Total Distance Tables Sup #2'!H67</f>
        <v>29.853060300043143</v>
      </c>
      <c r="I67" s="1">
        <f ca="1">'Total Distance Tables Sup #2'!I67</f>
        <v>29.704605250150919</v>
      </c>
      <c r="J67" s="1">
        <f ca="1">'Total Distance Tables Sup #2'!J67</f>
        <v>29.462762662113192</v>
      </c>
      <c r="K67" s="1">
        <f ca="1">'Total Distance Tables Sup #2'!K67</f>
        <v>29.160036658980797</v>
      </c>
    </row>
    <row r="68" spans="1:11" x14ac:dyDescent="0.25">
      <c r="A68" t="str">
        <f ca="1">OFFSET(Waikato_Reference,56,2)</f>
        <v>Local Ferry</v>
      </c>
      <c r="B68" s="4">
        <f>'Total Distance Tables Sup #2'!B68</f>
        <v>0</v>
      </c>
      <c r="C68" s="4">
        <f ca="1">'Total Distance Tables Sup #2'!C68</f>
        <v>0</v>
      </c>
      <c r="D68" s="4">
        <f ca="1">'Total Distance Tables Sup #2'!D68</f>
        <v>0</v>
      </c>
      <c r="E68" s="4">
        <f ca="1">'Total Distance Tables Sup #2'!E68</f>
        <v>0</v>
      </c>
      <c r="F68" s="4">
        <f ca="1">'Total Distance Tables Sup #2'!F68</f>
        <v>0</v>
      </c>
      <c r="G68" s="4">
        <f ca="1">'Total Distance Tables Sup #2'!G68</f>
        <v>0</v>
      </c>
      <c r="H68" s="4">
        <f ca="1">'Total Distance Tables Sup #2'!H68</f>
        <v>0</v>
      </c>
      <c r="I68" s="1">
        <f ca="1">'Total Distance Tables Sup #2'!I68</f>
        <v>0</v>
      </c>
      <c r="J68" s="1">
        <f ca="1">'Total Distance Tables Sup #2'!J68</f>
        <v>0</v>
      </c>
      <c r="K68" s="1">
        <f ca="1">'Total Distance Tables Sup #2'!K68</f>
        <v>0</v>
      </c>
    </row>
    <row r="69" spans="1:11" x14ac:dyDescent="0.25">
      <c r="A69" t="str">
        <f ca="1">OFFSET(Hawkes_Bay_Reference,49,2)</f>
        <v>Other Household Travel</v>
      </c>
      <c r="B69" s="4">
        <f ca="1">'Total Distance Tables Sup #2'!B69</f>
        <v>0</v>
      </c>
      <c r="C69" s="4">
        <f ca="1">'Total Distance Tables Sup #2'!C69</f>
        <v>0</v>
      </c>
      <c r="D69" s="4">
        <f ca="1">'Total Distance Tables Sup #2'!D69</f>
        <v>0</v>
      </c>
      <c r="E69" s="4">
        <f ca="1">'Total Distance Tables Sup #2'!E69</f>
        <v>0</v>
      </c>
      <c r="F69" s="4">
        <f ca="1">'Total Distance Tables Sup #2'!F69</f>
        <v>0</v>
      </c>
      <c r="G69" s="4">
        <f ca="1">'Total Distance Tables Sup #2'!G69</f>
        <v>0</v>
      </c>
      <c r="H69" s="4">
        <f ca="1">'Total Distance Tables Sup #2'!H69</f>
        <v>0</v>
      </c>
      <c r="I69" s="1">
        <f ca="1">'Total Distance Tables Sup #2'!I69</f>
        <v>0</v>
      </c>
      <c r="J69" s="1">
        <f ca="1">'Total Distance Tables Sup #2'!J69</f>
        <v>0</v>
      </c>
      <c r="K69" s="1">
        <f ca="1">'Total Distance Tables Sup #2'!K69</f>
        <v>0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'Total Distance Tables Sup #2'!B71</f>
        <v>16.820589198</v>
      </c>
      <c r="C71" s="4">
        <f ca="1">'Total Distance Tables Sup #2'!C71</f>
        <v>17.34172243333742</v>
      </c>
      <c r="D71" s="4">
        <f ca="1">'Total Distance Tables Sup #2'!D71</f>
        <v>18.528027173851108</v>
      </c>
      <c r="E71" s="4">
        <f ca="1">'Total Distance Tables Sup #2'!E71</f>
        <v>19.53244384617372</v>
      </c>
      <c r="F71" s="4">
        <f ca="1">'Total Distance Tables Sup #2'!F71</f>
        <v>20.32381777543883</v>
      </c>
      <c r="G71" s="4">
        <f ca="1">'Total Distance Tables Sup #2'!G71</f>
        <v>21.062076264137477</v>
      </c>
      <c r="H71" s="4">
        <f ca="1">'Total Distance Tables Sup #2'!H71</f>
        <v>21.721760205365211</v>
      </c>
      <c r="I71" s="1">
        <f ca="1">'Total Distance Tables Sup #2'!I71</f>
        <v>21.838591286559581</v>
      </c>
      <c r="J71" s="1">
        <f ca="1">'Total Distance Tables Sup #2'!J71</f>
        <v>21.88646977813843</v>
      </c>
      <c r="K71" s="1">
        <f ca="1">'Total Distance Tables Sup #2'!K71</f>
        <v>21.887623306767672</v>
      </c>
    </row>
    <row r="72" spans="1:11" x14ac:dyDescent="0.25">
      <c r="A72" t="str">
        <f ca="1">OFFSET(Taranaki_Reference,7,2)</f>
        <v>Cyclist</v>
      </c>
      <c r="B72" s="4">
        <f ca="1">'Total Distance Tables Sup #2'!B72</f>
        <v>5.5737915155</v>
      </c>
      <c r="C72" s="4">
        <f ca="1">'Total Distance Tables Sup #2'!C72</f>
        <v>5.9477575621935239</v>
      </c>
      <c r="D72" s="4">
        <f ca="1">'Total Distance Tables Sup #2'!D72</f>
        <v>8.5161529576593136</v>
      </c>
      <c r="E72" s="4">
        <f ca="1">'Total Distance Tables Sup #2'!E72</f>
        <v>11.017641848195961</v>
      </c>
      <c r="F72" s="4">
        <f ca="1">'Total Distance Tables Sup #2'!F72</f>
        <v>13.701770674160306</v>
      </c>
      <c r="G72" s="4">
        <f ca="1">'Total Distance Tables Sup #2'!G72</f>
        <v>16.714999214989351</v>
      </c>
      <c r="H72" s="4">
        <f ca="1">'Total Distance Tables Sup #2'!H72</f>
        <v>19.91189764875411</v>
      </c>
      <c r="I72" s="1">
        <f ca="1">'Total Distance Tables Sup #2'!I72</f>
        <v>20.113047777097286</v>
      </c>
      <c r="J72" s="1">
        <f ca="1">'Total Distance Tables Sup #2'!J72</f>
        <v>20.252767732819208</v>
      </c>
      <c r="K72" s="1">
        <f ca="1">'Total Distance Tables Sup #2'!K72</f>
        <v>20.350820894141059</v>
      </c>
    </row>
    <row r="73" spans="1:11" x14ac:dyDescent="0.25">
      <c r="A73" t="str">
        <f ca="1">OFFSET(Taranaki_Reference,14,2)</f>
        <v>Light Vehicle Driver</v>
      </c>
      <c r="B73" s="4">
        <f ca="1">'Total Distance Tables Sup #2'!B73</f>
        <v>933.36875414999997</v>
      </c>
      <c r="C73" s="4">
        <f ca="1">'Total Distance Tables Sup #2'!C73*(1-'Other Assumptions'!G12)</f>
        <v>996.01021984984925</v>
      </c>
      <c r="D73" s="4">
        <f ca="1">'Total Distance Tables Sup #2'!D73*(1-'Other Assumptions'!H12)</f>
        <v>1025.7062798459215</v>
      </c>
      <c r="E73" s="4">
        <f ca="1">'Total Distance Tables Sup #2'!E73*(1-'Other Assumptions'!I12)</f>
        <v>950.82794815064688</v>
      </c>
      <c r="F73" s="4">
        <f ca="1">'Total Distance Tables Sup #2'!F73*(1-'Other Assumptions'!J12)</f>
        <v>864.98191098669383</v>
      </c>
      <c r="G73" s="4">
        <f ca="1">'Total Distance Tables Sup #2'!G73*(1-'Other Assumptions'!K12)</f>
        <v>766.52714644426283</v>
      </c>
      <c r="H73" s="4">
        <f ca="1">'Total Distance Tables Sup #2'!H73*(1-'Other Assumptions'!L12)</f>
        <v>662.8506649183837</v>
      </c>
      <c r="I73" s="1">
        <f ca="1">'Total Distance Tables Sup #2'!I73*(1-'Other Assumptions'!M12)</f>
        <v>556.42099972180586</v>
      </c>
      <c r="J73" s="1">
        <f ca="1">'Total Distance Tables Sup #2'!J73*(1-'Other Assumptions'!N12)</f>
        <v>446.97297702522559</v>
      </c>
      <c r="K73" s="1">
        <f ca="1">'Total Distance Tables Sup #2'!K73*(1-'Other Assumptions'!O12)</f>
        <v>447.8554535661608</v>
      </c>
    </row>
    <row r="74" spans="1:11" x14ac:dyDescent="0.25">
      <c r="A74" t="str">
        <f ca="1">OFFSET(Taranaki_Reference,21,2)</f>
        <v>Light Vehicle Passenger</v>
      </c>
      <c r="B74" s="4">
        <f ca="1">'Total Distance Tables Sup #2'!B74</f>
        <v>656.25872372000003</v>
      </c>
      <c r="C74" s="4">
        <f ca="1">'Total Distance Tables Sup #2'!C74*(1-'Other Assumptions'!G12)</f>
        <v>673.72750403227087</v>
      </c>
      <c r="D74" s="4">
        <f ca="1">'Total Distance Tables Sup #2'!D74*(1-'Other Assumptions'!H12)</f>
        <v>678.78186378144949</v>
      </c>
      <c r="E74" s="4">
        <f ca="1">'Total Distance Tables Sup #2'!E74*(1-'Other Assumptions'!I12)</f>
        <v>616.1571811933286</v>
      </c>
      <c r="F74" s="4">
        <f ca="1">'Total Distance Tables Sup #2'!F74*(1-'Other Assumptions'!J12)</f>
        <v>548.01643501750982</v>
      </c>
      <c r="G74" s="4">
        <f ca="1">'Total Distance Tables Sup #2'!G74*(1-'Other Assumptions'!K12)</f>
        <v>476.9091835188068</v>
      </c>
      <c r="H74" s="4">
        <f ca="1">'Total Distance Tables Sup #2'!H74*(1-'Other Assumptions'!L12)</f>
        <v>404.93968854878597</v>
      </c>
      <c r="I74" s="1">
        <f ca="1">'Total Distance Tables Sup #2'!I74*(1-'Other Assumptions'!M12)</f>
        <v>340.29703059499582</v>
      </c>
      <c r="J74" s="1">
        <f ca="1">'Total Distance Tables Sup #2'!J74*(1-'Other Assumptions'!N12)</f>
        <v>273.66385801135186</v>
      </c>
      <c r="K74" s="1">
        <f ca="1">'Total Distance Tables Sup #2'!K74*(1-'Other Assumptions'!O12)</f>
        <v>274.5091640115304</v>
      </c>
    </row>
    <row r="75" spans="1:11" x14ac:dyDescent="0.25">
      <c r="A75" t="str">
        <f ca="1">OFFSET(Taranaki_Reference,28,2)</f>
        <v>Taxi/Vehicle Share</v>
      </c>
      <c r="B75" s="4">
        <f ca="1">'Total Distance Tables Sup #2'!B75</f>
        <v>1.1335038904000001</v>
      </c>
      <c r="C75" s="4">
        <f ca="1">'Total Distance Tables Sup #2'!C75+((C73+C74)*'Other Assumptions'!G12/(1-'Other Assumptions'!G12))</f>
        <v>1.2606391271464066</v>
      </c>
      <c r="D75" s="4">
        <f ca="1">'Total Distance Tables Sup #2'!D75+((D73+D74)*'Other Assumptions'!H12/(1-'Other Assumptions'!H12))</f>
        <v>1.3657809414363231</v>
      </c>
      <c r="E75" s="4">
        <f ca="1">'Total Distance Tables Sup #2'!E75+((E73+E74)*'Other Assumptions'!I12/(1-'Other Assumptions'!I12))</f>
        <v>175.57520363874423</v>
      </c>
      <c r="F75" s="4">
        <f ca="1">'Total Distance Tables Sup #2'!F75+((F73+F74)*'Other Assumptions'!J12/(1-'Other Assumptions'!J12))</f>
        <v>354.79652957233839</v>
      </c>
      <c r="G75" s="4">
        <f ca="1">'Total Distance Tables Sup #2'!G75+((G73+G74)*'Other Assumptions'!K12/(1-'Other Assumptions'!K12))</f>
        <v>534.50442700600627</v>
      </c>
      <c r="H75" s="4">
        <f ca="1">'Total Distance Tables Sup #2'!H75+((H73+H74)*'Other Assumptions'!L12/(1-'Other Assumptions'!L12))</f>
        <v>713.51450488068633</v>
      </c>
      <c r="I75" s="1">
        <f ca="1">'Total Distance Tables Sup #2'!I75+((I73+I74)*'Other Assumptions'!M12/(1-'Other Assumptions'!M12))</f>
        <v>898.37975005355872</v>
      </c>
      <c r="J75" s="1">
        <f ca="1">'Total Distance Tables Sup #2'!J75+((J73+J74)*'Other Assumptions'!N12/(1-'Other Assumptions'!N12))</f>
        <v>1082.619132954869</v>
      </c>
      <c r="K75" s="1">
        <f ca="1">'Total Distance Tables Sup #2'!K75+((K73+K74)*'Other Assumptions'!O12/(1-'Other Assumptions'!O12))</f>
        <v>1085.209381912214</v>
      </c>
    </row>
    <row r="76" spans="1:11" x14ac:dyDescent="0.25">
      <c r="A76" t="str">
        <f ca="1">OFFSET(Taranaki_Reference,35,2)</f>
        <v>Motorcyclist</v>
      </c>
      <c r="B76" s="4">
        <f ca="1">'Total Distance Tables Sup #2'!B76</f>
        <v>7.0100687938000004</v>
      </c>
      <c r="C76" s="4">
        <f ca="1">'Total Distance Tables Sup #2'!C76</f>
        <v>7.4819232287242423</v>
      </c>
      <c r="D76" s="4">
        <f ca="1">'Total Distance Tables Sup #2'!D76</f>
        <v>7.7029722356429611</v>
      </c>
      <c r="E76" s="4">
        <f ca="1">'Total Distance Tables Sup #2'!E76</f>
        <v>7.802887599605782</v>
      </c>
      <c r="F76" s="4">
        <f ca="1">'Total Distance Tables Sup #2'!F76</f>
        <v>7.8144361734514911</v>
      </c>
      <c r="G76" s="4">
        <f ca="1">'Total Distance Tables Sup #2'!G76</f>
        <v>7.6907188347232545</v>
      </c>
      <c r="H76" s="4">
        <f ca="1">'Total Distance Tables Sup #2'!H76</f>
        <v>7.5352938756204368</v>
      </c>
      <c r="I76" s="1">
        <f ca="1">'Total Distance Tables Sup #2'!I76</f>
        <v>7.6374322598725071</v>
      </c>
      <c r="J76" s="1">
        <f ca="1">'Total Distance Tables Sup #2'!J76</f>
        <v>7.7166111670397051</v>
      </c>
      <c r="K76" s="1">
        <f ca="1">'Total Distance Tables Sup #2'!K76</f>
        <v>7.7801308258576292</v>
      </c>
    </row>
    <row r="77" spans="1:11" x14ac:dyDescent="0.25">
      <c r="A77" t="str">
        <f ca="1">OFFSET(Taranaki_Reference,42,2)</f>
        <v>Local Train</v>
      </c>
      <c r="B77" s="4">
        <f ca="1">'Total Distance Tables Sup #2'!B77</f>
        <v>0</v>
      </c>
      <c r="C77" s="4">
        <f ca="1">'Total Distance Tables Sup #2'!C77</f>
        <v>0</v>
      </c>
      <c r="D77" s="4">
        <f ca="1">'Total Distance Tables Sup #2'!D77</f>
        <v>0</v>
      </c>
      <c r="E77" s="4">
        <f ca="1">'Total Distance Tables Sup #2'!E77</f>
        <v>0</v>
      </c>
      <c r="F77" s="4">
        <f ca="1">'Total Distance Tables Sup #2'!F77</f>
        <v>0</v>
      </c>
      <c r="G77" s="4">
        <f ca="1">'Total Distance Tables Sup #2'!G77</f>
        <v>0</v>
      </c>
      <c r="H77" s="4">
        <f ca="1">'Total Distance Tables Sup #2'!H77</f>
        <v>0</v>
      </c>
      <c r="I77" s="1">
        <f ca="1">'Total Distance Tables Sup #2'!I77</f>
        <v>0</v>
      </c>
      <c r="J77" s="1">
        <f ca="1">'Total Distance Tables Sup #2'!J77</f>
        <v>0</v>
      </c>
      <c r="K77" s="1">
        <f ca="1">'Total Distance Tables Sup #2'!K77</f>
        <v>0</v>
      </c>
    </row>
    <row r="78" spans="1:11" x14ac:dyDescent="0.25">
      <c r="A78" t="str">
        <f ca="1">OFFSET(Taranaki_Reference,49,2)</f>
        <v>Local Bus</v>
      </c>
      <c r="B78" s="4">
        <f ca="1">'Total Distance Tables Sup #2'!B78</f>
        <v>14.084735078</v>
      </c>
      <c r="C78" s="4">
        <f ca="1">'Total Distance Tables Sup #2'!C78</f>
        <v>13.393983820211023</v>
      </c>
      <c r="D78" s="4">
        <f ca="1">'Total Distance Tables Sup #2'!D78</f>
        <v>12.884066317203382</v>
      </c>
      <c r="E78" s="4">
        <f ca="1">'Total Distance Tables Sup #2'!E78</f>
        <v>12.563478885339089</v>
      </c>
      <c r="F78" s="4">
        <f ca="1">'Total Distance Tables Sup #2'!F78</f>
        <v>12.043292929197635</v>
      </c>
      <c r="G78" s="4">
        <f ca="1">'Total Distance Tables Sup #2'!G78</f>
        <v>11.687145678370532</v>
      </c>
      <c r="H78" s="4">
        <f ca="1">'Total Distance Tables Sup #2'!H78</f>
        <v>11.3117231109843</v>
      </c>
      <c r="I78" s="1">
        <f ca="1">'Total Distance Tables Sup #2'!I78</f>
        <v>11.408396844841031</v>
      </c>
      <c r="J78" s="1">
        <f ca="1">'Total Distance Tables Sup #2'!J78</f>
        <v>11.469255527079389</v>
      </c>
      <c r="K78" s="1">
        <f ca="1">'Total Distance Tables Sup #2'!K78</f>
        <v>11.50563927116575</v>
      </c>
    </row>
    <row r="79" spans="1:11" x14ac:dyDescent="0.25">
      <c r="A79" t="str">
        <f ca="1">OFFSET(Waikato_Reference,56,2)</f>
        <v>Local Ferry</v>
      </c>
      <c r="B79" s="4">
        <f>'Total Distance Tables Sup #2'!B79</f>
        <v>0</v>
      </c>
      <c r="C79" s="4">
        <f ca="1">'Total Distance Tables Sup #2'!C79</f>
        <v>0</v>
      </c>
      <c r="D79" s="4">
        <f ca="1">'Total Distance Tables Sup #2'!D79</f>
        <v>0</v>
      </c>
      <c r="E79" s="4">
        <f ca="1">'Total Distance Tables Sup #2'!E79</f>
        <v>0</v>
      </c>
      <c r="F79" s="4">
        <f ca="1">'Total Distance Tables Sup #2'!F79</f>
        <v>0</v>
      </c>
      <c r="G79" s="4">
        <f ca="1">'Total Distance Tables Sup #2'!G79</f>
        <v>0</v>
      </c>
      <c r="H79" s="4">
        <f ca="1">'Total Distance Tables Sup #2'!H79</f>
        <v>0</v>
      </c>
      <c r="I79" s="1">
        <f ca="1">'Total Distance Tables Sup #2'!I79</f>
        <v>0</v>
      </c>
      <c r="J79" s="1">
        <f ca="1">'Total Distance Tables Sup #2'!J79</f>
        <v>0</v>
      </c>
      <c r="K79" s="1">
        <f ca="1">'Total Distance Tables Sup #2'!K79</f>
        <v>0</v>
      </c>
    </row>
    <row r="80" spans="1:11" x14ac:dyDescent="0.25">
      <c r="A80" t="str">
        <f ca="1">OFFSET(Taranaki_Reference,56,2)</f>
        <v>Other Household Travel</v>
      </c>
      <c r="B80" s="4">
        <f ca="1">'Total Distance Tables Sup #2'!B80</f>
        <v>0</v>
      </c>
      <c r="C80" s="4">
        <f ca="1">'Total Distance Tables Sup #2'!C80</f>
        <v>0</v>
      </c>
      <c r="D80" s="4">
        <f ca="1">'Total Distance Tables Sup #2'!D80</f>
        <v>0</v>
      </c>
      <c r="E80" s="4">
        <f ca="1">'Total Distance Tables Sup #2'!E80</f>
        <v>0</v>
      </c>
      <c r="F80" s="4">
        <f ca="1">'Total Distance Tables Sup #2'!F80</f>
        <v>0</v>
      </c>
      <c r="G80" s="4">
        <f ca="1">'Total Distance Tables Sup #2'!G80</f>
        <v>0</v>
      </c>
      <c r="H80" s="4">
        <f ca="1">'Total Distance Tables Sup #2'!H80</f>
        <v>0</v>
      </c>
      <c r="I80" s="1">
        <f ca="1">'Total Distance Tables Sup #2'!I80</f>
        <v>0</v>
      </c>
      <c r="J80" s="1">
        <f ca="1">'Total Distance Tables Sup #2'!J80</f>
        <v>0</v>
      </c>
      <c r="K80" s="1">
        <f ca="1">'Total Distance Tables Sup #2'!K80</f>
        <v>0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'Total Distance Tables Sup #2'!B82</f>
        <v>32.265609755</v>
      </c>
      <c r="C82" s="4">
        <f ca="1">'Total Distance Tables Sup #2'!C82</f>
        <v>33.005378995724861</v>
      </c>
      <c r="D82" s="4">
        <f ca="1">'Total Distance Tables Sup #2'!D82</f>
        <v>34.868937740277076</v>
      </c>
      <c r="E82" s="4">
        <f ca="1">'Total Distance Tables Sup #2'!E82</f>
        <v>36.305902411869063</v>
      </c>
      <c r="F82" s="4">
        <f ca="1">'Total Distance Tables Sup #2'!F82</f>
        <v>37.306843834735659</v>
      </c>
      <c r="G82" s="4">
        <f ca="1">'Total Distance Tables Sup #2'!G82</f>
        <v>38.139145862023554</v>
      </c>
      <c r="H82" s="4">
        <f ca="1">'Total Distance Tables Sup #2'!H82</f>
        <v>38.754941483857102</v>
      </c>
      <c r="I82" s="1">
        <f ca="1">'Total Distance Tables Sup #2'!I82</f>
        <v>38.390076688048488</v>
      </c>
      <c r="J82" s="1">
        <f ca="1">'Total Distance Tables Sup #2'!J82</f>
        <v>37.908130303229164</v>
      </c>
      <c r="K82" s="1">
        <f ca="1">'Total Distance Tables Sup #2'!K82</f>
        <v>37.352316636604485</v>
      </c>
    </row>
    <row r="83" spans="1:11" x14ac:dyDescent="0.25">
      <c r="A83" t="str">
        <f ca="1">OFFSET(Manawatu_Reference,7,2)</f>
        <v>Cyclist</v>
      </c>
      <c r="B83" s="4">
        <f ca="1">'Total Distance Tables Sup #2'!B83</f>
        <v>20.722330986999999</v>
      </c>
      <c r="C83" s="4">
        <f ca="1">'Total Distance Tables Sup #2'!C83</f>
        <v>21.93991621461252</v>
      </c>
      <c r="D83" s="4">
        <f ca="1">'Total Distance Tables Sup #2'!D83</f>
        <v>31.062914751989624</v>
      </c>
      <c r="E83" s="4">
        <f ca="1">'Total Distance Tables Sup #2'!E83</f>
        <v>39.691591747681251</v>
      </c>
      <c r="F83" s="4">
        <f ca="1">'Total Distance Tables Sup #2'!F83</f>
        <v>48.747138232538688</v>
      </c>
      <c r="G83" s="4">
        <f ca="1">'Total Distance Tables Sup #2'!G83</f>
        <v>58.663146822704007</v>
      </c>
      <c r="H83" s="4">
        <f ca="1">'Total Distance Tables Sup #2'!H83</f>
        <v>68.854754675446685</v>
      </c>
      <c r="I83" s="1">
        <f ca="1">'Total Distance Tables Sup #2'!I83</f>
        <v>68.526958736941339</v>
      </c>
      <c r="J83" s="1">
        <f ca="1">'Total Distance Tables Sup #2'!J83</f>
        <v>67.987683439751208</v>
      </c>
      <c r="K83" s="1">
        <f ca="1">'Total Distance Tables Sup #2'!K83</f>
        <v>67.311626121593761</v>
      </c>
    </row>
    <row r="84" spans="1:11" x14ac:dyDescent="0.25">
      <c r="A84" t="str">
        <f ca="1">OFFSET(Manawatu_Reference,14,2)</f>
        <v>Light Vehicle Driver</v>
      </c>
      <c r="B84" s="4">
        <f ca="1">'Total Distance Tables Sup #2'!B84</f>
        <v>1782.4745101999999</v>
      </c>
      <c r="C84" s="4">
        <f ca="1">'Total Distance Tables Sup #2'!C84*(1-'Other Assumptions'!G13)</f>
        <v>1887.2424011675887</v>
      </c>
      <c r="D84" s="4">
        <f ca="1">'Total Distance Tables Sup #2'!D84*(1-'Other Assumptions'!H13)</f>
        <v>1920.6999910772806</v>
      </c>
      <c r="E84" s="4">
        <f ca="1">'Total Distance Tables Sup #2'!E84*(1-'Other Assumptions'!I13)</f>
        <v>1757.5848996695427</v>
      </c>
      <c r="F84" s="4">
        <f ca="1">'Total Distance Tables Sup #2'!F84*(1-'Other Assumptions'!J13)</f>
        <v>1578.1530598279503</v>
      </c>
      <c r="G84" s="4">
        <f ca="1">'Total Distance Tables Sup #2'!G84*(1-'Other Assumptions'!K13)</f>
        <v>1378.7967073187194</v>
      </c>
      <c r="H84" s="4">
        <f ca="1">'Total Distance Tables Sup #2'!H84*(1-'Other Assumptions'!L13)</f>
        <v>1174.0322305429936</v>
      </c>
      <c r="I84" s="1">
        <f ca="1">'Total Distance Tables Sup #2'!I84*(1-'Other Assumptions'!M13)</f>
        <v>971.0167290254717</v>
      </c>
      <c r="J84" s="1">
        <f ca="1">'Total Distance Tables Sup #2'!J84*(1-'Other Assumptions'!N13)</f>
        <v>768.53432608876471</v>
      </c>
      <c r="K84" s="1">
        <f ca="1">'Total Distance Tables Sup #2'!K84*(1-'Other Assumptions'!O13)</f>
        <v>758.71487351682708</v>
      </c>
    </row>
    <row r="85" spans="1:11" x14ac:dyDescent="0.25">
      <c r="A85" t="str">
        <f ca="1">OFFSET(Manawatu_Reference,21,2)</f>
        <v>Light Vehicle Passenger</v>
      </c>
      <c r="B85" s="4">
        <f ca="1">'Total Distance Tables Sup #2'!B85</f>
        <v>885.65568203999999</v>
      </c>
      <c r="C85" s="4">
        <f ca="1">'Total Distance Tables Sup #2'!C85*(1-'Other Assumptions'!G13)</f>
        <v>902.12749979213311</v>
      </c>
      <c r="D85" s="4">
        <f ca="1">'Total Distance Tables Sup #2'!D85*(1-'Other Assumptions'!H13)</f>
        <v>897.17382624863626</v>
      </c>
      <c r="E85" s="4">
        <f ca="1">'Total Distance Tables Sup #2'!E85*(1-'Other Assumptions'!I13)</f>
        <v>802.96773381027765</v>
      </c>
      <c r="F85" s="4">
        <f ca="1">'Total Distance Tables Sup #2'!F85*(1-'Other Assumptions'!J13)</f>
        <v>704.00564096721075</v>
      </c>
      <c r="G85" s="4">
        <f ca="1">'Total Distance Tables Sup #2'!G85*(1-'Other Assumptions'!K13)</f>
        <v>603.16313357106822</v>
      </c>
      <c r="H85" s="4">
        <f ca="1">'Total Distance Tables Sup #2'!H85*(1-'Other Assumptions'!L13)</f>
        <v>503.50856554379834</v>
      </c>
      <c r="I85" s="1">
        <f ca="1">'Total Distance Tables Sup #2'!I85*(1-'Other Assumptions'!M13)</f>
        <v>416.89987376762195</v>
      </c>
      <c r="J85" s="1">
        <f ca="1">'Total Distance Tables Sup #2'!J85*(1-'Other Assumptions'!N13)</f>
        <v>330.32993860204772</v>
      </c>
      <c r="K85" s="1">
        <f ca="1">'Total Distance Tables Sup #2'!K85*(1-'Other Assumptions'!O13)</f>
        <v>326.47056215788137</v>
      </c>
    </row>
    <row r="86" spans="1:11" x14ac:dyDescent="0.25">
      <c r="A86" t="str">
        <f ca="1">OFFSET(Manawatu_Reference,28,2)</f>
        <v>Taxi/Vehicle Share</v>
      </c>
      <c r="B86" s="4">
        <f ca="1">'Total Distance Tables Sup #2'!B86</f>
        <v>5.6344181790999999</v>
      </c>
      <c r="C86" s="4">
        <f ca="1">'Total Distance Tables Sup #2'!C86+((C84+C85)*'Other Assumptions'!G13/(1-'Other Assumptions'!G13))</f>
        <v>6.2174265707334184</v>
      </c>
      <c r="D86" s="4">
        <f ca="1">'Total Distance Tables Sup #2'!D86+((D84+D85)*'Other Assumptions'!H13/(1-'Other Assumptions'!H13))</f>
        <v>6.6606708905553056</v>
      </c>
      <c r="E86" s="4">
        <f ca="1">'Total Distance Tables Sup #2'!E86+((E84+E85)*'Other Assumptions'!I13/(1-'Other Assumptions'!I13))</f>
        <v>291.56587593749595</v>
      </c>
      <c r="F86" s="4">
        <f ca="1">'Total Distance Tables Sup #2'!F86+((F84+F85)*'Other Assumptions'!J13/(1-'Other Assumptions'!J13))</f>
        <v>577.89810138248424</v>
      </c>
      <c r="G86" s="4">
        <f ca="1">'Total Distance Tables Sup #2'!G86+((G84+G85)*'Other Assumptions'!K13/(1-'Other Assumptions'!K13))</f>
        <v>856.93398450515826</v>
      </c>
      <c r="H86" s="4">
        <f ca="1">'Total Distance Tables Sup #2'!H86+((H84+H85)*'Other Assumptions'!L13/(1-'Other Assumptions'!L13))</f>
        <v>1126.0088437274342</v>
      </c>
      <c r="I86" s="1">
        <f ca="1">'Total Distance Tables Sup #2'!I86+((I84+I85)*'Other Assumptions'!M13/(1-'Other Assumptions'!M13))</f>
        <v>1395.4863177555881</v>
      </c>
      <c r="J86" s="1">
        <f ca="1">'Total Distance Tables Sup #2'!J86+((J84+J85)*'Other Assumptions'!N13/(1-'Other Assumptions'!N13))</f>
        <v>1655.7644285681938</v>
      </c>
      <c r="K86" s="1">
        <f ca="1">'Total Distance Tables Sup #2'!K86+((K84+K85)*'Other Assumptions'!O13/(1-'Other Assumptions'!O13))</f>
        <v>1635.1299989297122</v>
      </c>
    </row>
    <row r="87" spans="1:11" x14ac:dyDescent="0.25">
      <c r="A87" t="str">
        <f ca="1">OFFSET(Manawatu_Reference,35,2)</f>
        <v>Motorcyclist</v>
      </c>
      <c r="B87" s="4">
        <f ca="1">'Total Distance Tables Sup #2'!B87</f>
        <v>3.8744282972000001</v>
      </c>
      <c r="C87" s="4">
        <f ca="1">'Total Distance Tables Sup #2'!C87</f>
        <v>4.1029140239325761</v>
      </c>
      <c r="D87" s="4">
        <f ca="1">'Total Distance Tables Sup #2'!D87</f>
        <v>4.1769045035930885</v>
      </c>
      <c r="E87" s="4">
        <f ca="1">'Total Distance Tables Sup #2'!E87</f>
        <v>4.1789067289952548</v>
      </c>
      <c r="F87" s="4">
        <f ca="1">'Total Distance Tables Sup #2'!F87</f>
        <v>4.1330203220052173</v>
      </c>
      <c r="G87" s="4">
        <f ca="1">'Total Distance Tables Sup #2'!G87</f>
        <v>4.0125771110150366</v>
      </c>
      <c r="H87" s="4">
        <f ca="1">'Total Distance Tables Sup #2'!H87</f>
        <v>3.8736371784167791</v>
      </c>
      <c r="I87" s="1">
        <f ca="1">'Total Distance Tables Sup #2'!I87</f>
        <v>3.8683735579301683</v>
      </c>
      <c r="J87" s="1">
        <f ca="1">'Total Distance Tables Sup #2'!J87</f>
        <v>3.8509682728161101</v>
      </c>
      <c r="K87" s="1">
        <f ca="1">'Total Distance Tables Sup #2'!K87</f>
        <v>3.825537928236967</v>
      </c>
    </row>
    <row r="88" spans="1:11" x14ac:dyDescent="0.25">
      <c r="A88" t="str">
        <f ca="1">OFFSET(Taranaki_Reference,42,2)</f>
        <v>Local Train</v>
      </c>
      <c r="B88" s="4">
        <f ca="1">'Total Distance Tables Sup #2'!B88</f>
        <v>0</v>
      </c>
      <c r="C88" s="4">
        <f ca="1">'Total Distance Tables Sup #2'!C88</f>
        <v>0</v>
      </c>
      <c r="D88" s="4">
        <f ca="1">'Total Distance Tables Sup #2'!D88</f>
        <v>0</v>
      </c>
      <c r="E88" s="4">
        <f ca="1">'Total Distance Tables Sup #2'!E88</f>
        <v>0</v>
      </c>
      <c r="F88" s="4">
        <f ca="1">'Total Distance Tables Sup #2'!F88</f>
        <v>0</v>
      </c>
      <c r="G88" s="4">
        <f ca="1">'Total Distance Tables Sup #2'!G88</f>
        <v>0</v>
      </c>
      <c r="H88" s="4">
        <f ca="1">'Total Distance Tables Sup #2'!H88</f>
        <v>0</v>
      </c>
      <c r="I88" s="1">
        <f ca="1">'Total Distance Tables Sup #2'!I88</f>
        <v>0</v>
      </c>
      <c r="J88" s="1">
        <f ca="1">'Total Distance Tables Sup #2'!J88</f>
        <v>0</v>
      </c>
      <c r="K88" s="1">
        <f ca="1">'Total Distance Tables Sup #2'!K88</f>
        <v>0</v>
      </c>
    </row>
    <row r="89" spans="1:11" x14ac:dyDescent="0.25">
      <c r="A89" t="str">
        <f ca="1">OFFSET(Manawatu_Reference,42,2)</f>
        <v>Local Bus</v>
      </c>
      <c r="B89" s="4">
        <f ca="1">'Total Distance Tables Sup #2'!B89</f>
        <v>39.768452936000003</v>
      </c>
      <c r="C89" s="4">
        <f ca="1">'Total Distance Tables Sup #2'!C89</f>
        <v>37.522658831689377</v>
      </c>
      <c r="D89" s="4">
        <f ca="1">'Total Distance Tables Sup #2'!D89</f>
        <v>35.690598519253356</v>
      </c>
      <c r="E89" s="4">
        <f ca="1">'Total Distance Tables Sup #2'!E89</f>
        <v>34.373353710062624</v>
      </c>
      <c r="F89" s="4">
        <f ca="1">'Total Distance Tables Sup #2'!F89</f>
        <v>32.540169291614994</v>
      </c>
      <c r="G89" s="4">
        <f ca="1">'Total Distance Tables Sup #2'!G89</f>
        <v>31.150826971381019</v>
      </c>
      <c r="H89" s="4">
        <f ca="1">'Total Distance Tables Sup #2'!H89</f>
        <v>29.706547275801618</v>
      </c>
      <c r="I89" s="1">
        <f ca="1">'Total Distance Tables Sup #2'!I89</f>
        <v>29.519589942024449</v>
      </c>
      <c r="J89" s="1">
        <f ca="1">'Total Distance Tables Sup #2'!J89</f>
        <v>29.240393844863465</v>
      </c>
      <c r="K89" s="1">
        <f ca="1">'Total Distance Tables Sup #2'!K89</f>
        <v>28.901543149885658</v>
      </c>
    </row>
    <row r="90" spans="1:11" x14ac:dyDescent="0.25">
      <c r="A90" t="str">
        <f ca="1">OFFSET(Manawatu_Reference,49,2)</f>
        <v>Local Ferry</v>
      </c>
      <c r="B90" s="4">
        <f ca="1">'Total Distance Tables Sup #2'!B90</f>
        <v>0</v>
      </c>
      <c r="C90" s="4">
        <f ca="1">'Total Distance Tables Sup #2'!C90</f>
        <v>0</v>
      </c>
      <c r="D90" s="4">
        <f ca="1">'Total Distance Tables Sup #2'!D90</f>
        <v>0</v>
      </c>
      <c r="E90" s="4">
        <f ca="1">'Total Distance Tables Sup #2'!E90</f>
        <v>0</v>
      </c>
      <c r="F90" s="4">
        <f ca="1">'Total Distance Tables Sup #2'!F90</f>
        <v>0</v>
      </c>
      <c r="G90" s="4">
        <f ca="1">'Total Distance Tables Sup #2'!G90</f>
        <v>0</v>
      </c>
      <c r="H90" s="4">
        <f ca="1">'Total Distance Tables Sup #2'!H90</f>
        <v>0</v>
      </c>
      <c r="I90" s="1">
        <f ca="1">'Total Distance Tables Sup #2'!I90</f>
        <v>0</v>
      </c>
      <c r="J90" s="1">
        <f ca="1">'Total Distance Tables Sup #2'!J90</f>
        <v>0</v>
      </c>
      <c r="K90" s="1">
        <f ca="1">'Total Distance Tables Sup #2'!K90</f>
        <v>0</v>
      </c>
    </row>
    <row r="91" spans="1:11" x14ac:dyDescent="0.25">
      <c r="A91" t="str">
        <f ca="1">OFFSET(Manawatu_Reference,56,2)</f>
        <v>Other Household Travel</v>
      </c>
      <c r="B91" s="4">
        <f ca="1">'Total Distance Tables Sup #2'!B91</f>
        <v>0</v>
      </c>
      <c r="C91" s="4">
        <f ca="1">'Total Distance Tables Sup #2'!C91</f>
        <v>0</v>
      </c>
      <c r="D91" s="4">
        <f ca="1">'Total Distance Tables Sup #2'!D91</f>
        <v>0</v>
      </c>
      <c r="E91" s="4">
        <f ca="1">'Total Distance Tables Sup #2'!E91</f>
        <v>0</v>
      </c>
      <c r="F91" s="4">
        <f ca="1">'Total Distance Tables Sup #2'!F91</f>
        <v>0</v>
      </c>
      <c r="G91" s="4">
        <f ca="1">'Total Distance Tables Sup #2'!G91</f>
        <v>0</v>
      </c>
      <c r="H91" s="4">
        <f ca="1">'Total Distance Tables Sup #2'!H91</f>
        <v>0</v>
      </c>
      <c r="I91" s="1">
        <f ca="1">'Total Distance Tables Sup #2'!I91</f>
        <v>0</v>
      </c>
      <c r="J91" s="1">
        <f ca="1">'Total Distance Tables Sup #2'!J91</f>
        <v>0</v>
      </c>
      <c r="K91" s="1">
        <f ca="1">'Total Distance Tables Sup #2'!K91</f>
        <v>0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'Total Distance Tables Sup #2'!B93</f>
        <v>126.13499251</v>
      </c>
      <c r="C93" s="4">
        <f ca="1">'Total Distance Tables Sup #2'!C93+'Total Distance Tables Sup #2'!C95*'Other Assumptions'!G77*'Other Assumptions'!G84+'Total Distance Tables Sup #2'!C96*'Other Assumptions'!G77*'Other Assumptions'!G84</f>
        <v>131.3236299731791</v>
      </c>
      <c r="D93" s="4">
        <f ca="1">'Total Distance Tables Sup #2'!D93+'Total Distance Tables Sup #2'!D95*'Other Assumptions'!H77*'Other Assumptions'!H84+'Total Distance Tables Sup #2'!D96*'Other Assumptions'!H77*'Other Assumptions'!H84</f>
        <v>167.77027554695383</v>
      </c>
      <c r="E93" s="4">
        <f ca="1">'Total Distance Tables Sup #2'!E93+'Total Distance Tables Sup #2'!E95*'Other Assumptions'!I77*'Other Assumptions'!I84+'Total Distance Tables Sup #2'!E96*'Other Assumptions'!I77*'Other Assumptions'!I84</f>
        <v>176.82710367459043</v>
      </c>
      <c r="F93" s="4">
        <f ca="1">'Total Distance Tables Sup #2'!F93+'Total Distance Tables Sup #2'!F95*'Other Assumptions'!J77*'Other Assumptions'!J84+'Total Distance Tables Sup #2'!F96*'Other Assumptions'!J77*'Other Assumptions'!J84</f>
        <v>183.4591226663172</v>
      </c>
      <c r="G93" s="4">
        <f ca="1">'Total Distance Tables Sup #2'!G93+'Total Distance Tables Sup #2'!G95*'Other Assumptions'!K77*'Other Assumptions'!K84+'Total Distance Tables Sup #2'!G96*'Other Assumptions'!K77*'Other Assumptions'!K84</f>
        <v>187.22651887972953</v>
      </c>
      <c r="H93" s="4">
        <f ca="1">'Total Distance Tables Sup #2'!H93+'Total Distance Tables Sup #2'!H95*'Other Assumptions'!L77*'Other Assumptions'!L84+'Total Distance Tables Sup #2'!H96*'Other Assumptions'!L77*'Other Assumptions'!L84</f>
        <v>189.39356292534475</v>
      </c>
      <c r="I93" s="1">
        <f ca="1">'Total Distance Tables Sup #2'!I93+'Total Distance Tables Sup #2'!I95*'Other Assumptions'!M77*'Other Assumptions'!M84+'Total Distance Tables Sup #2'!I96*'Other Assumptions'!M77*'Other Assumptions'!M84</f>
        <v>187.96154568995559</v>
      </c>
      <c r="J93" s="1">
        <f ca="1">'Total Distance Tables Sup #2'!J93+'Total Distance Tables Sup #2'!J95*'Other Assumptions'!N77*'Other Assumptions'!N84+'Total Distance Tables Sup #2'!J96*'Other Assumptions'!N77*'Other Assumptions'!N84</f>
        <v>185.11283216559357</v>
      </c>
      <c r="K93" s="1">
        <f ca="1">'Total Distance Tables Sup #2'!K93+'Total Distance Tables Sup #2'!K95*'Other Assumptions'!O77*'Other Assumptions'!O84+'Total Distance Tables Sup #2'!K96*'Other Assumptions'!O77*'Other Assumptions'!O84</f>
        <v>180.98958134708519</v>
      </c>
    </row>
    <row r="94" spans="1:11" x14ac:dyDescent="0.25">
      <c r="A94" t="str">
        <f ca="1">OFFSET(Wellington_Reference,7,2)</f>
        <v>Cyclist</v>
      </c>
      <c r="B94" s="4">
        <f ca="1">'Total Distance Tables Sup #2'!B94</f>
        <v>52.092312808000003</v>
      </c>
      <c r="C94" s="4">
        <f ca="1">'Total Distance Tables Sup #2'!C94+'Total Distance Tables Sup #2'!C95*'Other Assumptions'!G77*'Other Assumptions'!G83+'Total Distance Tables Sup #2'!C96*'Other Assumptions'!G77*'Other Assumptions'!G83</f>
        <v>56.125116499025289</v>
      </c>
      <c r="D94" s="4">
        <f ca="1">'Total Distance Tables Sup #2'!D94+'Total Distance Tables Sup #2'!D95*'Other Assumptions'!H77*'Other Assumptions'!H83+'Total Distance Tables Sup #2'!D96*'Other Assumptions'!H77*'Other Assumptions'!H83</f>
        <v>99.321781259307755</v>
      </c>
      <c r="E94" s="4">
        <f ca="1">'Total Distance Tables Sup #2'!E94+'Total Distance Tables Sup #2'!E95*'Other Assumptions'!I77*'Other Assumptions'!I83+'Total Distance Tables Sup #2'!E96*'Other Assumptions'!I77*'Other Assumptions'!I83</f>
        <v>124.14630593211623</v>
      </c>
      <c r="F94" s="4">
        <f ca="1">'Total Distance Tables Sup #2'!F94+'Total Distance Tables Sup #2'!F95*'Other Assumptions'!J77*'Other Assumptions'!J83+'Total Distance Tables Sup #2'!F96*'Other Assumptions'!J77*'Other Assumptions'!J83</f>
        <v>149.53379463125881</v>
      </c>
      <c r="G94" s="4">
        <f ca="1">'Total Distance Tables Sup #2'!G94+'Total Distance Tables Sup #2'!G95*'Other Assumptions'!K77*'Other Assumptions'!K83+'Total Distance Tables Sup #2'!G96*'Other Assumptions'!K77*'Other Assumptions'!K83</f>
        <v>175.9265492454139</v>
      </c>
      <c r="H94" s="4">
        <f ca="1">'Total Distance Tables Sup #2'!H94+'Total Distance Tables Sup #2'!H95*'Other Assumptions'!L77*'Other Assumptions'!L83+'Total Distance Tables Sup #2'!H96*'Other Assumptions'!L77*'Other Assumptions'!L83</f>
        <v>202.78938666271111</v>
      </c>
      <c r="I94" s="1">
        <f ca="1">'Total Distance Tables Sup #2'!I94+'Total Distance Tables Sup #2'!I95*'Other Assumptions'!M77*'Other Assumptions'!M83+'Total Distance Tables Sup #2'!I96*'Other Assumptions'!M77*'Other Assumptions'!M83</f>
        <v>202.41609483107356</v>
      </c>
      <c r="J94" s="1">
        <f ca="1">'Total Distance Tables Sup #2'!J94+'Total Distance Tables Sup #2'!J95*'Other Assumptions'!N77*'Other Assumptions'!N83+'Total Distance Tables Sup #2'!J96*'Other Assumptions'!N77*'Other Assumptions'!N83</f>
        <v>200.87295046426573</v>
      </c>
      <c r="K94" s="1">
        <f ca="1">'Total Distance Tables Sup #2'!K94+'Total Distance Tables Sup #2'!K95*'Other Assumptions'!O77*'Other Assumptions'!O83+'Total Distance Tables Sup #2'!K96*'Other Assumptions'!O77*'Other Assumptions'!O83</f>
        <v>198.32512624002089</v>
      </c>
    </row>
    <row r="95" spans="1:11" x14ac:dyDescent="0.25">
      <c r="A95" t="str">
        <f ca="1">OFFSET(Wellington_Reference,14,2)</f>
        <v>Light Vehicle Driver</v>
      </c>
      <c r="B95" s="4">
        <f ca="1">'Total Distance Tables Sup #2'!B95</f>
        <v>3481.4296611999998</v>
      </c>
      <c r="C95" s="4">
        <f ca="1">'Total Distance Tables Sup #2'!C95*(1-'Other Assumptions'!G14)*(1-'Other Assumptions'!G77)</f>
        <v>3750.7475241358675</v>
      </c>
      <c r="D95" s="4">
        <f ca="1">'Total Distance Tables Sup #2'!D95*(1-'Other Assumptions'!H14)*(1-'Other Assumptions'!H77)</f>
        <v>3196.5912919873022</v>
      </c>
      <c r="E95" s="4">
        <f ca="1">'Total Distance Tables Sup #2'!E95*(1-'Other Assumptions'!I14)*(1-'Other Assumptions'!I77)</f>
        <v>2864.9124792668936</v>
      </c>
      <c r="F95" s="4">
        <f ca="1">'Total Distance Tables Sup #2'!F95*(1-'Other Assumptions'!J14)*(1-'Other Assumptions'!J77)</f>
        <v>2542.2490166635735</v>
      </c>
      <c r="G95" s="4">
        <f ca="1">'Total Distance Tables Sup #2'!G95*(1-'Other Assumptions'!K14)*(1-'Other Assumptions'!K77)</f>
        <v>2224.0863257668825</v>
      </c>
      <c r="H95" s="4">
        <f ca="1">'Total Distance Tables Sup #2'!H95*(1-'Other Assumptions'!L14)*(1-'Other Assumptions'!L77)</f>
        <v>1901.8221344682552</v>
      </c>
      <c r="I95" s="1">
        <f ca="1">'Total Distance Tables Sup #2'!I95*(1-'Other Assumptions'!M14)*(1-'Other Assumptions'!M77)</f>
        <v>1579.5330813518203</v>
      </c>
      <c r="J95" s="1">
        <f ca="1">'Total Distance Tables Sup #2'!J95*(1-'Other Assumptions'!N14)*(1-'Other Assumptions'!N77)</f>
        <v>1261.7820859069661</v>
      </c>
      <c r="K95" s="1">
        <f ca="1">'Total Distance Tables Sup #2'!K95*(1-'Other Assumptions'!O14)*(1-'Other Assumptions'!O77)</f>
        <v>1264.4603440407341</v>
      </c>
    </row>
    <row r="96" spans="1:11" x14ac:dyDescent="0.25">
      <c r="A96" t="str">
        <f ca="1">OFFSET(Wellington_Reference,21,2)</f>
        <v>Light Vehicle Passenger</v>
      </c>
      <c r="B96" s="4">
        <f ca="1">'Total Distance Tables Sup #2'!B96</f>
        <v>2005.8850408000001</v>
      </c>
      <c r="C96" s="4">
        <f ca="1">'Total Distance Tables Sup #2'!C96*(1-'Other Assumptions'!G14)*(1-'Other Assumptions'!G77+'Other Assumptions'!G77*'Other Assumptions'!G80)+'Total Distance Tables Sup #2'!C95*(1-'Other Assumptions'!G14)*'Other Assumptions'!G77*'Other Assumptions'!G80</f>
        <v>2078.9289200378785</v>
      </c>
      <c r="D96" s="4">
        <f ca="1">'Total Distance Tables Sup #2'!D96*(1-'Other Assumptions'!H14)*(1-'Other Assumptions'!H77+'Other Assumptions'!H77*'Other Assumptions'!H80)+'Total Distance Tables Sup #2'!D95*(1-'Other Assumptions'!H14)*'Other Assumptions'!H77*'Other Assumptions'!H80</f>
        <v>2162.3054530849322</v>
      </c>
      <c r="E96" s="4">
        <f ca="1">'Total Distance Tables Sup #2'!E96*(1-'Other Assumptions'!I14)*(1-'Other Assumptions'!I77+'Other Assumptions'!I77*'Other Assumptions'!I80)+'Total Distance Tables Sup #2'!E95*(1-'Other Assumptions'!I14)*'Other Assumptions'!I77*'Other Assumptions'!I80</f>
        <v>1947.8531832383856</v>
      </c>
      <c r="F96" s="4">
        <f ca="1">'Total Distance Tables Sup #2'!F96*(1-'Other Assumptions'!J14)*(1-'Other Assumptions'!J77+'Other Assumptions'!J77*'Other Assumptions'!J80)+'Total Distance Tables Sup #2'!F95*(1-'Other Assumptions'!J14)*'Other Assumptions'!J77*'Other Assumptions'!J80</f>
        <v>1721.1532365580897</v>
      </c>
      <c r="G96" s="4">
        <f ca="1">'Total Distance Tables Sup #2'!G96*(1-'Other Assumptions'!K14)*(1-'Other Assumptions'!K77+'Other Assumptions'!K77*'Other Assumptions'!K80)+'Total Distance Tables Sup #2'!G95*(1-'Other Assumptions'!K14)*'Other Assumptions'!K77*'Other Assumptions'!K80</f>
        <v>1480.8413593454086</v>
      </c>
      <c r="H96" s="4">
        <f ca="1">'Total Distance Tables Sup #2'!H96*(1-'Other Assumptions'!L14)*(1-'Other Assumptions'!L77+'Other Assumptions'!L77*'Other Assumptions'!L80)+'Total Distance Tables Sup #2'!H95*(1-'Other Assumptions'!L14)*'Other Assumptions'!L77*'Other Assumptions'!L80</f>
        <v>1239.4248370008718</v>
      </c>
      <c r="I96" s="1">
        <f ca="1">'Total Distance Tables Sup #2'!I96*(1-'Other Assumptions'!M14)*(1-'Other Assumptions'!M77+'Other Assumptions'!M77*'Other Assumptions'!M80)+'Total Distance Tables Sup #2'!I95*(1-'Other Assumptions'!M14)*'Other Assumptions'!M77*'Other Assumptions'!M80</f>
        <v>1026.4326193048869</v>
      </c>
      <c r="J96" s="1">
        <f ca="1">'Total Distance Tables Sup #2'!J96*(1-'Other Assumptions'!N14)*(1-'Other Assumptions'!N77+'Other Assumptions'!N77*'Other Assumptions'!N80)+'Total Distance Tables Sup #2'!J95*(1-'Other Assumptions'!N14)*'Other Assumptions'!N77*'Other Assumptions'!N80</f>
        <v>811.75928794776746</v>
      </c>
      <c r="K96" s="1">
        <f ca="1">'Total Distance Tables Sup #2'!K96*(1-'Other Assumptions'!O14)*(1-'Other Assumptions'!O77+'Other Assumptions'!O77*'Other Assumptions'!O80)+'Total Distance Tables Sup #2'!K95*(1-'Other Assumptions'!O14)*'Other Assumptions'!O77*'Other Assumptions'!O80</f>
        <v>798.93727498760575</v>
      </c>
    </row>
    <row r="97" spans="1:11" x14ac:dyDescent="0.25">
      <c r="A97" t="str">
        <f ca="1">OFFSET(Wellington_Reference,28,2)</f>
        <v>Taxi/Vehicle Share</v>
      </c>
      <c r="B97" s="4">
        <f ca="1">'Total Distance Tables Sup #2'!B97</f>
        <v>19.359252680000001</v>
      </c>
      <c r="C97" s="4">
        <f ca="1">'Total Distance Tables Sup #2'!C97+((C95+C96)*'Other Assumptions'!G14/(1-'Other Assumptions'!G14))</f>
        <v>21.73889344068845</v>
      </c>
      <c r="D97" s="4">
        <f ca="1">'Total Distance Tables Sup #2'!D97+((D95+D96)*'Other Assumptions'!H14/(1-'Other Assumptions'!H14))</f>
        <v>23.430541442728575</v>
      </c>
      <c r="E97" s="4">
        <f ca="1">'Total Distance Tables Sup #2'!E97+((E95+E96)*'Other Assumptions'!I14/(1-'Other Assumptions'!I14))</f>
        <v>559.67328586680401</v>
      </c>
      <c r="F97" s="4">
        <f ca="1">'Total Distance Tables Sup #2'!F97+((F95+F96)*'Other Assumptions'!J14/(1-'Other Assumptions'!J14))</f>
        <v>1091.9400019618647</v>
      </c>
      <c r="G97" s="4">
        <f ca="1">'Total Distance Tables Sup #2'!G97+((G95+G96)*'Other Assumptions'!K14/(1-'Other Assumptions'!K14))</f>
        <v>1614.6218821394609</v>
      </c>
      <c r="H97" s="4">
        <f ca="1">'Total Distance Tables Sup #2'!H97+((H95+H96)*'Other Assumptions'!L14/(1-'Other Assumptions'!L14))</f>
        <v>2121.5279706578235</v>
      </c>
      <c r="I97" s="1">
        <f ca="1">'Total Distance Tables Sup #2'!I97+((I95+I96)*'Other Assumptions'!M14/(1-'Other Assumptions'!M14))</f>
        <v>2633.1639855115882</v>
      </c>
      <c r="J97" s="1">
        <f ca="1">'Total Distance Tables Sup #2'!J97+((J95+J96)*'Other Assumptions'!N14/(1-'Other Assumptions'!N14))</f>
        <v>3137.2570359922893</v>
      </c>
      <c r="K97" s="1">
        <f ca="1">'Total Distance Tables Sup #2'!K97+((K95+K96)*'Other Assumptions'!O14/(1-'Other Assumptions'!O14))</f>
        <v>3121.7298799511668</v>
      </c>
    </row>
    <row r="98" spans="1:11" x14ac:dyDescent="0.25">
      <c r="A98" t="str">
        <f ca="1">OFFSET(Wellington_Reference,35,2)</f>
        <v>Motorcyclist</v>
      </c>
      <c r="B98" s="4">
        <f ca="1">'Total Distance Tables Sup #2'!B98</f>
        <v>24.444631151999999</v>
      </c>
      <c r="C98" s="4">
        <f ca="1">'Total Distance Tables Sup #2'!C98</f>
        <v>26.342411774402219</v>
      </c>
      <c r="D98" s="4">
        <f ca="1">'Total Distance Tables Sup #2'!D98</f>
        <v>26.980826188276783</v>
      </c>
      <c r="E98" s="4">
        <f ca="1">'Total Distance Tables Sup #2'!E98</f>
        <v>27.087416797036752</v>
      </c>
      <c r="F98" s="4">
        <f ca="1">'Total Distance Tables Sup #2'!F98</f>
        <v>26.908140509160415</v>
      </c>
      <c r="G98" s="4">
        <f ca="1">'Total Distance Tables Sup #2'!G98</f>
        <v>26.245569043187871</v>
      </c>
      <c r="H98" s="4">
        <f ca="1">'Total Distance Tables Sup #2'!H98</f>
        <v>25.44828228113311</v>
      </c>
      <c r="I98" s="1">
        <f ca="1">'Total Distance Tables Sup #2'!I98</f>
        <v>25.522707678612697</v>
      </c>
      <c r="J98" s="1">
        <f ca="1">'Total Distance Tables Sup #2'!J98</f>
        <v>25.513963789381013</v>
      </c>
      <c r="K98" s="1">
        <f ca="1">'Total Distance Tables Sup #2'!K98</f>
        <v>25.448368454929188</v>
      </c>
    </row>
    <row r="99" spans="1:11" x14ac:dyDescent="0.25">
      <c r="A99" t="str">
        <f ca="1">OFFSET(Wellington_Reference,42,2)</f>
        <v>Local Train</v>
      </c>
      <c r="B99" s="4">
        <f ca="1">'Total Distance Tables Sup #2'!B99</f>
        <v>297.83</v>
      </c>
      <c r="C99" s="4">
        <f ca="1">'Total Distance Tables Sup #2'!C99+'Total Distance Tables Sup #2'!C95*'Other Assumptions'!G77*'Other Assumptions'!G82+'Total Distance Tables Sup #2'!C96*'Other Assumptions'!G77*'Other Assumptions'!G82</f>
        <v>316.08354729096288</v>
      </c>
      <c r="D99" s="4">
        <f ca="1">'Total Distance Tables Sup #2'!D99+'Total Distance Tables Sup #2'!D95*'Other Assumptions'!H77*'Other Assumptions'!H82+'Total Distance Tables Sup #2'!D96*'Other Assumptions'!H77*'Other Assumptions'!H82</f>
        <v>442.99869794762174</v>
      </c>
      <c r="E99" s="4">
        <f ca="1">'Total Distance Tables Sup #2'!E99+'Total Distance Tables Sup #2'!E95*'Other Assumptions'!I77*'Other Assumptions'!I82+'Total Distance Tables Sup #2'!E96*'Other Assumptions'!I77*'Other Assumptions'!I82</f>
        <v>475.79604535204641</v>
      </c>
      <c r="F99" s="4">
        <f ca="1">'Total Distance Tables Sup #2'!F99+'Total Distance Tables Sup #2'!F95*'Other Assumptions'!J77*'Other Assumptions'!J82+'Total Distance Tables Sup #2'!F96*'Other Assumptions'!J77*'Other Assumptions'!J82</f>
        <v>496.37324467306053</v>
      </c>
      <c r="G99" s="4">
        <f ca="1">'Total Distance Tables Sup #2'!G99+'Total Distance Tables Sup #2'!G95*'Other Assumptions'!K77*'Other Assumptions'!K82+'Total Distance Tables Sup #2'!G96*'Other Assumptions'!K77*'Other Assumptions'!K82</f>
        <v>509.03787701522884</v>
      </c>
      <c r="H99" s="4">
        <f ca="1">'Total Distance Tables Sup #2'!H99+'Total Distance Tables Sup #2'!H95*'Other Assumptions'!L77*'Other Assumptions'!L82+'Total Distance Tables Sup #2'!H96*'Other Assumptions'!L77*'Other Assumptions'!L82</f>
        <v>518.20574722725246</v>
      </c>
      <c r="I99" s="1">
        <f ca="1">'Total Distance Tables Sup #2'!I99+'Total Distance Tables Sup #2'!I95*'Other Assumptions'!M77*'Other Assumptions'!M82+'Total Distance Tables Sup #2'!I96*'Other Assumptions'!M77*'Other Assumptions'!M82</f>
        <v>535.57285675863818</v>
      </c>
      <c r="J99" s="1">
        <f ca="1">'Total Distance Tables Sup #2'!J99+'Total Distance Tables Sup #2'!J95*'Other Assumptions'!N77*'Other Assumptions'!N82+'Total Distance Tables Sup #2'!J96*'Other Assumptions'!N77*'Other Assumptions'!N82</f>
        <v>550.65773077835343</v>
      </c>
      <c r="K99" s="1">
        <f ca="1">'Total Distance Tables Sup #2'!K99+'Total Distance Tables Sup #2'!K95*'Other Assumptions'!O77*'Other Assumptions'!O82+'Total Distance Tables Sup #2'!K96*'Other Assumptions'!O77*'Other Assumptions'!O82</f>
        <v>563.51656500689921</v>
      </c>
    </row>
    <row r="100" spans="1:11" x14ac:dyDescent="0.25">
      <c r="A100" t="str">
        <f ca="1">OFFSET(Wellington_Reference,49,2)</f>
        <v>Local Bus</v>
      </c>
      <c r="B100" s="4">
        <f ca="1">'Total Distance Tables Sup #2'!B100</f>
        <v>164.37</v>
      </c>
      <c r="C100" s="4">
        <f ca="1">'Total Distance Tables Sup #2'!C100+'Total Distance Tables Sup #2'!C95*'Other Assumptions'!G77*'Other Assumptions'!G81+'Total Distance Tables Sup #2'!C96*'Other Assumptions'!G77*'Other Assumptions'!G81</f>
        <v>169.71769354483644</v>
      </c>
      <c r="D100" s="4">
        <f ca="1">'Total Distance Tables Sup #2'!D100+'Total Distance Tables Sup #2'!D95*'Other Assumptions'!H77*'Other Assumptions'!H81+'Total Distance Tables Sup #2'!D96*'Other Assumptions'!H77*'Other Assumptions'!H81</f>
        <v>573.82189505942245</v>
      </c>
      <c r="E100" s="4">
        <f ca="1">'Total Distance Tables Sup #2'!E100+'Total Distance Tables Sup #2'!E95*'Other Assumptions'!I77*'Other Assumptions'!I81+'Total Distance Tables Sup #2'!E96*'Other Assumptions'!I77*'Other Assumptions'!I81</f>
        <v>628.43462288430783</v>
      </c>
      <c r="F100" s="4">
        <f ca="1">'Total Distance Tables Sup #2'!F100+'Total Distance Tables Sup #2'!F95*'Other Assumptions'!J77*'Other Assumptions'!J81+'Total Distance Tables Sup #2'!F96*'Other Assumptions'!J77*'Other Assumptions'!J81</f>
        <v>657.86159725503535</v>
      </c>
      <c r="G100" s="4">
        <f ca="1">'Total Distance Tables Sup #2'!G100+'Total Distance Tables Sup #2'!G95*'Other Assumptions'!K77*'Other Assumptions'!K81+'Total Distance Tables Sup #2'!G96*'Other Assumptions'!K77*'Other Assumptions'!K81</f>
        <v>657.56345818129012</v>
      </c>
      <c r="H100" s="4">
        <f ca="1">'Total Distance Tables Sup #2'!H100+'Total Distance Tables Sup #2'!H95*'Other Assumptions'!L77*'Other Assumptions'!L81+'Total Distance Tables Sup #2'!H96*'Other Assumptions'!L77*'Other Assumptions'!L81</f>
        <v>648.27298041054064</v>
      </c>
      <c r="I100" s="1">
        <f ca="1">'Total Distance Tables Sup #2'!I100+'Total Distance Tables Sup #2'!I95*'Other Assumptions'!M77*'Other Assumptions'!M81+'Total Distance Tables Sup #2'!I96*'Other Assumptions'!M77*'Other Assumptions'!M81</f>
        <v>645.46850516070185</v>
      </c>
      <c r="J100" s="1">
        <f ca="1">'Total Distance Tables Sup #2'!J100+'Total Distance Tables Sup #2'!J95*'Other Assumptions'!N77*'Other Assumptions'!N81+'Total Distance Tables Sup #2'!J96*'Other Assumptions'!N77*'Other Assumptions'!N81</f>
        <v>630.92515018511369</v>
      </c>
      <c r="K100" s="1">
        <f ca="1">'Total Distance Tables Sup #2'!K100+'Total Distance Tables Sup #2'!K95*'Other Assumptions'!O77*'Other Assumptions'!O81+'Total Distance Tables Sup #2'!K96*'Other Assumptions'!O77*'Other Assumptions'!O81</f>
        <v>604.14540590542015</v>
      </c>
    </row>
    <row r="101" spans="1:11" x14ac:dyDescent="0.25">
      <c r="A101" t="str">
        <f ca="1">OFFSET(Wellington_Reference,56,2)</f>
        <v>Local Ferry</v>
      </c>
      <c r="B101" s="4">
        <f ca="1">'Total Distance Tables Sup #2'!B101</f>
        <v>0</v>
      </c>
      <c r="C101" s="4">
        <f ca="1">'Total Distance Tables Sup #2'!C101</f>
        <v>0</v>
      </c>
      <c r="D101" s="4">
        <f ca="1">'Total Distance Tables Sup #2'!D101</f>
        <v>0</v>
      </c>
      <c r="E101" s="4">
        <f ca="1">'Total Distance Tables Sup #2'!E101</f>
        <v>0</v>
      </c>
      <c r="F101" s="4">
        <f ca="1">'Total Distance Tables Sup #2'!F101</f>
        <v>0</v>
      </c>
      <c r="G101" s="4">
        <f ca="1">'Total Distance Tables Sup #2'!G101</f>
        <v>0</v>
      </c>
      <c r="H101" s="4">
        <f ca="1">'Total Distance Tables Sup #2'!H101</f>
        <v>0</v>
      </c>
      <c r="I101" s="1">
        <f ca="1">'Total Distance Tables Sup #2'!I101</f>
        <v>0</v>
      </c>
      <c r="J101" s="1">
        <f ca="1">'Total Distance Tables Sup #2'!J101</f>
        <v>0</v>
      </c>
      <c r="K101" s="1">
        <f ca="1">'Total Distance Tables Sup #2'!K101</f>
        <v>0</v>
      </c>
    </row>
    <row r="102" spans="1:11" x14ac:dyDescent="0.25">
      <c r="A102" t="str">
        <f ca="1">OFFSET(Wellington_Reference,63,2)</f>
        <v>Other Household Travel</v>
      </c>
      <c r="B102" s="4">
        <f ca="1">'Total Distance Tables Sup #2'!B102</f>
        <v>0</v>
      </c>
      <c r="C102" s="4">
        <f ca="1">'Total Distance Tables Sup #2'!C102</f>
        <v>0</v>
      </c>
      <c r="D102" s="4">
        <f ca="1">'Total Distance Tables Sup #2'!D102</f>
        <v>0</v>
      </c>
      <c r="E102" s="4">
        <f ca="1">'Total Distance Tables Sup #2'!E102</f>
        <v>0</v>
      </c>
      <c r="F102" s="4">
        <f ca="1">'Total Distance Tables Sup #2'!F102</f>
        <v>0</v>
      </c>
      <c r="G102" s="4">
        <f ca="1">'Total Distance Tables Sup #2'!G102</f>
        <v>0</v>
      </c>
      <c r="H102" s="4">
        <f ca="1">'Total Distance Tables Sup #2'!H102</f>
        <v>0</v>
      </c>
      <c r="I102" s="1">
        <f ca="1">'Total Distance Tables Sup #2'!I102</f>
        <v>0</v>
      </c>
      <c r="J102" s="1">
        <f ca="1">'Total Distance Tables Sup #2'!J102</f>
        <v>0</v>
      </c>
      <c r="K102" s="1">
        <f ca="1">'Total Distance Tables Sup #2'!K102</f>
        <v>0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'Total Distance Tables Sup #2'!B104</f>
        <v>28.582749250999999</v>
      </c>
      <c r="C104" s="4">
        <f ca="1">'Total Distance Tables Sup #2'!C104</f>
        <v>29.471323710406168</v>
      </c>
      <c r="D104" s="4">
        <f ca="1">'Total Distance Tables Sup #2'!D104</f>
        <v>31.53739633543001</v>
      </c>
      <c r="E104" s="4">
        <f ca="1">'Total Distance Tables Sup #2'!E104</f>
        <v>33.17065451660072</v>
      </c>
      <c r="F104" s="4">
        <f ca="1">'Total Distance Tables Sup #2'!F104</f>
        <v>34.411554007764401</v>
      </c>
      <c r="G104" s="4">
        <f ca="1">'Total Distance Tables Sup #2'!G104</f>
        <v>35.480425486885458</v>
      </c>
      <c r="H104" s="4">
        <f ca="1">'Total Distance Tables Sup #2'!H104</f>
        <v>36.295658250280397</v>
      </c>
      <c r="I104" s="1">
        <f ca="1">'Total Distance Tables Sup #2'!I104</f>
        <v>36.197350724121556</v>
      </c>
      <c r="J104" s="1">
        <f ca="1">'Total Distance Tables Sup #2'!J104</f>
        <v>35.986605982606548</v>
      </c>
      <c r="K104" s="1">
        <f ca="1">'Total Distance Tables Sup #2'!K104</f>
        <v>35.702391678119668</v>
      </c>
    </row>
    <row r="105" spans="1:11" x14ac:dyDescent="0.25">
      <c r="A105" t="str">
        <f ca="1">OFFSET(Nelson_Reference,7,2)</f>
        <v>Cyclist</v>
      </c>
      <c r="B105" s="4">
        <f ca="1">'Total Distance Tables Sup #2'!B105</f>
        <v>10.809874027999999</v>
      </c>
      <c r="C105" s="4">
        <f ca="1">'Total Distance Tables Sup #2'!C105</f>
        <v>11.536333106490373</v>
      </c>
      <c r="D105" s="4">
        <f ca="1">'Total Distance Tables Sup #2'!D105</f>
        <v>16.544255480557286</v>
      </c>
      <c r="E105" s="4">
        <f ca="1">'Total Distance Tables Sup #2'!E105</f>
        <v>21.354687724506618</v>
      </c>
      <c r="F105" s="4">
        <f ca="1">'Total Distance Tables Sup #2'!F105</f>
        <v>26.477855365845297</v>
      </c>
      <c r="G105" s="4">
        <f ca="1">'Total Distance Tables Sup #2'!G105</f>
        <v>32.136688018022276</v>
      </c>
      <c r="H105" s="4">
        <f ca="1">'Total Distance Tables Sup #2'!H105</f>
        <v>37.973395371467724</v>
      </c>
      <c r="I105" s="1">
        <f ca="1">'Total Distance Tables Sup #2'!I105</f>
        <v>38.048467432953323</v>
      </c>
      <c r="J105" s="1">
        <f ca="1">'Total Distance Tables Sup #2'!J105</f>
        <v>38.006394494021883</v>
      </c>
      <c r="K105" s="1">
        <f ca="1">'Total Distance Tables Sup #2'!K105</f>
        <v>37.886785078952556</v>
      </c>
    </row>
    <row r="106" spans="1:11" x14ac:dyDescent="0.25">
      <c r="A106" t="str">
        <f ca="1">OFFSET(Nelson_Reference,14,2)</f>
        <v>Light Vehicle Driver</v>
      </c>
      <c r="B106" s="4">
        <f ca="1">'Total Distance Tables Sup #2'!B106</f>
        <v>1012.1329009999999</v>
      </c>
      <c r="C106" s="4">
        <f ca="1">'Total Distance Tables Sup #2'!C106*(1-'Other Assumptions'!G15)</f>
        <v>1080.1714542209641</v>
      </c>
      <c r="D106" s="4">
        <f ca="1">'Total Distance Tables Sup #2'!D106*(1-'Other Assumptions'!H15)</f>
        <v>1113.4610999997224</v>
      </c>
      <c r="E106" s="4">
        <f ca="1">'Total Distance Tables Sup #2'!E106*(1-'Other Assumptions'!I15)</f>
        <v>1029.2048569040264</v>
      </c>
      <c r="F106" s="4">
        <f ca="1">'Total Distance Tables Sup #2'!F106*(1-'Other Assumptions'!J15)</f>
        <v>932.9503933773675</v>
      </c>
      <c r="G106" s="4">
        <f ca="1">'Total Distance Tables Sup #2'!G106*(1-'Other Assumptions'!K15)</f>
        <v>822.05729487083681</v>
      </c>
      <c r="H106" s="4">
        <f ca="1">'Total Distance Tables Sup #2'!H106*(1-'Other Assumptions'!L15)</f>
        <v>704.67174753098811</v>
      </c>
      <c r="I106" s="1">
        <f ca="1">'Total Distance Tables Sup #2'!I106*(1-'Other Assumptions'!M15)</f>
        <v>586.76590996990672</v>
      </c>
      <c r="J106" s="1">
        <f ca="1">'Total Distance Tables Sup #2'!J106*(1-'Other Assumptions'!N15)</f>
        <v>467.5771364069796</v>
      </c>
      <c r="K106" s="1">
        <f ca="1">'Total Distance Tables Sup #2'!K106*(1-'Other Assumptions'!O15)</f>
        <v>464.77307976373152</v>
      </c>
    </row>
    <row r="107" spans="1:11" x14ac:dyDescent="0.25">
      <c r="A107" t="str">
        <f ca="1">OFFSET(Nelson_Reference,21,2)</f>
        <v>Light Vehicle Passenger</v>
      </c>
      <c r="B107" s="4">
        <f ca="1">'Total Distance Tables Sup #2'!B107</f>
        <v>528.66856442999995</v>
      </c>
      <c r="C107" s="4">
        <f ca="1">'Total Distance Tables Sup #2'!C107*(1-'Other Assumptions'!G15)</f>
        <v>542.79681647234668</v>
      </c>
      <c r="D107" s="4">
        <f ca="1">'Total Distance Tables Sup #2'!D107*(1-'Other Assumptions'!H15)</f>
        <v>546.81193308196373</v>
      </c>
      <c r="E107" s="4">
        <f ca="1">'Total Distance Tables Sup #2'!E107*(1-'Other Assumptions'!I15)</f>
        <v>494.39140736995353</v>
      </c>
      <c r="F107" s="4">
        <f ca="1">'Total Distance Tables Sup #2'!F107*(1-'Other Assumptions'!J15)</f>
        <v>437.64318222362976</v>
      </c>
      <c r="G107" s="4">
        <f ca="1">'Total Distance Tables Sup #2'!G107*(1-'Other Assumptions'!K15)</f>
        <v>378.20776962985462</v>
      </c>
      <c r="H107" s="4">
        <f ca="1">'Total Distance Tables Sup #2'!H107*(1-'Other Assumptions'!L15)</f>
        <v>317.89058318012565</v>
      </c>
      <c r="I107" s="1">
        <f ca="1">'Total Distance Tables Sup #2'!I107*(1-'Other Assumptions'!M15)</f>
        <v>264.99380075009793</v>
      </c>
      <c r="J107" s="1">
        <f ca="1">'Total Distance Tables Sup #2'!J107*(1-'Other Assumptions'!N15)</f>
        <v>211.40028717460223</v>
      </c>
      <c r="K107" s="1">
        <f ca="1">'Total Distance Tables Sup #2'!K107*(1-'Other Assumptions'!O15)</f>
        <v>210.36617292331346</v>
      </c>
    </row>
    <row r="108" spans="1:11" x14ac:dyDescent="0.25">
      <c r="A108" t="str">
        <f ca="1">OFFSET(Nelson_Reference,28,2)</f>
        <v>Taxi/Vehicle Share</v>
      </c>
      <c r="B108" s="4">
        <f ca="1">'Total Distance Tables Sup #2'!B108</f>
        <v>2.5483198348</v>
      </c>
      <c r="C108" s="4">
        <f ca="1">'Total Distance Tables Sup #2'!C108+((C106+C107)*'Other Assumptions'!G15/(1-'Other Assumptions'!G15))</f>
        <v>2.8344338044395498</v>
      </c>
      <c r="D108" s="4">
        <f ca="1">'Total Distance Tables Sup #2'!D108+((D106+D107)*'Other Assumptions'!H15/(1-'Other Assumptions'!H15))</f>
        <v>3.0757131512907283</v>
      </c>
      <c r="E108" s="4">
        <f ca="1">'Total Distance Tables Sup #2'!E108+((E106+E107)*'Other Assumptions'!I15/(1-'Other Assumptions'!I15))</f>
        <v>172.58171811684102</v>
      </c>
      <c r="F108" s="4">
        <f ca="1">'Total Distance Tables Sup #2'!F108+((F106+F107)*'Other Assumptions'!J15/(1-'Other Assumptions'!J15))</f>
        <v>346.11369877375051</v>
      </c>
      <c r="G108" s="4">
        <f ca="1">'Total Distance Tables Sup #2'!G108+((G106+G107)*'Other Assumptions'!K15/(1-'Other Assumptions'!K15))</f>
        <v>517.97227171363841</v>
      </c>
      <c r="H108" s="4">
        <f ca="1">'Total Distance Tables Sup #2'!H108+((H106+H107)*'Other Assumptions'!L15/(1-'Other Assumptions'!L15))</f>
        <v>685.36529642439837</v>
      </c>
      <c r="I108" s="1">
        <f ca="1">'Total Distance Tables Sup #2'!I108+((I106+I107)*'Other Assumptions'!M15/(1-'Other Assumptions'!M15))</f>
        <v>855.40370819999134</v>
      </c>
      <c r="J108" s="1">
        <f ca="1">'Total Distance Tables Sup #2'!J108+((J106+J107)*'Other Assumptions'!N15/(1-'Other Assumptions'!N15))</f>
        <v>1022.0856922242347</v>
      </c>
      <c r="K108" s="1">
        <f ca="1">'Total Distance Tables Sup #2'!K108+((K106+K107)*'Other Assumptions'!O15/(1-'Other Assumptions'!O15))</f>
        <v>1016.2965852208866</v>
      </c>
    </row>
    <row r="109" spans="1:11" x14ac:dyDescent="0.25">
      <c r="A109" t="str">
        <f ca="1">OFFSET(Nelson_Reference,35,2)</f>
        <v>Motorcyclist</v>
      </c>
      <c r="B109" s="4">
        <f ca="1">'Total Distance Tables Sup #2'!B109</f>
        <v>34.127286998000002</v>
      </c>
      <c r="C109" s="4">
        <f ca="1">'Total Distance Tables Sup #2'!C109</f>
        <v>36.428169556358469</v>
      </c>
      <c r="D109" s="4">
        <f ca="1">'Total Distance Tables Sup #2'!D109</f>
        <v>37.563986798648457</v>
      </c>
      <c r="E109" s="4">
        <f ca="1">'Total Distance Tables Sup #2'!E109</f>
        <v>37.963784309730862</v>
      </c>
      <c r="F109" s="4">
        <f ca="1">'Total Distance Tables Sup #2'!F109</f>
        <v>37.906468969767076</v>
      </c>
      <c r="G109" s="4">
        <f ca="1">'Total Distance Tables Sup #2'!G109</f>
        <v>37.116862867509994</v>
      </c>
      <c r="H109" s="4">
        <f ca="1">'Total Distance Tables Sup #2'!H109</f>
        <v>36.072525260454434</v>
      </c>
      <c r="I109" s="1">
        <f ca="1">'Total Distance Tables Sup #2'!I109</f>
        <v>36.267383642319032</v>
      </c>
      <c r="J109" s="1">
        <f ca="1">'Total Distance Tables Sup #2'!J109</f>
        <v>36.350340125418377</v>
      </c>
      <c r="K109" s="1">
        <f ca="1">'Total Distance Tables Sup #2'!K109</f>
        <v>36.358193282304612</v>
      </c>
    </row>
    <row r="110" spans="1:11" x14ac:dyDescent="0.25">
      <c r="A110" t="str">
        <f ca="1">OFFSET(Nelson_Reference,42,2)</f>
        <v>Local Train</v>
      </c>
      <c r="B110" s="4">
        <f ca="1">'Total Distance Tables Sup #2'!B110</f>
        <v>0</v>
      </c>
      <c r="C110" s="4">
        <f ca="1">'Total Distance Tables Sup #2'!C110</f>
        <v>0</v>
      </c>
      <c r="D110" s="4">
        <f ca="1">'Total Distance Tables Sup #2'!D110</f>
        <v>0</v>
      </c>
      <c r="E110" s="4">
        <f ca="1">'Total Distance Tables Sup #2'!E110</f>
        <v>0</v>
      </c>
      <c r="F110" s="4">
        <f ca="1">'Total Distance Tables Sup #2'!F110</f>
        <v>0</v>
      </c>
      <c r="G110" s="4">
        <f ca="1">'Total Distance Tables Sup #2'!G110</f>
        <v>0</v>
      </c>
      <c r="H110" s="4">
        <f ca="1">'Total Distance Tables Sup #2'!H110</f>
        <v>0</v>
      </c>
      <c r="I110" s="1">
        <f ca="1">'Total Distance Tables Sup #2'!I110</f>
        <v>0</v>
      </c>
      <c r="J110" s="1">
        <f ca="1">'Total Distance Tables Sup #2'!J110</f>
        <v>0</v>
      </c>
      <c r="K110" s="1">
        <f ca="1">'Total Distance Tables Sup #2'!K110</f>
        <v>0</v>
      </c>
    </row>
    <row r="111" spans="1:11" x14ac:dyDescent="0.25">
      <c r="A111" t="str">
        <f ca="1">OFFSET(Nelson_Reference,49,2)</f>
        <v>Local Bus</v>
      </c>
      <c r="B111" s="4">
        <f ca="1">'Total Distance Tables Sup #2'!B111</f>
        <v>19.807462209000001</v>
      </c>
      <c r="C111" s="4">
        <f ca="1">'Total Distance Tables Sup #2'!C111</f>
        <v>18.837989055502657</v>
      </c>
      <c r="D111" s="4">
        <f ca="1">'Total Distance Tables Sup #2'!D111</f>
        <v>18.14959618946602</v>
      </c>
      <c r="E111" s="4">
        <f ca="1">'Total Distance Tables Sup #2'!E111</f>
        <v>17.657317616484399</v>
      </c>
      <c r="F111" s="4">
        <f ca="1">'Total Distance Tables Sup #2'!F111</f>
        <v>16.875692425078302</v>
      </c>
      <c r="G111" s="4">
        <f ca="1">'Total Distance Tables Sup #2'!G111</f>
        <v>16.293465078283514</v>
      </c>
      <c r="H111" s="4">
        <f ca="1">'Total Distance Tables Sup #2'!H111</f>
        <v>15.642486406338538</v>
      </c>
      <c r="I111" s="1">
        <f ca="1">'Total Distance Tables Sup #2'!I111</f>
        <v>15.649272157696236</v>
      </c>
      <c r="J111" s="1">
        <f ca="1">'Total Distance Tables Sup #2'!J111</f>
        <v>15.606939934276902</v>
      </c>
      <c r="K111" s="1">
        <f ca="1">'Total Distance Tables Sup #2'!K111</f>
        <v>15.531979779098545</v>
      </c>
    </row>
    <row r="112" spans="1:11" x14ac:dyDescent="0.25">
      <c r="A112" t="str">
        <f ca="1">OFFSET(Wellington_Reference,56,2)</f>
        <v>Local Ferry</v>
      </c>
      <c r="B112" s="4">
        <f>'Total Distance Tables Sup #2'!B112</f>
        <v>0</v>
      </c>
      <c r="C112" s="4">
        <f ca="1">'Total Distance Tables Sup #2'!C112</f>
        <v>0</v>
      </c>
      <c r="D112" s="4">
        <f ca="1">'Total Distance Tables Sup #2'!D112</f>
        <v>0</v>
      </c>
      <c r="E112" s="4">
        <f ca="1">'Total Distance Tables Sup #2'!E112</f>
        <v>0</v>
      </c>
      <c r="F112" s="4">
        <f ca="1">'Total Distance Tables Sup #2'!F112</f>
        <v>0</v>
      </c>
      <c r="G112" s="4">
        <f ca="1">'Total Distance Tables Sup #2'!G112</f>
        <v>0</v>
      </c>
      <c r="H112" s="4">
        <f ca="1">'Total Distance Tables Sup #2'!H112</f>
        <v>0</v>
      </c>
      <c r="I112" s="1">
        <f ca="1">'Total Distance Tables Sup #2'!I112</f>
        <v>0</v>
      </c>
      <c r="J112" s="1">
        <f ca="1">'Total Distance Tables Sup #2'!J112</f>
        <v>0</v>
      </c>
      <c r="K112" s="1">
        <f ca="1">'Total Distance Tables Sup #2'!K112</f>
        <v>0</v>
      </c>
    </row>
    <row r="113" spans="1:11" x14ac:dyDescent="0.25">
      <c r="A113" t="str">
        <f ca="1">OFFSET(Nelson_Reference,56,2)</f>
        <v>Other Household Travel</v>
      </c>
      <c r="B113" s="4">
        <f ca="1">'Total Distance Tables Sup #2'!B113</f>
        <v>0</v>
      </c>
      <c r="C113" s="4">
        <f ca="1">'Total Distance Tables Sup #2'!C113</f>
        <v>0</v>
      </c>
      <c r="D113" s="4">
        <f ca="1">'Total Distance Tables Sup #2'!D113</f>
        <v>0</v>
      </c>
      <c r="E113" s="4">
        <f ca="1">'Total Distance Tables Sup #2'!E113</f>
        <v>0</v>
      </c>
      <c r="F113" s="4">
        <f ca="1">'Total Distance Tables Sup #2'!F113</f>
        <v>0</v>
      </c>
      <c r="G113" s="4">
        <f ca="1">'Total Distance Tables Sup #2'!G113</f>
        <v>0</v>
      </c>
      <c r="H113" s="4">
        <f ca="1">'Total Distance Tables Sup #2'!H113</f>
        <v>0</v>
      </c>
      <c r="I113" s="1">
        <f ca="1">'Total Distance Tables Sup #2'!I113</f>
        <v>0</v>
      </c>
      <c r="J113" s="1">
        <f ca="1">'Total Distance Tables Sup #2'!J113</f>
        <v>0</v>
      </c>
      <c r="K113" s="1">
        <f ca="1">'Total Distance Tables Sup #2'!K113</f>
        <v>0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'Total Distance Tables Sup #2'!B115</f>
        <v>4.6474841125999999</v>
      </c>
      <c r="C115" s="4">
        <f ca="1">'Total Distance Tables Sup #2'!C115</f>
        <v>4.5009576972720993</v>
      </c>
      <c r="D115" s="4">
        <f ca="1">'Total Distance Tables Sup #2'!D115</f>
        <v>4.6753868631071436</v>
      </c>
      <c r="E115" s="4">
        <f ca="1">'Total Distance Tables Sup #2'!E115</f>
        <v>4.781415465014403</v>
      </c>
      <c r="F115" s="4">
        <f ca="1">'Total Distance Tables Sup #2'!F115</f>
        <v>4.8250989336574683</v>
      </c>
      <c r="G115" s="4">
        <f ca="1">'Total Distance Tables Sup #2'!G115</f>
        <v>4.8419115432007231</v>
      </c>
      <c r="H115" s="4">
        <f ca="1">'Total Distance Tables Sup #2'!H115</f>
        <v>4.8333672882371754</v>
      </c>
      <c r="I115" s="1">
        <f ca="1">'Total Distance Tables Sup #2'!I115</f>
        <v>4.7034715048984648</v>
      </c>
      <c r="J115" s="1">
        <f ca="1">'Total Distance Tables Sup #2'!J115</f>
        <v>4.5625614528838803</v>
      </c>
      <c r="K115" s="1">
        <f ca="1">'Total Distance Tables Sup #2'!K115</f>
        <v>4.416423674628227</v>
      </c>
    </row>
    <row r="116" spans="1:11" x14ac:dyDescent="0.25">
      <c r="A116" t="str">
        <f ca="1">OFFSET(West_Coast_Reference,7,2)</f>
        <v>Cyclist</v>
      </c>
      <c r="B116" s="4">
        <f ca="1">'Total Distance Tables Sup #2'!B116</f>
        <v>1.9571055828999999</v>
      </c>
      <c r="C116" s="4">
        <f ca="1">'Total Distance Tables Sup #2'!C116</f>
        <v>1.9617912109578266</v>
      </c>
      <c r="D116" s="4">
        <f ca="1">'Total Distance Tables Sup #2'!D116</f>
        <v>2.7309808360797492</v>
      </c>
      <c r="E116" s="4">
        <f ca="1">'Total Distance Tables Sup #2'!E116</f>
        <v>3.427483512111039</v>
      </c>
      <c r="F116" s="4">
        <f ca="1">'Total Distance Tables Sup #2'!F116</f>
        <v>4.1339426833779891</v>
      </c>
      <c r="G116" s="4">
        <f ca="1">'Total Distance Tables Sup #2'!G116</f>
        <v>4.8832488542298824</v>
      </c>
      <c r="H116" s="4">
        <f ca="1">'Total Distance Tables Sup #2'!H116</f>
        <v>5.6305946185850528</v>
      </c>
      <c r="I116" s="1">
        <f ca="1">'Total Distance Tables Sup #2'!I116</f>
        <v>5.5050162879281324</v>
      </c>
      <c r="J116" s="1">
        <f ca="1">'Total Distance Tables Sup #2'!J116</f>
        <v>5.3654261113528499</v>
      </c>
      <c r="K116" s="1">
        <f ca="1">'Total Distance Tables Sup #2'!K116</f>
        <v>5.2184422521530713</v>
      </c>
    </row>
    <row r="117" spans="1:11" x14ac:dyDescent="0.25">
      <c r="A117" t="str">
        <f ca="1">OFFSET(West_Coast_Reference,14,2)</f>
        <v>Light Vehicle Driver</v>
      </c>
      <c r="B117" s="4">
        <f ca="1">'Total Distance Tables Sup #2'!B117</f>
        <v>226.22434741999999</v>
      </c>
      <c r="C117" s="4">
        <f ca="1">'Total Distance Tables Sup #2'!C117*(1-'Other Assumptions'!G16)</f>
        <v>226.77014177232178</v>
      </c>
      <c r="D117" s="4">
        <f ca="1">'Total Distance Tables Sup #2'!D117*(1-'Other Assumptions'!H16)</f>
        <v>226.98107095314128</v>
      </c>
      <c r="E117" s="4">
        <f ca="1">'Total Distance Tables Sup #2'!E117*(1-'Other Assumptions'!I16)</f>
        <v>204.05875618825911</v>
      </c>
      <c r="F117" s="4">
        <f ca="1">'Total Distance Tables Sup #2'!F117*(1-'Other Assumptions'!J16)</f>
        <v>179.98522367601322</v>
      </c>
      <c r="G117" s="4">
        <f ca="1">'Total Distance Tables Sup #2'!G117*(1-'Other Assumptions'!K16)</f>
        <v>154.39672889248283</v>
      </c>
      <c r="H117" s="4">
        <f ca="1">'Total Distance Tables Sup #2'!H117*(1-'Other Assumptions'!L16)</f>
        <v>129.18885116457091</v>
      </c>
      <c r="I117" s="1">
        <f ca="1">'Total Distance Tables Sup #2'!I117*(1-'Other Assumptions'!M16)</f>
        <v>104.96644334019911</v>
      </c>
      <c r="J117" s="1">
        <f ca="1">'Total Distance Tables Sup #2'!J117*(1-'Other Assumptions'!N16)</f>
        <v>81.614219396321459</v>
      </c>
      <c r="K117" s="1">
        <f ca="1">'Total Distance Tables Sup #2'!K117*(1-'Other Assumptions'!O16)</f>
        <v>79.151652995761893</v>
      </c>
    </row>
    <row r="118" spans="1:11" x14ac:dyDescent="0.25">
      <c r="A118" t="str">
        <f ca="1">OFFSET(West_Coast_Reference,21,2)</f>
        <v>Light Vehicle Passenger</v>
      </c>
      <c r="B118" s="4">
        <f ca="1">'Total Distance Tables Sup #2'!B118</f>
        <v>160.37072223999999</v>
      </c>
      <c r="C118" s="4">
        <f ca="1">'Total Distance Tables Sup #2'!C118*(1-'Other Assumptions'!G16)</f>
        <v>154.65724291303476</v>
      </c>
      <c r="D118" s="4">
        <f ca="1">'Total Distance Tables Sup #2'!D118*(1-'Other Assumptions'!H16)</f>
        <v>151.42581061206798</v>
      </c>
      <c r="E118" s="4">
        <f ca="1">'Total Distance Tables Sup #2'!E118*(1-'Other Assumptions'!I16)</f>
        <v>133.28519706051</v>
      </c>
      <c r="F118" s="4">
        <f ca="1">'Total Distance Tables Sup #2'!F118*(1-'Other Assumptions'!J16)</f>
        <v>114.91738391210124</v>
      </c>
      <c r="G118" s="4">
        <f ca="1">'Total Distance Tables Sup #2'!G118*(1-'Other Assumptions'!K16)</f>
        <v>96.788312816973658</v>
      </c>
      <c r="H118" s="4">
        <f ca="1">'Total Distance Tables Sup #2'!H118*(1-'Other Assumptions'!L16)</f>
        <v>79.50215351674602</v>
      </c>
      <c r="I118" s="1">
        <f ca="1">'Total Distance Tables Sup #2'!I118*(1-'Other Assumptions'!M16)</f>
        <v>64.667280571147415</v>
      </c>
      <c r="J118" s="1">
        <f ca="1">'Total Distance Tables Sup #2'!J118*(1-'Other Assumptions'!N16)</f>
        <v>50.336350485285095</v>
      </c>
      <c r="K118" s="1">
        <f ca="1">'Total Distance Tables Sup #2'!K118*(1-'Other Assumptions'!O16)</f>
        <v>48.871865685422577</v>
      </c>
    </row>
    <row r="119" spans="1:11" x14ac:dyDescent="0.25">
      <c r="A119" t="str">
        <f ca="1">OFFSET(West_Coast_Reference,28,2)</f>
        <v>Taxi/Vehicle Share</v>
      </c>
      <c r="B119" s="4">
        <f ca="1">'Total Distance Tables Sup #2'!B119</f>
        <v>1.6916956777000001</v>
      </c>
      <c r="C119" s="4">
        <f ca="1">'Total Distance Tables Sup #2'!C119+((C117+C118)*'Other Assumptions'!G16/(1-'Other Assumptions'!G16))</f>
        <v>1.7673639739511884</v>
      </c>
      <c r="D119" s="4">
        <f ca="1">'Total Distance Tables Sup #2'!D119+((D117+D118)*'Other Assumptions'!H16/(1-'Other Assumptions'!H16))</f>
        <v>1.8616238599168407</v>
      </c>
      <c r="E119" s="4">
        <f ca="1">'Total Distance Tables Sup #2'!E119+((E117+E118)*'Other Assumptions'!I16/(1-'Other Assumptions'!I16))</f>
        <v>39.42078200013686</v>
      </c>
      <c r="F119" s="4">
        <f ca="1">'Total Distance Tables Sup #2'!F119+((F117+F118)*'Other Assumptions'!J16/(1-'Other Assumptions'!J16))</f>
        <v>75.709451399406319</v>
      </c>
      <c r="G119" s="4">
        <f ca="1">'Total Distance Tables Sup #2'!G119+((G117+G118)*'Other Assumptions'!K16/(1-'Other Assumptions'!K16))</f>
        <v>109.64145306497447</v>
      </c>
      <c r="H119" s="4">
        <f ca="1">'Total Distance Tables Sup #2'!H119+((H117+H118)*'Other Assumptions'!L16/(1-'Other Assumptions'!L16))</f>
        <v>141.1156436853166</v>
      </c>
      <c r="I119" s="1">
        <f ca="1">'Total Distance Tables Sup #2'!I119+((I117+I118)*'Other Assumptions'!M16/(1-'Other Assumptions'!M16))</f>
        <v>171.56691235419055</v>
      </c>
      <c r="J119" s="1">
        <f ca="1">'Total Distance Tables Sup #2'!J119+((J117+J118)*'Other Assumptions'!N16/(1-'Other Assumptions'!N16))</f>
        <v>199.79945807329753</v>
      </c>
      <c r="K119" s="1">
        <f ca="1">'Total Distance Tables Sup #2'!K119+((K117+K118)*'Other Assumptions'!O16/(1-'Other Assumptions'!O16))</f>
        <v>193.84722164010051</v>
      </c>
    </row>
    <row r="120" spans="1:11" x14ac:dyDescent="0.25">
      <c r="A120" t="str">
        <f ca="1">OFFSET(West_Coast_Reference,35,2)</f>
        <v>Motorcyclist</v>
      </c>
      <c r="B120" s="4">
        <f ca="1">'Total Distance Tables Sup #2'!B120</f>
        <v>0.29466348679999999</v>
      </c>
      <c r="C120" s="4">
        <f ca="1">'Total Distance Tables Sup #2'!C120</f>
        <v>0.29542910737883793</v>
      </c>
      <c r="D120" s="4">
        <f ca="1">'Total Distance Tables Sup #2'!D120</f>
        <v>0.29571546674609761</v>
      </c>
      <c r="E120" s="4">
        <f ca="1">'Total Distance Tables Sup #2'!E120</f>
        <v>0.29059128313314408</v>
      </c>
      <c r="F120" s="4">
        <f ca="1">'Total Distance Tables Sup #2'!F120</f>
        <v>0.28224477617711052</v>
      </c>
      <c r="G120" s="4">
        <f ca="1">'Total Distance Tables Sup #2'!G120</f>
        <v>0.26897377517053767</v>
      </c>
      <c r="H120" s="4">
        <f ca="1">'Total Distance Tables Sup #2'!H120</f>
        <v>0.25508346755052907</v>
      </c>
      <c r="I120" s="1">
        <f ca="1">'Total Distance Tables Sup #2'!I120</f>
        <v>0.25024684010832166</v>
      </c>
      <c r="J120" s="1">
        <f ca="1">'Total Distance Tables Sup #2'!J120</f>
        <v>0.24472985983934761</v>
      </c>
      <c r="K120" s="1">
        <f ca="1">'Total Distance Tables Sup #2'!K120</f>
        <v>0.23882861362675065</v>
      </c>
    </row>
    <row r="121" spans="1:11" x14ac:dyDescent="0.25">
      <c r="A121" t="str">
        <f ca="1">OFFSET(Nelson_Reference,42,2)</f>
        <v>Local Train</v>
      </c>
      <c r="B121" s="4">
        <f ca="1">'Total Distance Tables Sup #2'!B121</f>
        <v>0</v>
      </c>
      <c r="C121" s="4">
        <f ca="1">'Total Distance Tables Sup #2'!C121</f>
        <v>0</v>
      </c>
      <c r="D121" s="4">
        <f ca="1">'Total Distance Tables Sup #2'!D121</f>
        <v>0</v>
      </c>
      <c r="E121" s="4">
        <f ca="1">'Total Distance Tables Sup #2'!E121</f>
        <v>0</v>
      </c>
      <c r="F121" s="4">
        <f ca="1">'Total Distance Tables Sup #2'!F121</f>
        <v>0</v>
      </c>
      <c r="G121" s="4">
        <f ca="1">'Total Distance Tables Sup #2'!G121</f>
        <v>0</v>
      </c>
      <c r="H121" s="4">
        <f ca="1">'Total Distance Tables Sup #2'!H121</f>
        <v>0</v>
      </c>
      <c r="I121" s="1">
        <f ca="1">'Total Distance Tables Sup #2'!I121</f>
        <v>0</v>
      </c>
      <c r="J121" s="1">
        <f ca="1">'Total Distance Tables Sup #2'!J121</f>
        <v>0</v>
      </c>
      <c r="K121" s="1">
        <f ca="1">'Total Distance Tables Sup #2'!K121</f>
        <v>0</v>
      </c>
    </row>
    <row r="122" spans="1:11" x14ac:dyDescent="0.25">
      <c r="A122" t="str">
        <f ca="1">OFFSET(West_Coast_Reference,42,2)</f>
        <v>Local Bus</v>
      </c>
      <c r="B122" s="4">
        <f ca="1">'Total Distance Tables Sup #2'!B122</f>
        <v>6.0600083682000001</v>
      </c>
      <c r="C122" s="4">
        <f ca="1">'Total Distance Tables Sup #2'!C122</f>
        <v>5.4134022880139714</v>
      </c>
      <c r="D122" s="4">
        <f ca="1">'Total Distance Tables Sup #2'!D122</f>
        <v>5.0627811743539324</v>
      </c>
      <c r="E122" s="4">
        <f ca="1">'Total Distance Tables Sup #2'!E122</f>
        <v>4.7891412188933344</v>
      </c>
      <c r="F122" s="4">
        <f ca="1">'Total Distance Tables Sup #2'!F122</f>
        <v>4.4523983358891455</v>
      </c>
      <c r="G122" s="4">
        <f ca="1">'Total Distance Tables Sup #2'!G122</f>
        <v>4.1838100547039554</v>
      </c>
      <c r="H122" s="4">
        <f ca="1">'Total Distance Tables Sup #2'!H122</f>
        <v>3.9195064284887482</v>
      </c>
      <c r="I122" s="1">
        <f ca="1">'Total Distance Tables Sup #2'!I122</f>
        <v>3.8261883796464176</v>
      </c>
      <c r="J122" s="1">
        <f ca="1">'Total Distance Tables Sup #2'!J122</f>
        <v>3.7231974675166897</v>
      </c>
      <c r="K122" s="1">
        <f ca="1">'Total Distance Tables Sup #2'!K122</f>
        <v>3.6151865205089768</v>
      </c>
    </row>
    <row r="123" spans="1:11" x14ac:dyDescent="0.25">
      <c r="A123" t="str">
        <f ca="1">OFFSET(Wellington_Reference,56,2)</f>
        <v>Local Ferry</v>
      </c>
      <c r="B123" s="4">
        <f>'Total Distance Tables Sup #2'!B123</f>
        <v>0</v>
      </c>
      <c r="C123" s="4">
        <f ca="1">'Total Distance Tables Sup #2'!C123</f>
        <v>0</v>
      </c>
      <c r="D123" s="4">
        <f ca="1">'Total Distance Tables Sup #2'!D123</f>
        <v>0</v>
      </c>
      <c r="E123" s="4">
        <f ca="1">'Total Distance Tables Sup #2'!E123</f>
        <v>0</v>
      </c>
      <c r="F123" s="4">
        <f ca="1">'Total Distance Tables Sup #2'!F123</f>
        <v>0</v>
      </c>
      <c r="G123" s="4">
        <f ca="1">'Total Distance Tables Sup #2'!G123</f>
        <v>0</v>
      </c>
      <c r="H123" s="4">
        <f ca="1">'Total Distance Tables Sup #2'!H123</f>
        <v>0</v>
      </c>
      <c r="I123" s="1">
        <f ca="1">'Total Distance Tables Sup #2'!I123</f>
        <v>0</v>
      </c>
      <c r="J123" s="1">
        <f ca="1">'Total Distance Tables Sup #2'!J123</f>
        <v>0</v>
      </c>
      <c r="K123" s="1">
        <f ca="1">'Total Distance Tables Sup #2'!K123</f>
        <v>0</v>
      </c>
    </row>
    <row r="124" spans="1:11" x14ac:dyDescent="0.25">
      <c r="A124" t="str">
        <f ca="1">OFFSET(West_Coast_Reference,49,2)</f>
        <v>Other Household Travel</v>
      </c>
      <c r="B124" s="4">
        <f ca="1">'Total Distance Tables Sup #2'!B124</f>
        <v>0</v>
      </c>
      <c r="C124" s="4">
        <f ca="1">'Total Distance Tables Sup #2'!C124</f>
        <v>0</v>
      </c>
      <c r="D124" s="4">
        <f ca="1">'Total Distance Tables Sup #2'!D124</f>
        <v>0</v>
      </c>
      <c r="E124" s="4">
        <f ca="1">'Total Distance Tables Sup #2'!E124</f>
        <v>0</v>
      </c>
      <c r="F124" s="4">
        <f ca="1">'Total Distance Tables Sup #2'!F124</f>
        <v>0</v>
      </c>
      <c r="G124" s="4">
        <f ca="1">'Total Distance Tables Sup #2'!G124</f>
        <v>0</v>
      </c>
      <c r="H124" s="4">
        <f ca="1">'Total Distance Tables Sup #2'!H124</f>
        <v>0</v>
      </c>
      <c r="I124" s="1">
        <f ca="1">'Total Distance Tables Sup #2'!I124</f>
        <v>0</v>
      </c>
      <c r="J124" s="1">
        <f ca="1">'Total Distance Tables Sup #2'!J124</f>
        <v>0</v>
      </c>
      <c r="K124" s="1">
        <f ca="1">'Total Distance Tables Sup #2'!K124</f>
        <v>0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'Total Distance Tables Sup #2'!B126</f>
        <v>113.37513976</v>
      </c>
      <c r="C126" s="4">
        <f ca="1">'Total Distance Tables Sup #2'!C126+'Total Distance Tables Sup #2'!C128*'Other Assumptions'!G88*'Other Assumptions'!G95+'Total Distance Tables Sup #2'!C129*'Other Assumptions'!G88*'Other Assumptions'!G95</f>
        <v>123.43309754480129</v>
      </c>
      <c r="D126" s="4">
        <f ca="1">'Total Distance Tables Sup #2'!D126+'Total Distance Tables Sup #2'!D128*'Other Assumptions'!H88*'Other Assumptions'!H95+'Total Distance Tables Sup #2'!D129*'Other Assumptions'!H88*'Other Assumptions'!H95</f>
        <v>136.65190027444265</v>
      </c>
      <c r="E126" s="4">
        <f ca="1">'Total Distance Tables Sup #2'!E126+'Total Distance Tables Sup #2'!E128*'Other Assumptions'!I88*'Other Assumptions'!I95+'Total Distance Tables Sup #2'!E129*'Other Assumptions'!I88*'Other Assumptions'!I95</f>
        <v>146.98862849594755</v>
      </c>
      <c r="F126" s="4">
        <f ca="1">'Total Distance Tables Sup #2'!F126+'Total Distance Tables Sup #2'!F128*'Other Assumptions'!J88*'Other Assumptions'!J95+'Total Distance Tables Sup #2'!F129*'Other Assumptions'!J88*'Other Assumptions'!J95</f>
        <v>156.11867532280803</v>
      </c>
      <c r="G126" s="4">
        <f ca="1">'Total Distance Tables Sup #2'!G126+'Total Distance Tables Sup #2'!G128*'Other Assumptions'!K88*'Other Assumptions'!K95+'Total Distance Tables Sup #2'!G129*'Other Assumptions'!K88*'Other Assumptions'!K95</f>
        <v>164.99755373268761</v>
      </c>
      <c r="H126" s="4">
        <f ca="1">'Total Distance Tables Sup #2'!H126+'Total Distance Tables Sup #2'!H128*'Other Assumptions'!L88*'Other Assumptions'!L95+'Total Distance Tables Sup #2'!H129*'Other Assumptions'!L88*'Other Assumptions'!L95</f>
        <v>173.33097622990687</v>
      </c>
      <c r="I126" s="1">
        <f ca="1">'Total Distance Tables Sup #2'!I126+'Total Distance Tables Sup #2'!I128*'Other Assumptions'!M88*'Other Assumptions'!M95+'Total Distance Tables Sup #2'!I129*'Other Assumptions'!M88*'Other Assumptions'!M95</f>
        <v>177.50501684244193</v>
      </c>
      <c r="J126" s="1">
        <f ca="1">'Total Distance Tables Sup #2'!J126+'Total Distance Tables Sup #2'!J128*'Other Assumptions'!N88*'Other Assumptions'!N95+'Total Distance Tables Sup #2'!J129*'Other Assumptions'!N88*'Other Assumptions'!N95</f>
        <v>181.20349586056571</v>
      </c>
      <c r="K126" s="1">
        <f ca="1">'Total Distance Tables Sup #2'!K126+'Total Distance Tables Sup #2'!K128*'Other Assumptions'!O88*'Other Assumptions'!O95+'Total Distance Tables Sup #2'!K129*'Other Assumptions'!O88*'Other Assumptions'!O95</f>
        <v>184.58410689216336</v>
      </c>
    </row>
    <row r="127" spans="1:11" x14ac:dyDescent="0.25">
      <c r="A127" t="str">
        <f ca="1">OFFSET(Canterbury_Reference,7,2)</f>
        <v>Cyclist</v>
      </c>
      <c r="B127" s="4">
        <f ca="1">'Total Distance Tables Sup #2'!B127</f>
        <v>97.023488555</v>
      </c>
      <c r="C127" s="4">
        <f ca="1">'Total Distance Tables Sup #2'!C127+'Total Distance Tables Sup #2'!C128*'Other Assumptions'!G88*'Other Assumptions'!G94+'Total Distance Tables Sup #2'!C129*'Other Assumptions'!G88*'Other Assumptions'!G94</f>
        <v>109.33071531525928</v>
      </c>
      <c r="D127" s="4">
        <f ca="1">'Total Distance Tables Sup #2'!D127+'Total Distance Tables Sup #2'!D128*'Other Assumptions'!H88*'Other Assumptions'!H94+'Total Distance Tables Sup #2'!D129*'Other Assumptions'!H88*'Other Assumptions'!H94</f>
        <v>162.21069469911058</v>
      </c>
      <c r="E127" s="4">
        <f ca="1">'Total Distance Tables Sup #2'!E127+'Total Distance Tables Sup #2'!E128*'Other Assumptions'!I88*'Other Assumptions'!I94+'Total Distance Tables Sup #2'!E129*'Other Assumptions'!I88*'Other Assumptions'!I94</f>
        <v>214.12399548464276</v>
      </c>
      <c r="F127" s="4">
        <f ca="1">'Total Distance Tables Sup #2'!F127+'Total Distance Tables Sup #2'!F128*'Other Assumptions'!J88*'Other Assumptions'!J94+'Total Distance Tables Sup #2'!F129*'Other Assumptions'!J88*'Other Assumptions'!J94</f>
        <v>271.81648650708621</v>
      </c>
      <c r="G127" s="4">
        <f ca="1">'Total Distance Tables Sup #2'!G127+'Total Distance Tables Sup #2'!G128*'Other Assumptions'!K88*'Other Assumptions'!K94+'Total Distance Tables Sup #2'!G129*'Other Assumptions'!K88*'Other Assumptions'!K94</f>
        <v>338.16777472062762</v>
      </c>
      <c r="H127" s="4">
        <f ca="1">'Total Distance Tables Sup #2'!H127+'Total Distance Tables Sup #2'!H128*'Other Assumptions'!L88*'Other Assumptions'!L94+'Total Distance Tables Sup #2'!H129*'Other Assumptions'!L88*'Other Assumptions'!L94</f>
        <v>410.33952746321449</v>
      </c>
      <c r="I127" s="1">
        <f ca="1">'Total Distance Tables Sup #2'!I127+'Total Distance Tables Sup #2'!I128*'Other Assumptions'!M88*'Other Assumptions'!M94+'Total Distance Tables Sup #2'!I129*'Other Assumptions'!M88*'Other Assumptions'!M94</f>
        <v>422.19533624991402</v>
      </c>
      <c r="J127" s="1">
        <f ca="1">'Total Distance Tables Sup #2'!J127+'Total Distance Tables Sup #2'!J128*'Other Assumptions'!N88*'Other Assumptions'!N94+'Total Distance Tables Sup #2'!J129*'Other Assumptions'!N88*'Other Assumptions'!N94</f>
        <v>433.03676732062883</v>
      </c>
      <c r="K127" s="1">
        <f ca="1">'Total Distance Tables Sup #2'!K127+'Total Distance Tables Sup #2'!K128*'Other Assumptions'!O88*'Other Assumptions'!O94+'Total Distance Tables Sup #2'!K129*'Other Assumptions'!O88*'Other Assumptions'!O94</f>
        <v>443.22797698646792</v>
      </c>
    </row>
    <row r="128" spans="1:11" x14ac:dyDescent="0.25">
      <c r="A128" t="str">
        <f ca="1">OFFSET(Canterbury_Reference,14,2)</f>
        <v>Light Vehicle Driver</v>
      </c>
      <c r="B128" s="4">
        <f ca="1">'Total Distance Tables Sup #2'!B128</f>
        <v>3777.041205</v>
      </c>
      <c r="C128" s="4">
        <f ca="1">'Total Distance Tables Sup #2'!C128*(1-'Other Assumptions'!G17)*(1-'Other Assumptions'!G88)</f>
        <v>4256.2293784963022</v>
      </c>
      <c r="D128" s="4">
        <f ca="1">'Total Distance Tables Sup #2'!D128*(1-'Other Assumptions'!H17)*(1-'Other Assumptions'!H88)</f>
        <v>4532.1691975701897</v>
      </c>
      <c r="E128" s="4">
        <f ca="1">'Total Distance Tables Sup #2'!E128*(1-'Other Assumptions'!I17)*(1-'Other Assumptions'!I88)</f>
        <v>4278.0173090536209</v>
      </c>
      <c r="F128" s="4">
        <f ca="1">'Total Distance Tables Sup #2'!F128*(1-'Other Assumptions'!J17)*(1-'Other Assumptions'!J88)</f>
        <v>3964.4695007804899</v>
      </c>
      <c r="G128" s="4">
        <f ca="1">'Total Distance Tables Sup #2'!G128*(1-'Other Assumptions'!K17)*(1-'Other Assumptions'!K88)</f>
        <v>3574.9843636524029</v>
      </c>
      <c r="H128" s="4">
        <f ca="1">'Total Distance Tables Sup #2'!H128*(1-'Other Assumptions'!L17)*(1-'Other Assumptions'!L88)</f>
        <v>3141.6557220397367</v>
      </c>
      <c r="I128" s="1">
        <f ca="1">'Total Distance Tables Sup #2'!I128*(1-'Other Assumptions'!M17)*(1-'Other Assumptions'!M88)</f>
        <v>2686.2095122511705</v>
      </c>
      <c r="J128" s="1">
        <f ca="1">'Total Distance Tables Sup #2'!J128*(1-'Other Assumptions'!N17)*(1-'Other Assumptions'!N88)</f>
        <v>2197.9147790661164</v>
      </c>
      <c r="K128" s="1">
        <f ca="1">'Total Distance Tables Sup #2'!K128*(1-'Other Assumptions'!O17)*(1-'Other Assumptions'!O88)</f>
        <v>2243.1607501567846</v>
      </c>
    </row>
    <row r="129" spans="1:11" x14ac:dyDescent="0.25">
      <c r="A129" t="str">
        <f ca="1">OFFSET(Canterbury_Reference,21,2)</f>
        <v>Light Vehicle Passenger</v>
      </c>
      <c r="B129" s="4">
        <f ca="1">'Total Distance Tables Sup #2'!B129</f>
        <v>2033.7115475000001</v>
      </c>
      <c r="C129" s="4">
        <f ca="1">'Total Distance Tables Sup #2'!C129*(1-'Other Assumptions'!G17)*(1-'Other Assumptions'!G88+'Other Assumptions'!G88*'Other Assumptions'!G91)+'Total Distance Tables Sup #2'!C128*(1-'Other Assumptions'!G17)*'Other Assumptions'!G88*'Other Assumptions'!G91</f>
        <v>2204.7599341334767</v>
      </c>
      <c r="D129" s="4">
        <f ca="1">'Total Distance Tables Sup #2'!D129*(1-'Other Assumptions'!H17)*(1-'Other Assumptions'!H88+'Other Assumptions'!H88*'Other Assumptions'!H91)+'Total Distance Tables Sup #2'!D128*(1-'Other Assumptions'!H17)*'Other Assumptions'!H88*'Other Assumptions'!H91</f>
        <v>2291.1614655603212</v>
      </c>
      <c r="E129" s="4">
        <f ca="1">'Total Distance Tables Sup #2'!E129*(1-'Other Assumptions'!I17)*(1-'Other Assumptions'!I88+'Other Assumptions'!I88*'Other Assumptions'!I91)+'Total Distance Tables Sup #2'!E128*(1-'Other Assumptions'!I17)*'Other Assumptions'!I88*'Other Assumptions'!I91</f>
        <v>2112.3336221053523</v>
      </c>
      <c r="F129" s="4">
        <f ca="1">'Total Distance Tables Sup #2'!F129*(1-'Other Assumptions'!J17)*(1-'Other Assumptions'!J88+'Other Assumptions'!J88*'Other Assumptions'!J91)+'Total Distance Tables Sup #2'!F128*(1-'Other Assumptions'!J17)*'Other Assumptions'!J88*'Other Assumptions'!J91</f>
        <v>1908.4979706023178</v>
      </c>
      <c r="G129" s="4">
        <f ca="1">'Total Distance Tables Sup #2'!G129*(1-'Other Assumptions'!K17)*(1-'Other Assumptions'!K88+'Other Assumptions'!K88*'Other Assumptions'!K91)+'Total Distance Tables Sup #2'!G128*(1-'Other Assumptions'!K17)*'Other Assumptions'!K88*'Other Assumptions'!K91</f>
        <v>1684.7554110054675</v>
      </c>
      <c r="H129" s="4">
        <f ca="1">'Total Distance Tables Sup #2'!H129*(1-'Other Assumptions'!L17)*(1-'Other Assumptions'!L88+'Other Assumptions'!L88*'Other Assumptions'!L91)+'Total Distance Tables Sup #2'!H128*(1-'Other Assumptions'!L17)*'Other Assumptions'!L88*'Other Assumptions'!L91</f>
        <v>1448.654701150245</v>
      </c>
      <c r="I129" s="1">
        <f ca="1">'Total Distance Tables Sup #2'!I129*(1-'Other Assumptions'!M17)*(1-'Other Assumptions'!M88+'Other Assumptions'!M88*'Other Assumptions'!M91)+'Total Distance Tables Sup #2'!I128*(1-'Other Assumptions'!M17)*'Other Assumptions'!M88*'Other Assumptions'!M91</f>
        <v>1240.0060326419164</v>
      </c>
      <c r="J129" s="1">
        <f ca="1">'Total Distance Tables Sup #2'!J129*(1-'Other Assumptions'!N17)*(1-'Other Assumptions'!N88+'Other Assumptions'!N88*'Other Assumptions'!N91)+'Total Distance Tables Sup #2'!J128*(1-'Other Assumptions'!N17)*'Other Assumptions'!N88*'Other Assumptions'!N91</f>
        <v>1015.7191854465702</v>
      </c>
      <c r="K129" s="1">
        <f ca="1">'Total Distance Tables Sup #2'!K129*(1-'Other Assumptions'!O17)*(1-'Other Assumptions'!O88+'Other Assumptions'!O88*'Other Assumptions'!O91)+'Total Distance Tables Sup #2'!K128*(1-'Other Assumptions'!O17)*'Other Assumptions'!O88*'Other Assumptions'!O91</f>
        <v>1037.7747437064518</v>
      </c>
    </row>
    <row r="130" spans="1:11" x14ac:dyDescent="0.25">
      <c r="A130" t="str">
        <f ca="1">OFFSET(Canterbury_Reference,28,2)</f>
        <v>Taxi/Vehicle Share</v>
      </c>
      <c r="B130" s="4">
        <f ca="1">'Total Distance Tables Sup #2'!B130</f>
        <v>16.530142167000001</v>
      </c>
      <c r="C130" s="4">
        <f ca="1">'Total Distance Tables Sup #2'!C130+((C128+C129)*'Other Assumptions'!G17/(1-'Other Assumptions'!G17))</f>
        <v>19.413646707781794</v>
      </c>
      <c r="D130" s="4">
        <f ca="1">'Total Distance Tables Sup #2'!D130+((D128+D129)*'Other Assumptions'!H17/(1-'Other Assumptions'!H17))</f>
        <v>21.794378406142776</v>
      </c>
      <c r="E130" s="4">
        <f ca="1">'Total Distance Tables Sup #2'!E130+((E128+E129)*'Other Assumptions'!I17/(1-'Other Assumptions'!I17))</f>
        <v>733.90404873044088</v>
      </c>
      <c r="F130" s="4">
        <f ca="1">'Total Distance Tables Sup #2'!F130+((F128+F129)*'Other Assumptions'!J17/(1-'Other Assumptions'!J17))</f>
        <v>1493.9517946067908</v>
      </c>
      <c r="G130" s="4">
        <f ca="1">'Total Distance Tables Sup #2'!G130+((G128+G129)*'Other Assumptions'!K17/(1-'Other Assumptions'!K17))</f>
        <v>2281.3464301844583</v>
      </c>
      <c r="H130" s="4">
        <f ca="1">'Total Distance Tables Sup #2'!H130+((H128+H129)*'Other Assumptions'!L17/(1-'Other Assumptions'!L17))</f>
        <v>3088.7673499985135</v>
      </c>
      <c r="I130" s="1">
        <f ca="1">'Total Distance Tables Sup #2'!I130+((I128+I129)*'Other Assumptions'!M17/(1-'Other Assumptions'!M17))</f>
        <v>3955.4382713191408</v>
      </c>
      <c r="J130" s="1">
        <f ca="1">'Total Distance Tables Sup #2'!J130+((J128+J129)*'Other Assumptions'!N17/(1-'Other Assumptions'!N17))</f>
        <v>4850.2560001323591</v>
      </c>
      <c r="K130" s="1">
        <f ca="1">'Total Distance Tables Sup #2'!K130+((K128+K129)*'Other Assumptions'!O17/(1-'Other Assumptions'!O17))</f>
        <v>4951.7367518736346</v>
      </c>
    </row>
    <row r="131" spans="1:11" x14ac:dyDescent="0.25">
      <c r="A131" t="str">
        <f ca="1">OFFSET(Canterbury_Reference,35,2)</f>
        <v>Motorcyclist</v>
      </c>
      <c r="B131" s="4">
        <f ca="1">'Total Distance Tables Sup #2'!B131</f>
        <v>12.048552727000001</v>
      </c>
      <c r="C131" s="4">
        <f ca="1">'Total Distance Tables Sup #2'!C131</f>
        <v>13.579651234428663</v>
      </c>
      <c r="D131" s="4">
        <f ca="1">'Total Distance Tables Sup #2'!D131</f>
        <v>14.487078065425081</v>
      </c>
      <c r="E131" s="4">
        <f ca="1">'Total Distance Tables Sup #2'!E131</f>
        <v>14.973332741621034</v>
      </c>
      <c r="F131" s="4">
        <f ca="1">'Total Distance Tables Sup #2'!F131</f>
        <v>15.306756908669554</v>
      </c>
      <c r="G131" s="4">
        <f ca="1">'Total Distance Tables Sup #2'!G131</f>
        <v>15.363113185710485</v>
      </c>
      <c r="H131" s="4">
        <f ca="1">'Total Distance Tables Sup #2'!H131</f>
        <v>15.332653948313881</v>
      </c>
      <c r="I131" s="1">
        <f ca="1">'Total Distance Tables Sup #2'!I131</f>
        <v>15.829578628469203</v>
      </c>
      <c r="J131" s="1">
        <f ca="1">'Total Distance Tables Sup #2'!J131</f>
        <v>16.291213822114869</v>
      </c>
      <c r="K131" s="1">
        <f ca="1">'Total Distance Tables Sup #2'!K131</f>
        <v>16.730871752287147</v>
      </c>
    </row>
    <row r="132" spans="1:11" x14ac:dyDescent="0.25">
      <c r="A132" t="str">
        <f ca="1">OFFSET(Canterbury_Reference,42,2)</f>
        <v>Local Train</v>
      </c>
      <c r="B132" s="4">
        <f ca="1">'Total Distance Tables Sup #2'!B132</f>
        <v>0</v>
      </c>
      <c r="C132" s="4">
        <f ca="1">'Total Distance Tables Sup #2'!C132+'Total Distance Tables Sup #2'!C128*'Other Assumptions'!G88*'Other Assumptions'!G93+'Total Distance Tables Sup #2'!C129*'Other Assumptions'!G88*'Other Assumptions'!G93</f>
        <v>0</v>
      </c>
      <c r="D132" s="4">
        <f ca="1">'Total Distance Tables Sup #2'!D132+'Total Distance Tables Sup #2'!D128*'Other Assumptions'!H88*'Other Assumptions'!H93+'Total Distance Tables Sup #2'!D129*'Other Assumptions'!H88*'Other Assumptions'!H93</f>
        <v>0</v>
      </c>
      <c r="E132" s="4">
        <f ca="1">'Total Distance Tables Sup #2'!E132+'Total Distance Tables Sup #2'!E128*'Other Assumptions'!I88*'Other Assumptions'!I93+'Total Distance Tables Sup #2'!E129*'Other Assumptions'!I88*'Other Assumptions'!I93</f>
        <v>0</v>
      </c>
      <c r="F132" s="4">
        <f ca="1">'Total Distance Tables Sup #2'!F132+'Total Distance Tables Sup #2'!F128*'Other Assumptions'!J88*'Other Assumptions'!J93+'Total Distance Tables Sup #2'!F129*'Other Assumptions'!J88*'Other Assumptions'!J93</f>
        <v>0</v>
      </c>
      <c r="G132" s="4">
        <f ca="1">'Total Distance Tables Sup #2'!G132+'Total Distance Tables Sup #2'!G128*'Other Assumptions'!K88*'Other Assumptions'!K93+'Total Distance Tables Sup #2'!G129*'Other Assumptions'!K88*'Other Assumptions'!K93</f>
        <v>0</v>
      </c>
      <c r="H132" s="4">
        <f ca="1">'Total Distance Tables Sup #2'!H132+'Total Distance Tables Sup #2'!H128*'Other Assumptions'!L88*'Other Assumptions'!L93+'Total Distance Tables Sup #2'!H129*'Other Assumptions'!L88*'Other Assumptions'!L93</f>
        <v>0</v>
      </c>
      <c r="I132" s="1">
        <f ca="1">'Total Distance Tables Sup #2'!I132+'Total Distance Tables Sup #2'!I128*'Other Assumptions'!M88*'Other Assumptions'!M93+'Total Distance Tables Sup #2'!I129*'Other Assumptions'!M88*'Other Assumptions'!M93</f>
        <v>0</v>
      </c>
      <c r="J132" s="1">
        <f ca="1">'Total Distance Tables Sup #2'!J132+'Total Distance Tables Sup #2'!J128*'Other Assumptions'!N88*'Other Assumptions'!N93+'Total Distance Tables Sup #2'!J129*'Other Assumptions'!N88*'Other Assumptions'!N93</f>
        <v>0</v>
      </c>
      <c r="K132" s="1">
        <f ca="1">'Total Distance Tables Sup #2'!K132+'Total Distance Tables Sup #2'!K128*'Other Assumptions'!O88*'Other Assumptions'!O93+'Total Distance Tables Sup #2'!K129*'Other Assumptions'!O88*'Other Assumptions'!O93</f>
        <v>0</v>
      </c>
    </row>
    <row r="133" spans="1:11" x14ac:dyDescent="0.25">
      <c r="A133" t="str">
        <f ca="1">OFFSET(Canterbury_Reference,49,2)</f>
        <v>Local Bus</v>
      </c>
      <c r="B133" s="4">
        <f ca="1">'Total Distance Tables Sup #2'!B133</f>
        <v>174.53993166999999</v>
      </c>
      <c r="C133" s="4">
        <f ca="1">'Total Distance Tables Sup #2'!C133+'Total Distance Tables Sup #2'!C128*'Other Assumptions'!G88*'Other Assumptions'!G92+'Total Distance Tables Sup #2'!C129*'Other Assumptions'!G88*'Other Assumptions'!G92</f>
        <v>175.21324804</v>
      </c>
      <c r="D133" s="4">
        <f ca="1">'Total Distance Tables Sup #2'!D133+'Total Distance Tables Sup #2'!D128*'Other Assumptions'!H88*'Other Assumptions'!H92+'Total Distance Tables Sup #2'!D129*'Other Assumptions'!H88*'Other Assumptions'!H92</f>
        <v>170.81122178000001</v>
      </c>
      <c r="E133" s="4">
        <f ca="1">'Total Distance Tables Sup #2'!E133+'Total Distance Tables Sup #2'!E128*'Other Assumptions'!I88*'Other Assumptions'!I92+'Total Distance Tables Sup #2'!E129*'Other Assumptions'!I88*'Other Assumptions'!I92</f>
        <v>168.83753199</v>
      </c>
      <c r="F133" s="4">
        <f ca="1">'Total Distance Tables Sup #2'!F133+'Total Distance Tables Sup #2'!F128*'Other Assumptions'!J88*'Other Assumptions'!J92+'Total Distance Tables Sup #2'!F129*'Other Assumptions'!J88*'Other Assumptions'!J92</f>
        <v>163.14112513000001</v>
      </c>
      <c r="G133" s="4">
        <f ca="1">'Total Distance Tables Sup #2'!G133+'Total Distance Tables Sup #2'!G128*'Other Assumptions'!K88*'Other Assumptions'!K92+'Total Distance Tables Sup #2'!G129*'Other Assumptions'!K88*'Other Assumptions'!K92</f>
        <v>157.35525977</v>
      </c>
      <c r="H133" s="4">
        <f ca="1">'Total Distance Tables Sup #2'!H133+'Total Distance Tables Sup #2'!H128*'Other Assumptions'!L88*'Other Assumptions'!L92+'Total Distance Tables Sup #2'!H129*'Other Assumptions'!L88*'Other Assumptions'!L92</f>
        <v>151.17563518</v>
      </c>
      <c r="I133" s="1">
        <f ca="1">'Total Distance Tables Sup #2'!I133+'Total Distance Tables Sup #2'!I128*'Other Assumptions'!M88*'Other Assumptions'!M92+'Total Distance Tables Sup #2'!I129*'Other Assumptions'!M88*'Other Assumptions'!M92</f>
        <v>151.17563518</v>
      </c>
      <c r="J133" s="1">
        <f ca="1">'Total Distance Tables Sup #2'!J133+'Total Distance Tables Sup #2'!J128*'Other Assumptions'!N88*'Other Assumptions'!N92+'Total Distance Tables Sup #2'!J129*'Other Assumptions'!N88*'Other Assumptions'!N92</f>
        <v>151.17563518</v>
      </c>
      <c r="K133" s="1">
        <f ca="1">'Total Distance Tables Sup #2'!K133+'Total Distance Tables Sup #2'!K128*'Other Assumptions'!O88*'Other Assumptions'!O92+'Total Distance Tables Sup #2'!K129*'Other Assumptions'!O88*'Other Assumptions'!O92</f>
        <v>151.17563518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f ca="1">'Total Distance Tables Sup #2'!C134</f>
        <v>0</v>
      </c>
      <c r="D134" s="4">
        <f ca="1">'Total Distance Tables Sup #2'!D134</f>
        <v>0</v>
      </c>
      <c r="E134" s="4">
        <f ca="1">'Total Distance Tables Sup #2'!E134</f>
        <v>0</v>
      </c>
      <c r="F134" s="4">
        <f ca="1">'Total Distance Tables Sup #2'!F134</f>
        <v>0</v>
      </c>
      <c r="G134" s="4">
        <f ca="1">'Total Distance Tables Sup #2'!G134</f>
        <v>0</v>
      </c>
      <c r="H134" s="4">
        <f ca="1">'Total Distance Tables Sup #2'!H134</f>
        <v>0</v>
      </c>
      <c r="I134" s="1">
        <f ca="1">'Total Distance Tables Sup #2'!I134</f>
        <v>0</v>
      </c>
      <c r="J134" s="1">
        <f ca="1">'Total Distance Tables Sup #2'!J134</f>
        <v>0</v>
      </c>
      <c r="K134" s="1">
        <f ca="1">'Total Distance Tables Sup #2'!K134</f>
        <v>0</v>
      </c>
    </row>
    <row r="135" spans="1:11" x14ac:dyDescent="0.25">
      <c r="A135" t="str">
        <f ca="1">OFFSET(Canterbury_Reference,56,2)</f>
        <v>Other Household Travel</v>
      </c>
      <c r="B135" s="4">
        <f ca="1">'Total Distance Tables Sup #2'!B135</f>
        <v>0</v>
      </c>
      <c r="C135" s="4">
        <f ca="1">'Total Distance Tables Sup #2'!C135</f>
        <v>0</v>
      </c>
      <c r="D135" s="4">
        <f ca="1">'Total Distance Tables Sup #2'!D135</f>
        <v>0</v>
      </c>
      <c r="E135" s="4">
        <f ca="1">'Total Distance Tables Sup #2'!E135</f>
        <v>0</v>
      </c>
      <c r="F135" s="4">
        <f ca="1">'Total Distance Tables Sup #2'!F135</f>
        <v>0</v>
      </c>
      <c r="G135" s="4">
        <f ca="1">'Total Distance Tables Sup #2'!G135</f>
        <v>0</v>
      </c>
      <c r="H135" s="4">
        <f ca="1">'Total Distance Tables Sup #2'!H135</f>
        <v>0</v>
      </c>
      <c r="I135" s="1">
        <f ca="1">'Total Distance Tables Sup #2'!I135</f>
        <v>0</v>
      </c>
      <c r="J135" s="1">
        <f ca="1">'Total Distance Tables Sup #2'!J135</f>
        <v>0</v>
      </c>
      <c r="K135" s="1">
        <f ca="1">'Total Distance Tables Sup #2'!K135</f>
        <v>0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'Total Distance Tables Sup #2'!B137</f>
        <v>45.829100335</v>
      </c>
      <c r="C137" s="4">
        <f ca="1">'Total Distance Tables Sup #2'!C137</f>
        <v>48.736279384583639</v>
      </c>
      <c r="D137" s="4">
        <f ca="1">'Total Distance Tables Sup #2'!D137</f>
        <v>52.911863562020521</v>
      </c>
      <c r="E137" s="4">
        <f ca="1">'Total Distance Tables Sup #2'!E137</f>
        <v>55.992595497796351</v>
      </c>
      <c r="F137" s="4">
        <f ca="1">'Total Distance Tables Sup #2'!F137</f>
        <v>58.532776118301214</v>
      </c>
      <c r="G137" s="4">
        <f ca="1">'Total Distance Tables Sup #2'!G137</f>
        <v>60.923468256075218</v>
      </c>
      <c r="H137" s="4">
        <f ca="1">'Total Distance Tables Sup #2'!H137</f>
        <v>63.044152944909342</v>
      </c>
      <c r="I137" s="1">
        <f ca="1">'Total Distance Tables Sup #2'!I137</f>
        <v>63.597607833714399</v>
      </c>
      <c r="J137" s="1">
        <f ca="1">'Total Distance Tables Sup #2'!J137</f>
        <v>63.952604745703361</v>
      </c>
      <c r="K137" s="1">
        <f ca="1">'Total Distance Tables Sup #2'!K137</f>
        <v>64.172282634678396</v>
      </c>
    </row>
    <row r="138" spans="1:11" x14ac:dyDescent="0.25">
      <c r="A138" t="str">
        <f ca="1">OFFSET(Otago_Reference,7,2)</f>
        <v>Cyclist</v>
      </c>
      <c r="B138" s="4">
        <f ca="1">'Total Distance Tables Sup #2'!B138</f>
        <v>16.325352069000001</v>
      </c>
      <c r="C138" s="4">
        <f ca="1">'Total Distance Tables Sup #2'!C138</f>
        <v>17.969049572136559</v>
      </c>
      <c r="D138" s="4">
        <f ca="1">'Total Distance Tables Sup #2'!D138</f>
        <v>26.144421721045955</v>
      </c>
      <c r="E138" s="4">
        <f ca="1">'Total Distance Tables Sup #2'!E138</f>
        <v>33.952704522053644</v>
      </c>
      <c r="F138" s="4">
        <f ca="1">'Total Distance Tables Sup #2'!F138</f>
        <v>42.421130013179422</v>
      </c>
      <c r="G138" s="4">
        <f ca="1">'Total Distance Tables Sup #2'!G138</f>
        <v>51.975838807716976</v>
      </c>
      <c r="H138" s="4">
        <f ca="1">'Total Distance Tables Sup #2'!H138</f>
        <v>62.126109610051273</v>
      </c>
      <c r="I138" s="1">
        <f ca="1">'Total Distance Tables Sup #2'!I138</f>
        <v>62.965949039723235</v>
      </c>
      <c r="J138" s="1">
        <f ca="1">'Total Distance Tables Sup #2'!J138</f>
        <v>63.617794855911868</v>
      </c>
      <c r="K138" s="1">
        <f ca="1">'Total Distance Tables Sup #2'!K138</f>
        <v>64.142003680396869</v>
      </c>
    </row>
    <row r="139" spans="1:11" x14ac:dyDescent="0.25">
      <c r="A139" t="str">
        <f ca="1">OFFSET(Otago_Reference,14,2)</f>
        <v>Light Vehicle Driver</v>
      </c>
      <c r="B139" s="4">
        <f ca="1">'Total Distance Tables Sup #2'!B139</f>
        <v>1192.1699989000001</v>
      </c>
      <c r="C139" s="4">
        <f ca="1">'Total Distance Tables Sup #2'!C139*(1-'Other Assumptions'!G18)</f>
        <v>1312.22630131906</v>
      </c>
      <c r="D139" s="4">
        <f ca="1">'Total Distance Tables Sup #2'!D139*(1-'Other Assumptions'!H18)</f>
        <v>1371.7425404598891</v>
      </c>
      <c r="E139" s="4">
        <f ca="1">'Total Distance Tables Sup #2'!E139*(1-'Other Assumptions'!I18)</f>
        <v>1275.1620748029993</v>
      </c>
      <c r="F139" s="4">
        <f ca="1">'Total Distance Tables Sup #2'!F139*(1-'Other Assumptions'!J18)</f>
        <v>1164.2879700888147</v>
      </c>
      <c r="G139" s="4">
        <f ca="1">'Total Distance Tables Sup #2'!G139*(1-'Other Assumptions'!K18)</f>
        <v>1035.1786743710456</v>
      </c>
      <c r="H139" s="4">
        <f ca="1">'Total Distance Tables Sup #2'!H139*(1-'Other Assumptions'!L18)</f>
        <v>897.22058680545297</v>
      </c>
      <c r="I139" s="1">
        <f ca="1">'Total Distance Tables Sup #2'!I139*(1-'Other Assumptions'!M18)</f>
        <v>755.70068049678571</v>
      </c>
      <c r="J139" s="1">
        <f ca="1">'Total Distance Tables Sup #2'!J139*(1-'Other Assumptions'!N18)</f>
        <v>609.10228506743158</v>
      </c>
      <c r="K139" s="1">
        <f ca="1">'Total Distance Tables Sup #2'!K139*(1-'Other Assumptions'!O18)</f>
        <v>612.36361997630388</v>
      </c>
    </row>
    <row r="140" spans="1:11" x14ac:dyDescent="0.25">
      <c r="A140" t="str">
        <f ca="1">OFFSET(Otago_Reference,21,2)</f>
        <v>Light Vehicle Passenger</v>
      </c>
      <c r="B140" s="4">
        <f ca="1">'Total Distance Tables Sup #2'!B140</f>
        <v>849.31688999999994</v>
      </c>
      <c r="C140" s="4">
        <f ca="1">'Total Distance Tables Sup #2'!C140*(1-'Other Assumptions'!G18)</f>
        <v>899.37116949308393</v>
      </c>
      <c r="D140" s="4">
        <f ca="1">'Total Distance Tables Sup #2'!D140*(1-'Other Assumptions'!H18)</f>
        <v>919.32928046849042</v>
      </c>
      <c r="E140" s="4">
        <f ca="1">'Total Distance Tables Sup #2'!E140*(1-'Other Assumptions'!I18)</f>
        <v>836.39265588773685</v>
      </c>
      <c r="F140" s="4">
        <f ca="1">'Total Distance Tables Sup #2'!F140*(1-'Other Assumptions'!J18)</f>
        <v>746.16995188193027</v>
      </c>
      <c r="G140" s="4">
        <f ca="1">'Total Distance Tables Sup #2'!G140*(1-'Other Assumptions'!K18)</f>
        <v>651.05251763995466</v>
      </c>
      <c r="H140" s="4">
        <f ca="1">'Total Distance Tables Sup #2'!H140*(1-'Other Assumptions'!L18)</f>
        <v>553.64443295468232</v>
      </c>
      <c r="I140" s="1">
        <f ca="1">'Total Distance Tables Sup #2'!I140*(1-'Other Assumptions'!M18)</f>
        <v>466.83493715054664</v>
      </c>
      <c r="J140" s="1">
        <f ca="1">'Total Distance Tables Sup #2'!J140*(1-'Other Assumptions'!N18)</f>
        <v>376.69259584161108</v>
      </c>
      <c r="K140" s="1">
        <f ca="1">'Total Distance Tables Sup #2'!K140*(1-'Other Assumptions'!O18)</f>
        <v>379.13229713934078</v>
      </c>
    </row>
    <row r="141" spans="1:11" x14ac:dyDescent="0.25">
      <c r="A141" t="str">
        <f ca="1">OFFSET(Otago_Reference,28,2)</f>
        <v>Taxi/Vehicle Share</v>
      </c>
      <c r="B141" s="4">
        <f ca="1">'Total Distance Tables Sup #2'!B141</f>
        <v>7.2892681777000004</v>
      </c>
      <c r="C141" s="4">
        <f ca="1">'Total Distance Tables Sup #2'!C141+((C139+C140)*'Other Assumptions'!G18/(1-'Other Assumptions'!G18))</f>
        <v>8.3620297645769632</v>
      </c>
      <c r="D141" s="4">
        <f ca="1">'Total Distance Tables Sup #2'!D141+((D139+D140)*'Other Assumptions'!H18/(1-'Other Assumptions'!H18))</f>
        <v>9.2058885519763312</v>
      </c>
      <c r="E141" s="4">
        <f ca="1">'Total Distance Tables Sup #2'!E141+((E139+E140)*'Other Assumptions'!I18/(1-'Other Assumptions'!I18))</f>
        <v>244.53448588233974</v>
      </c>
      <c r="F141" s="4">
        <f ca="1">'Total Distance Tables Sup #2'!F141+((F139+F140)*'Other Assumptions'!J18/(1-'Other Assumptions'!J18))</f>
        <v>488.12995676836891</v>
      </c>
      <c r="G141" s="4">
        <f ca="1">'Total Distance Tables Sup #2'!G141+((G139+G140)*'Other Assumptions'!K18/(1-'Other Assumptions'!K18))</f>
        <v>733.61552723574539</v>
      </c>
      <c r="H141" s="4">
        <f ca="1">'Total Distance Tables Sup #2'!H141+((H139+H140)*'Other Assumptions'!L18/(1-'Other Assumptions'!L18))</f>
        <v>978.57561298394273</v>
      </c>
      <c r="I141" s="1">
        <f ca="1">'Total Distance Tables Sup #2'!I141+((I139+I140)*'Other Assumptions'!M18/(1-'Other Assumptions'!M18))</f>
        <v>1233.9574221948676</v>
      </c>
      <c r="J141" s="1">
        <f ca="1">'Total Distance Tables Sup #2'!J141+((J139+J140)*'Other Assumptions'!N18/(1-'Other Assumptions'!N18))</f>
        <v>1490.1676574237456</v>
      </c>
      <c r="K141" s="1">
        <f ca="1">'Total Distance Tables Sup #2'!K141+((K139+K140)*'Other Assumptions'!O18/(1-'Other Assumptions'!O18))</f>
        <v>1498.74816270976</v>
      </c>
    </row>
    <row r="142" spans="1:11" x14ac:dyDescent="0.25">
      <c r="A142" t="str">
        <f ca="1">OFFSET(Otago_Reference,35,2)</f>
        <v>Motorcyclist</v>
      </c>
      <c r="B142" s="4">
        <f ca="1">'Total Distance Tables Sup #2'!B142</f>
        <v>18.503357486999999</v>
      </c>
      <c r="C142" s="4">
        <f ca="1">'Total Distance Tables Sup #2'!C142</f>
        <v>20.370492088279526</v>
      </c>
      <c r="D142" s="4">
        <f ca="1">'Total Distance Tables Sup #2'!D142</f>
        <v>21.311319661625419</v>
      </c>
      <c r="E142" s="4">
        <f ca="1">'Total Distance Tables Sup #2'!E142</f>
        <v>21.669929483598906</v>
      </c>
      <c r="F142" s="4">
        <f ca="1">'Total Distance Tables Sup #2'!F142</f>
        <v>21.803168475479886</v>
      </c>
      <c r="G142" s="4">
        <f ca="1">'Total Distance Tables Sup #2'!G142</f>
        <v>21.551549703853581</v>
      </c>
      <c r="H142" s="4">
        <f ca="1">'Total Distance Tables Sup #2'!H142</f>
        <v>21.187422428141943</v>
      </c>
      <c r="I142" s="1">
        <f ca="1">'Total Distance Tables Sup #2'!I142</f>
        <v>21.547240712597162</v>
      </c>
      <c r="J142" s="1">
        <f ca="1">'Total Distance Tables Sup #2'!J142</f>
        <v>21.844256634117514</v>
      </c>
      <c r="K142" s="1">
        <f ca="1">'Total Distance Tables Sup #2'!K142</f>
        <v>22.098556898765267</v>
      </c>
    </row>
    <row r="143" spans="1:11" x14ac:dyDescent="0.25">
      <c r="A143" t="str">
        <f ca="1">OFFSET(Canterbury_Reference,42,2)</f>
        <v>Local Train</v>
      </c>
      <c r="B143" s="4">
        <f ca="1">'Total Distance Tables Sup #2'!B143</f>
        <v>0</v>
      </c>
      <c r="C143" s="4">
        <f ca="1">'Total Distance Tables Sup #2'!C143</f>
        <v>0</v>
      </c>
      <c r="D143" s="4">
        <f ca="1">'Total Distance Tables Sup #2'!D143</f>
        <v>0</v>
      </c>
      <c r="E143" s="4">
        <f ca="1">'Total Distance Tables Sup #2'!E143</f>
        <v>0</v>
      </c>
      <c r="F143" s="4">
        <f ca="1">'Total Distance Tables Sup #2'!F143</f>
        <v>0</v>
      </c>
      <c r="G143" s="4">
        <f ca="1">'Total Distance Tables Sup #2'!G143</f>
        <v>0</v>
      </c>
      <c r="H143" s="4">
        <f ca="1">'Total Distance Tables Sup #2'!H143</f>
        <v>0</v>
      </c>
      <c r="I143" s="1">
        <f ca="1">'Total Distance Tables Sup #2'!I143</f>
        <v>0</v>
      </c>
      <c r="J143" s="1">
        <f ca="1">'Total Distance Tables Sup #2'!J143</f>
        <v>0</v>
      </c>
      <c r="K143" s="1">
        <f ca="1">'Total Distance Tables Sup #2'!K143</f>
        <v>0</v>
      </c>
    </row>
    <row r="144" spans="1:11" x14ac:dyDescent="0.25">
      <c r="A144" t="str">
        <f ca="1">OFFSET(Otago_Reference,42,2)</f>
        <v>Local Bus</v>
      </c>
      <c r="B144" s="4">
        <f ca="1">'Total Distance Tables Sup #2'!B144</f>
        <v>27.157477096000001</v>
      </c>
      <c r="C144" s="4">
        <f ca="1">'Total Distance Tables Sup #2'!C144</f>
        <v>26.638546376406463</v>
      </c>
      <c r="D144" s="4">
        <f ca="1">'Total Distance Tables Sup #2'!D144</f>
        <v>26.038588729835617</v>
      </c>
      <c r="E144" s="4">
        <f ca="1">'Total Distance Tables Sup #2'!E144</f>
        <v>25.487341675821739</v>
      </c>
      <c r="F144" s="4">
        <f ca="1">'Total Distance Tables Sup #2'!F144</f>
        <v>24.545941331801721</v>
      </c>
      <c r="G144" s="4">
        <f ca="1">'Total Distance Tables Sup #2'!G144</f>
        <v>23.923929132862209</v>
      </c>
      <c r="H144" s="4">
        <f ca="1">'Total Distance Tables Sup #2'!H144</f>
        <v>23.233742763089118</v>
      </c>
      <c r="I144" s="1">
        <f ca="1">'Total Distance Tables Sup #2'!I144</f>
        <v>23.511557072877547</v>
      </c>
      <c r="J144" s="1">
        <f ca="1">'Total Distance Tables Sup #2'!J144</f>
        <v>23.716923969911925</v>
      </c>
      <c r="K144" s="1">
        <f ca="1">'Total Distance Tables Sup #2'!K144</f>
        <v>23.872628925823467</v>
      </c>
    </row>
    <row r="145" spans="1:11" x14ac:dyDescent="0.25">
      <c r="A145" t="str">
        <f ca="1">OFFSET(Wellington_Reference,56,2)</f>
        <v>Local Ferry</v>
      </c>
      <c r="B145" s="4">
        <f>'Total Distance Tables Sup #2'!B145</f>
        <v>0</v>
      </c>
      <c r="C145" s="4">
        <f ca="1">'Total Distance Tables Sup #2'!C145</f>
        <v>0</v>
      </c>
      <c r="D145" s="4">
        <f ca="1">'Total Distance Tables Sup #2'!D145</f>
        <v>0</v>
      </c>
      <c r="E145" s="4">
        <f ca="1">'Total Distance Tables Sup #2'!E145</f>
        <v>0</v>
      </c>
      <c r="F145" s="4">
        <f ca="1">'Total Distance Tables Sup #2'!F145</f>
        <v>0</v>
      </c>
      <c r="G145" s="4">
        <f ca="1">'Total Distance Tables Sup #2'!G145</f>
        <v>0</v>
      </c>
      <c r="H145" s="4">
        <f ca="1">'Total Distance Tables Sup #2'!H145</f>
        <v>0</v>
      </c>
      <c r="I145" s="1">
        <f ca="1">'Total Distance Tables Sup #2'!I145</f>
        <v>0</v>
      </c>
      <c r="J145" s="1">
        <f ca="1">'Total Distance Tables Sup #2'!J145</f>
        <v>0</v>
      </c>
      <c r="K145" s="1">
        <f ca="1">'Total Distance Tables Sup #2'!K145</f>
        <v>0</v>
      </c>
    </row>
    <row r="146" spans="1:11" x14ac:dyDescent="0.25">
      <c r="A146" t="str">
        <f ca="1">OFFSET(Otago_Reference,49,2)</f>
        <v>Other Household Travel</v>
      </c>
      <c r="B146" s="4">
        <f ca="1">'Total Distance Tables Sup #2'!B146</f>
        <v>0</v>
      </c>
      <c r="C146" s="4">
        <f ca="1">'Total Distance Tables Sup #2'!C146</f>
        <v>0</v>
      </c>
      <c r="D146" s="4">
        <f ca="1">'Total Distance Tables Sup #2'!D146</f>
        <v>0</v>
      </c>
      <c r="E146" s="4">
        <f ca="1">'Total Distance Tables Sup #2'!E146</f>
        <v>0</v>
      </c>
      <c r="F146" s="4">
        <f ca="1">'Total Distance Tables Sup #2'!F146</f>
        <v>0</v>
      </c>
      <c r="G146" s="4">
        <f ca="1">'Total Distance Tables Sup #2'!G146</f>
        <v>0</v>
      </c>
      <c r="H146" s="4">
        <f ca="1">'Total Distance Tables Sup #2'!H146</f>
        <v>0</v>
      </c>
      <c r="I146" s="1">
        <f ca="1">'Total Distance Tables Sup #2'!I146</f>
        <v>0</v>
      </c>
      <c r="J146" s="1">
        <f ca="1">'Total Distance Tables Sup #2'!J146</f>
        <v>0</v>
      </c>
      <c r="K146" s="1">
        <f ca="1">'Total Distance Tables Sup #2'!K146</f>
        <v>0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'Total Distance Tables Sup #2'!B148</f>
        <v>8.8466785109000003</v>
      </c>
      <c r="C148" s="4">
        <f ca="1">'Total Distance Tables Sup #2'!C148</f>
        <v>8.9895567964226473</v>
      </c>
      <c r="D148" s="4">
        <f ca="1">'Total Distance Tables Sup #2'!D148</f>
        <v>9.4226553646893247</v>
      </c>
      <c r="E148" s="4">
        <f ca="1">'Total Distance Tables Sup #2'!E148</f>
        <v>9.7444420804006064</v>
      </c>
      <c r="F148" s="4">
        <f ca="1">'Total Distance Tables Sup #2'!F148</f>
        <v>9.9567719114347071</v>
      </c>
      <c r="G148" s="4">
        <f ca="1">'Total Distance Tables Sup #2'!G148</f>
        <v>10.12226147786501</v>
      </c>
      <c r="H148" s="4">
        <f ca="1">'Total Distance Tables Sup #2'!H148</f>
        <v>10.232190211893847</v>
      </c>
      <c r="I148" s="1">
        <f ca="1">'Total Distance Tables Sup #2'!I148</f>
        <v>10.083131458773494</v>
      </c>
      <c r="J148" s="1">
        <f ca="1">'Total Distance Tables Sup #2'!J148</f>
        <v>9.9047551651174306</v>
      </c>
      <c r="K148" s="1">
        <f ca="1">'Total Distance Tables Sup #2'!K148</f>
        <v>9.7087619491244581</v>
      </c>
    </row>
    <row r="149" spans="1:11" x14ac:dyDescent="0.25">
      <c r="A149" t="str">
        <f ca="1">OFFSET(Southland_Reference,7,2)</f>
        <v>Cyclist</v>
      </c>
      <c r="B149" s="4">
        <f ca="1">'Total Distance Tables Sup #2'!B149</f>
        <v>7.5402861329000004</v>
      </c>
      <c r="C149" s="4">
        <f ca="1">'Total Distance Tables Sup #2'!C149</f>
        <v>7.9304416336064323</v>
      </c>
      <c r="D149" s="4">
        <f ca="1">'Total Distance Tables Sup #2'!D149</f>
        <v>11.140011689963517</v>
      </c>
      <c r="E149" s="4">
        <f ca="1">'Total Distance Tables Sup #2'!E149</f>
        <v>14.137971770051184</v>
      </c>
      <c r="F149" s="4">
        <f ca="1">'Total Distance Tables Sup #2'!F149</f>
        <v>17.265852482199382</v>
      </c>
      <c r="G149" s="4">
        <f ca="1">'Total Distance Tables Sup #2'!G149</f>
        <v>20.662401524003307</v>
      </c>
      <c r="H149" s="4">
        <f ca="1">'Total Distance Tables Sup #2'!H149</f>
        <v>24.125943504031255</v>
      </c>
      <c r="I149" s="1">
        <f ca="1">'Total Distance Tables Sup #2'!I149</f>
        <v>23.886183234541463</v>
      </c>
      <c r="J149" s="1">
        <f ca="1">'Total Distance Tables Sup #2'!J149</f>
        <v>23.57493344659634</v>
      </c>
      <c r="K149" s="1">
        <f ca="1">'Total Distance Tables Sup #2'!K149</f>
        <v>23.219092648288065</v>
      </c>
    </row>
    <row r="150" spans="1:11" x14ac:dyDescent="0.25">
      <c r="A150" t="str">
        <f ca="1">OFFSET(Southland_Reference,14,2)</f>
        <v>Light Vehicle Driver</v>
      </c>
      <c r="B150" s="4">
        <f ca="1">'Total Distance Tables Sup #2'!B150</f>
        <v>657.74873722999996</v>
      </c>
      <c r="C150" s="4">
        <f ca="1">'Total Distance Tables Sup #2'!C150*(1-'Other Assumptions'!G19)</f>
        <v>691.79523843088782</v>
      </c>
      <c r="D150" s="4">
        <f ca="1">'Total Distance Tables Sup #2'!D150*(1-'Other Assumptions'!H19)</f>
        <v>698.59601379690139</v>
      </c>
      <c r="E150" s="4">
        <f ca="1">'Total Distance Tables Sup #2'!E150*(1-'Other Assumptions'!I19)</f>
        <v>634.9822756293197</v>
      </c>
      <c r="F150" s="4">
        <f ca="1">'Total Distance Tables Sup #2'!F150*(1-'Other Assumptions'!J19)</f>
        <v>566.99123343056044</v>
      </c>
      <c r="G150" s="4">
        <f ca="1">'Total Distance Tables Sup #2'!G150*(1-'Other Assumptions'!K19)</f>
        <v>492.64648982187668</v>
      </c>
      <c r="H150" s="4">
        <f ca="1">'Total Distance Tables Sup #2'!H150*(1-'Other Assumptions'!L19)</f>
        <v>417.3311590356447</v>
      </c>
      <c r="I150" s="1">
        <f ca="1">'Total Distance Tables Sup #2'!I150*(1-'Other Assumptions'!M19)</f>
        <v>343.36995144965567</v>
      </c>
      <c r="J150" s="1">
        <f ca="1">'Total Distance Tables Sup #2'!J150*(1-'Other Assumptions'!N19)</f>
        <v>270.35451774599215</v>
      </c>
      <c r="K150" s="1">
        <f ca="1">'Total Distance Tables Sup #2'!K150*(1-'Other Assumptions'!O19)</f>
        <v>265.51175256770568</v>
      </c>
    </row>
    <row r="151" spans="1:11" x14ac:dyDescent="0.25">
      <c r="A151" t="str">
        <f ca="1">OFFSET(Southland_Reference,21,2)</f>
        <v>Light Vehicle Passenger</v>
      </c>
      <c r="B151" s="4">
        <f ca="1">'Total Distance Tables Sup #2'!B151</f>
        <v>380.70733008000002</v>
      </c>
      <c r="C151" s="4">
        <f ca="1">'Total Distance Tables Sup #2'!C151*(1-'Other Assumptions'!G19)</f>
        <v>385.21876571124238</v>
      </c>
      <c r="D151" s="4">
        <f ca="1">'Total Distance Tables Sup #2'!D151*(1-'Other Assumptions'!H19)</f>
        <v>380.31937094408977</v>
      </c>
      <c r="E151" s="4">
        <f ca="1">'Total Distance Tables Sup #2'!E151*(1-'Other Assumptions'!I19)</f>
        <v>338.27078249898136</v>
      </c>
      <c r="F151" s="4">
        <f ca="1">'Total Distance Tables Sup #2'!F151*(1-'Other Assumptions'!J19)</f>
        <v>295.08650942438658</v>
      </c>
      <c r="G151" s="4">
        <f ca="1">'Total Distance Tables Sup #2'!G151*(1-'Other Assumptions'!K19)</f>
        <v>251.57138500548803</v>
      </c>
      <c r="H151" s="4">
        <f ca="1">'Total Distance Tables Sup #2'!H151*(1-'Other Assumptions'!L19)</f>
        <v>209.05619352079296</v>
      </c>
      <c r="I151" s="1">
        <f ca="1">'Total Distance Tables Sup #2'!I151*(1-'Other Assumptions'!M19)</f>
        <v>172.19602344439764</v>
      </c>
      <c r="J151" s="1">
        <f ca="1">'Total Distance Tables Sup #2'!J151*(1-'Other Assumptions'!N19)</f>
        <v>135.72958529195037</v>
      </c>
      <c r="K151" s="1">
        <f ca="1">'Total Distance Tables Sup #2'!K151*(1-'Other Assumptions'!O19)</f>
        <v>133.44610323975596</v>
      </c>
    </row>
    <row r="152" spans="1:11" x14ac:dyDescent="0.25">
      <c r="A152" t="str">
        <f ca="1">OFFSET(Southland_Reference,28,2)</f>
        <v>Taxi/Vehicle Share</v>
      </c>
      <c r="B152" s="4">
        <f ca="1">'Total Distance Tables Sup #2'!B152</f>
        <v>1.2430116738999999</v>
      </c>
      <c r="C152" s="4">
        <f ca="1">'Total Distance Tables Sup #2'!C152+((C150+C151)*'Other Assumptions'!G19/(1-'Other Assumptions'!G19))</f>
        <v>1.3625422686165463</v>
      </c>
      <c r="D152" s="4">
        <f ca="1">'Total Distance Tables Sup #2'!D152+((D150+D151)*'Other Assumptions'!H19/(1-'Other Assumptions'!H19))</f>
        <v>1.4482326276305981</v>
      </c>
      <c r="E152" s="4">
        <f ca="1">'Total Distance Tables Sup #2'!E152+((E150+E151)*'Other Assumptions'!I19/(1-'Other Assumptions'!I19))</f>
        <v>109.66388484682042</v>
      </c>
      <c r="F152" s="4">
        <f ca="1">'Total Distance Tables Sup #2'!F152+((F150+F151)*'Other Assumptions'!J19/(1-'Other Assumptions'!J19))</f>
        <v>217.09959456864527</v>
      </c>
      <c r="G152" s="4">
        <f ca="1">'Total Distance Tables Sup #2'!G152+((G150+G151)*'Other Assumptions'!K19/(1-'Other Assumptions'!K19))</f>
        <v>320.55694744234802</v>
      </c>
      <c r="H152" s="4">
        <f ca="1">'Total Distance Tables Sup #2'!H152+((H150+H151)*'Other Assumptions'!L19/(1-'Other Assumptions'!L19))</f>
        <v>419.21634227314354</v>
      </c>
      <c r="I152" s="1">
        <f ca="1">'Total Distance Tables Sup #2'!I152+((I150+I151)*'Other Assumptions'!M19/(1-'Other Assumptions'!M19))</f>
        <v>517.16568665776106</v>
      </c>
      <c r="J152" s="1">
        <f ca="1">'Total Distance Tables Sup #2'!J152+((J150+J151)*'Other Assumptions'!N19/(1-'Other Assumptions'!N19))</f>
        <v>610.6961676899424</v>
      </c>
      <c r="K152" s="1">
        <f ca="1">'Total Distance Tables Sup #2'!K152+((K150+K151)*'Other Assumptions'!O19/(1-'Other Assumptions'!O19))</f>
        <v>599.97433084983015</v>
      </c>
    </row>
    <row r="153" spans="1:11" x14ac:dyDescent="0.25">
      <c r="A153" t="str">
        <f ca="1">OFFSET(Southland_Reference,35,2)</f>
        <v>Motorcyclist</v>
      </c>
      <c r="B153" s="4">
        <f ca="1">'Total Distance Tables Sup #2'!B153</f>
        <v>18.926640866</v>
      </c>
      <c r="C153" s="4">
        <f ca="1">'Total Distance Tables Sup #2'!C153</f>
        <v>19.910011831918592</v>
      </c>
      <c r="D153" s="4">
        <f ca="1">'Total Distance Tables Sup #2'!D153</f>
        <v>20.110120879542311</v>
      </c>
      <c r="E153" s="4">
        <f ca="1">'Total Distance Tables Sup #2'!E153</f>
        <v>19.983334849904633</v>
      </c>
      <c r="F153" s="4">
        <f ca="1">'Total Distance Tables Sup #2'!F153</f>
        <v>19.652741195337317</v>
      </c>
      <c r="G153" s="4">
        <f ca="1">'Total Distance Tables Sup #2'!G153</f>
        <v>18.973852741894468</v>
      </c>
      <c r="H153" s="4">
        <f ca="1">'Total Distance Tables Sup #2'!H153</f>
        <v>18.221578855933302</v>
      </c>
      <c r="I153" s="1">
        <f ca="1">'Total Distance Tables Sup #2'!I153</f>
        <v>18.102160065035214</v>
      </c>
      <c r="J153" s="1">
        <f ca="1">'Total Distance Tables Sup #2'!J153</f>
        <v>17.926968921169593</v>
      </c>
      <c r="K153" s="1">
        <f ca="1">'Total Distance Tables Sup #2'!K153</f>
        <v>17.715946796993233</v>
      </c>
    </row>
    <row r="154" spans="1:11" x14ac:dyDescent="0.25">
      <c r="A154" t="str">
        <f ca="1">OFFSET(Canterbury_Reference,42,2)</f>
        <v>Local Train</v>
      </c>
      <c r="B154" s="4">
        <f ca="1">'Total Distance Tables Sup #2'!B154</f>
        <v>0</v>
      </c>
      <c r="C154" s="4">
        <f ca="1">'Total Distance Tables Sup #2'!C154</f>
        <v>0</v>
      </c>
      <c r="D154" s="4">
        <f ca="1">'Total Distance Tables Sup #2'!D154</f>
        <v>0</v>
      </c>
      <c r="E154" s="4">
        <f ca="1">'Total Distance Tables Sup #2'!E154</f>
        <v>0</v>
      </c>
      <c r="F154" s="4">
        <f ca="1">'Total Distance Tables Sup #2'!F154</f>
        <v>0</v>
      </c>
      <c r="G154" s="4">
        <f ca="1">'Total Distance Tables Sup #2'!G154</f>
        <v>0</v>
      </c>
      <c r="H154" s="4">
        <f ca="1">'Total Distance Tables Sup #2'!H154</f>
        <v>0</v>
      </c>
      <c r="I154" s="1">
        <f ca="1">'Total Distance Tables Sup #2'!I154</f>
        <v>0</v>
      </c>
      <c r="J154" s="1">
        <f ca="1">'Total Distance Tables Sup #2'!J154</f>
        <v>0</v>
      </c>
      <c r="K154" s="1">
        <f ca="1">'Total Distance Tables Sup #2'!K154</f>
        <v>0</v>
      </c>
    </row>
    <row r="155" spans="1:11" x14ac:dyDescent="0.25">
      <c r="A155" t="str">
        <f ca="1">OFFSET(Southland_Reference,42,2)</f>
        <v>Local Bus</v>
      </c>
      <c r="B155" s="4">
        <f ca="1">'Total Distance Tables Sup #2'!B155</f>
        <v>30.182609224</v>
      </c>
      <c r="C155" s="4">
        <f ca="1">'Total Distance Tables Sup #2'!C155</f>
        <v>28.289474308517686</v>
      </c>
      <c r="D155" s="4">
        <f ca="1">'Total Distance Tables Sup #2'!D155</f>
        <v>26.697225937052178</v>
      </c>
      <c r="E155" s="4">
        <f ca="1">'Total Distance Tables Sup #2'!E155</f>
        <v>25.537557981164589</v>
      </c>
      <c r="F155" s="4">
        <f ca="1">'Total Distance Tables Sup #2'!F155</f>
        <v>24.039618611301517</v>
      </c>
      <c r="G155" s="4">
        <f ca="1">'Total Distance Tables Sup #2'!G155</f>
        <v>22.885156444317875</v>
      </c>
      <c r="H155" s="4">
        <f ca="1">'Total Distance Tables Sup #2'!H155</f>
        <v>21.710579362788</v>
      </c>
      <c r="I155" s="1">
        <f ca="1">'Total Distance Tables Sup #2'!I155</f>
        <v>21.461718097426509</v>
      </c>
      <c r="J155" s="1">
        <f ca="1">'Total Distance Tables Sup #2'!J155</f>
        <v>21.148146676229977</v>
      </c>
      <c r="K155" s="1">
        <f ca="1">'Total Distance Tables Sup #2'!K155</f>
        <v>20.794336042112015</v>
      </c>
    </row>
    <row r="156" spans="1:11" x14ac:dyDescent="0.25">
      <c r="A156" t="str">
        <f ca="1">OFFSET(Wellington_Reference,56,2)</f>
        <v>Local Ferry</v>
      </c>
      <c r="B156" s="4">
        <f>'Total Distance Tables Sup #2'!B156</f>
        <v>0</v>
      </c>
      <c r="C156" s="4">
        <f ca="1">'Total Distance Tables Sup #2'!C156</f>
        <v>0</v>
      </c>
      <c r="D156" s="4">
        <f ca="1">'Total Distance Tables Sup #2'!D156</f>
        <v>0</v>
      </c>
      <c r="E156" s="4">
        <f ca="1">'Total Distance Tables Sup #2'!E156</f>
        <v>0</v>
      </c>
      <c r="F156" s="4">
        <f ca="1">'Total Distance Tables Sup #2'!F156</f>
        <v>0</v>
      </c>
      <c r="G156" s="4">
        <f ca="1">'Total Distance Tables Sup #2'!G156</f>
        <v>0</v>
      </c>
      <c r="H156" s="4">
        <f ca="1">'Total Distance Tables Sup #2'!H156</f>
        <v>0</v>
      </c>
      <c r="I156" s="1">
        <f ca="1">'Total Distance Tables Sup #2'!I156</f>
        <v>0</v>
      </c>
      <c r="J156" s="1">
        <f ca="1">'Total Distance Tables Sup #2'!J156</f>
        <v>0</v>
      </c>
      <c r="K156" s="1">
        <f ca="1">'Total Distance Tables Sup #2'!K156</f>
        <v>0</v>
      </c>
    </row>
    <row r="157" spans="1:11" x14ac:dyDescent="0.25">
      <c r="A157" t="str">
        <f ca="1">OFFSET(Southland_Reference,49,2)</f>
        <v>Other Household Travel</v>
      </c>
      <c r="B157" s="4">
        <f ca="1">'Total Distance Tables Sup #2'!B157</f>
        <v>0</v>
      </c>
      <c r="C157" s="4">
        <f ca="1">'Total Distance Tables Sup #2'!C157</f>
        <v>0</v>
      </c>
      <c r="D157" s="4">
        <f ca="1">'Total Distance Tables Sup #2'!D157</f>
        <v>0</v>
      </c>
      <c r="E157" s="4">
        <f ca="1">'Total Distance Tables Sup #2'!E157</f>
        <v>0</v>
      </c>
      <c r="F157" s="4">
        <f ca="1">'Total Distance Tables Sup #2'!F157</f>
        <v>0</v>
      </c>
      <c r="G157" s="4">
        <f ca="1">'Total Distance Tables Sup #2'!G157</f>
        <v>0</v>
      </c>
      <c r="H157" s="4">
        <f ca="1">'Total Distance Tables Sup #2'!H157</f>
        <v>0</v>
      </c>
      <c r="I157" s="1">
        <f ca="1">'Total Distance Tables Sup #2'!I157</f>
        <v>0</v>
      </c>
      <c r="J157" s="1">
        <f ca="1">'Total Distance Tables Sup #2'!J157</f>
        <v>0</v>
      </c>
      <c r="K157" s="1">
        <f ca="1">'Total Distance Tables Sup #2'!K157</f>
        <v>0</v>
      </c>
    </row>
    <row r="158" spans="1:11" x14ac:dyDescent="0.25">
      <c r="A158" t="s">
        <v>103</v>
      </c>
      <c r="B158" s="1">
        <f ca="1">SUM(B159:B168)</f>
        <v>50519.628342710188</v>
      </c>
      <c r="C158" s="1">
        <f t="shared" ref="C158:H158" ca="1" si="0">SUM(C159:C168)</f>
        <v>55416.181027721323</v>
      </c>
      <c r="D158" s="1">
        <f t="shared" ca="1" si="0"/>
        <v>58108.447359427606</v>
      </c>
      <c r="E158" s="1">
        <f t="shared" ca="1" si="0"/>
        <v>60257.598112021595</v>
      </c>
      <c r="F158" s="1">
        <f t="shared" ca="1" si="0"/>
        <v>61887.860803296135</v>
      </c>
      <c r="G158" s="1">
        <f t="shared" ca="1" si="0"/>
        <v>62910.612812913867</v>
      </c>
      <c r="H158" s="1">
        <f t="shared" ca="1" si="0"/>
        <v>63604.607196930934</v>
      </c>
      <c r="I158" s="1">
        <f t="shared" ref="I158:K158" ca="1" si="1">SUM(I159:I168)</f>
        <v>64530.275022057402</v>
      </c>
      <c r="J158" s="1">
        <f t="shared" ca="1" si="1"/>
        <v>65261.658653857899</v>
      </c>
      <c r="K158" s="1">
        <f t="shared" ca="1" si="1"/>
        <v>65861.262474864925</v>
      </c>
    </row>
    <row r="159" spans="1:11" x14ac:dyDescent="0.25">
      <c r="A159" t="str">
        <f t="shared" ref="A159:A165" ca="1" si="2">A5</f>
        <v>Pedestrian</v>
      </c>
      <c r="B159" s="4">
        <f t="shared" ref="B159:H168" ca="1" si="3">B5+B16+B27+B38+B49+B60+B71+B82+B93+B104+B115+B126+B137+B148</f>
        <v>807.42091028530001</v>
      </c>
      <c r="C159" s="4">
        <f t="shared" ca="1" si="3"/>
        <v>871.00044229589594</v>
      </c>
      <c r="D159" s="4">
        <f t="shared" ca="1" si="3"/>
        <v>1084.2003389440567</v>
      </c>
      <c r="E159" s="4">
        <f t="shared" ca="1" si="3"/>
        <v>1165.8888268380254</v>
      </c>
      <c r="F159" s="4">
        <f t="shared" ca="1" si="3"/>
        <v>1236.2885811179519</v>
      </c>
      <c r="G159" s="4">
        <f t="shared" ca="1" si="3"/>
        <v>1293.113345213435</v>
      </c>
      <c r="H159" s="4">
        <f t="shared" ca="1" si="3"/>
        <v>1342.0102549535409</v>
      </c>
      <c r="I159" s="1">
        <f t="shared" ref="I159:K159" ca="1" si="4">I5+I16+I27+I38+I49+I60+I71+I82+I93+I104+I115+I126+I137+I148</f>
        <v>1365.6425970325026</v>
      </c>
      <c r="J159" s="1">
        <f t="shared" ca="1" si="4"/>
        <v>1382.0775457444813</v>
      </c>
      <c r="K159" s="1">
        <f t="shared" ca="1" si="4"/>
        <v>1391.3229492102337</v>
      </c>
    </row>
    <row r="160" spans="1:11" x14ac:dyDescent="0.25">
      <c r="A160" t="str">
        <f t="shared" ca="1" si="2"/>
        <v>Cyclist</v>
      </c>
      <c r="B160" s="4">
        <f t="shared" ca="1" si="3"/>
        <v>312.57850166600002</v>
      </c>
      <c r="C160" s="4">
        <f t="shared" ca="1" si="3"/>
        <v>346.46935369549311</v>
      </c>
      <c r="D160" s="4">
        <f t="shared" ca="1" si="3"/>
        <v>599.53393331065138</v>
      </c>
      <c r="E160" s="4">
        <f t="shared" ca="1" si="3"/>
        <v>771.72938701457667</v>
      </c>
      <c r="F160" s="4">
        <f t="shared" ca="1" si="3"/>
        <v>955.24246014361859</v>
      </c>
      <c r="G160" s="4">
        <f t="shared" ca="1" si="3"/>
        <v>1154.1419313227198</v>
      </c>
      <c r="H160" s="4">
        <f t="shared" ca="1" si="3"/>
        <v>1364.0253276014787</v>
      </c>
      <c r="I160" s="1">
        <f t="shared" ref="I160:K160" ca="1" si="5">I6+I17+I28+I39+I50+I61+I72+I83+I94+I105+I116+I127+I138+I149</f>
        <v>1393.1755786028616</v>
      </c>
      <c r="J160" s="1">
        <f t="shared" ca="1" si="5"/>
        <v>1416.5550936304517</v>
      </c>
      <c r="K160" s="1">
        <f t="shared" ca="1" si="5"/>
        <v>1434.6701258229853</v>
      </c>
    </row>
    <row r="161" spans="1:11" x14ac:dyDescent="0.25">
      <c r="A161" t="str">
        <f t="shared" ca="1" si="2"/>
        <v>Light Vehicle Driver</v>
      </c>
      <c r="B161" s="4">
        <f t="shared" ca="1" si="3"/>
        <v>30373.708042980001</v>
      </c>
      <c r="C161" s="4">
        <f t="shared" ca="1" si="3"/>
        <v>33771.460410071355</v>
      </c>
      <c r="D161" s="4">
        <f t="shared" ca="1" si="3"/>
        <v>32225.337633656371</v>
      </c>
      <c r="E161" s="4">
        <f t="shared" ca="1" si="3"/>
        <v>29617.183202180815</v>
      </c>
      <c r="F161" s="4">
        <f t="shared" ca="1" si="3"/>
        <v>26815.981978399577</v>
      </c>
      <c r="G161" s="4">
        <f t="shared" ca="1" si="3"/>
        <v>23732.855128992127</v>
      </c>
      <c r="H161" s="4">
        <f t="shared" ca="1" si="3"/>
        <v>20482.4588974369</v>
      </c>
      <c r="I161" s="1">
        <f t="shared" ref="I161:K161" ca="1" si="6">I7+I18+I29+I40+I51+I62+I73+I84+I95+I106+I117+I128+I139+I150</f>
        <v>17156.245720461025</v>
      </c>
      <c r="J161" s="1">
        <f t="shared" ca="1" si="6"/>
        <v>13775.149793992456</v>
      </c>
      <c r="K161" s="1">
        <f t="shared" ca="1" si="6"/>
        <v>13828.53079453192</v>
      </c>
    </row>
    <row r="162" spans="1:11" x14ac:dyDescent="0.25">
      <c r="A162" t="str">
        <f t="shared" ca="1" si="2"/>
        <v>Light Vehicle Passenger</v>
      </c>
      <c r="B162" s="4">
        <f t="shared" ca="1" si="3"/>
        <v>17104.323927279998</v>
      </c>
      <c r="C162" s="4">
        <f t="shared" ca="1" si="3"/>
        <v>18240.852732944768</v>
      </c>
      <c r="D162" s="4">
        <f t="shared" ca="1" si="3"/>
        <v>19152.062584664534</v>
      </c>
      <c r="E162" s="4">
        <f t="shared" ca="1" si="3"/>
        <v>17537.235446770181</v>
      </c>
      <c r="F162" s="4">
        <f t="shared" ca="1" si="3"/>
        <v>15772.357050865661</v>
      </c>
      <c r="G162" s="4">
        <f t="shared" ca="1" si="3"/>
        <v>13825.720488590136</v>
      </c>
      <c r="H162" s="4">
        <f t="shared" ca="1" si="3"/>
        <v>11803.231334220454</v>
      </c>
      <c r="I162" s="1">
        <f t="shared" ref="I162:K162" ca="1" si="7">I8+I19+I30+I41+I52+I63+I74+I85+I96+I107+I118+I129+I140+I151</f>
        <v>9978.5721089363724</v>
      </c>
      <c r="J162" s="1">
        <f t="shared" ca="1" si="7"/>
        <v>8066.0675037307064</v>
      </c>
      <c r="K162" s="1">
        <f t="shared" ca="1" si="7"/>
        <v>8122.7739249478518</v>
      </c>
    </row>
    <row r="163" spans="1:11" x14ac:dyDescent="0.25">
      <c r="A163" t="str">
        <f t="shared" ca="1" si="2"/>
        <v>Taxi/Vehicle Share</v>
      </c>
      <c r="B163" s="4">
        <f t="shared" ca="1" si="3"/>
        <v>102.6492410403</v>
      </c>
      <c r="C163" s="4">
        <f t="shared" ca="1" si="3"/>
        <v>119.57190425653236</v>
      </c>
      <c r="D163" s="4">
        <f t="shared" ca="1" si="3"/>
        <v>132.54951308341501</v>
      </c>
      <c r="E163" s="4">
        <f t="shared" ca="1" si="3"/>
        <v>5383.2040712652906</v>
      </c>
      <c r="F163" s="4">
        <f t="shared" ca="1" si="3"/>
        <v>10800.425327513303</v>
      </c>
      <c r="G163" s="4">
        <f t="shared" ca="1" si="3"/>
        <v>16256.737777105041</v>
      </c>
      <c r="H163" s="4">
        <f t="shared" ca="1" si="3"/>
        <v>21690.155880221842</v>
      </c>
      <c r="I163" s="1">
        <f t="shared" ref="I163:K163" ca="1" si="8">I9+I20+I31+I42+I53+I64+I75+I86+I97+I108+I119+I130+I141+I152</f>
        <v>27302.974936304072</v>
      </c>
      <c r="J163" s="1">
        <f t="shared" ca="1" si="8"/>
        <v>32931.238483456524</v>
      </c>
      <c r="K163" s="1">
        <f t="shared" ca="1" si="8"/>
        <v>33097.247335043328</v>
      </c>
    </row>
    <row r="164" spans="1:11" x14ac:dyDescent="0.25">
      <c r="A164" t="str">
        <f t="shared" ca="1" si="2"/>
        <v>Motorcyclist</v>
      </c>
      <c r="B164" s="4">
        <f t="shared" ca="1" si="3"/>
        <v>249.6655534436</v>
      </c>
      <c r="C164" s="4">
        <f t="shared" ca="1" si="3"/>
        <v>275.20809012322155</v>
      </c>
      <c r="D164" s="4">
        <f t="shared" ca="1" si="3"/>
        <v>287.93031438028066</v>
      </c>
      <c r="E164" s="4">
        <f t="shared" ca="1" si="3"/>
        <v>293.83053838038285</v>
      </c>
      <c r="F164" s="4">
        <f t="shared" ca="1" si="3"/>
        <v>296.29625680858624</v>
      </c>
      <c r="G164" s="4">
        <f t="shared" ca="1" si="3"/>
        <v>293.11165324482749</v>
      </c>
      <c r="H164" s="4">
        <f t="shared" ca="1" si="3"/>
        <v>288.23479369652205</v>
      </c>
      <c r="I164" s="1">
        <f t="shared" ref="I164:K164" ca="1" si="9">I10+I21+I32+I43+I54+I65+I76+I87+I98+I109+I120+I131+I142+I153</f>
        <v>293.21592223911671</v>
      </c>
      <c r="J164" s="1">
        <f t="shared" ca="1" si="9"/>
        <v>297.35214818656112</v>
      </c>
      <c r="K164" s="1">
        <f t="shared" ca="1" si="9"/>
        <v>300.91388109117537</v>
      </c>
    </row>
    <row r="165" spans="1:11" x14ac:dyDescent="0.25">
      <c r="A165" t="str">
        <f t="shared" ca="1" si="2"/>
        <v>Local Train</v>
      </c>
      <c r="B165" s="4">
        <f t="shared" ca="1" si="3"/>
        <v>456.51929399999995</v>
      </c>
      <c r="C165" s="4">
        <f t="shared" ca="1" si="3"/>
        <v>642.43209659630065</v>
      </c>
      <c r="D165" s="4">
        <f t="shared" ca="1" si="3"/>
        <v>1456.8233597844596</v>
      </c>
      <c r="E165" s="4">
        <f t="shared" ca="1" si="3"/>
        <v>1851.0269956073962</v>
      </c>
      <c r="F165" s="4">
        <f t="shared" ca="1" si="3"/>
        <v>2048.1158466391139</v>
      </c>
      <c r="G165" s="4">
        <f t="shared" ca="1" si="3"/>
        <v>2200.9684678812328</v>
      </c>
      <c r="H165" s="4">
        <f t="shared" ca="1" si="3"/>
        <v>2332.0725796462216</v>
      </c>
      <c r="I165" s="1">
        <f t="shared" ref="I165:K165" ca="1" si="10">I11+I22+I33+I44+I55+I66+I77+I88+I99+I110+I121+I132+I143+I154</f>
        <v>2502.1994078681855</v>
      </c>
      <c r="J165" s="1">
        <f t="shared" ca="1" si="10"/>
        <v>2664.1409469328401</v>
      </c>
      <c r="K165" s="1">
        <f t="shared" ca="1" si="10"/>
        <v>2820.8486786537665</v>
      </c>
    </row>
    <row r="166" spans="1:11" x14ac:dyDescent="0.25">
      <c r="A166" t="s">
        <v>20</v>
      </c>
      <c r="B166" s="4">
        <f t="shared" ca="1" si="3"/>
        <v>1110.9386781444002</v>
      </c>
      <c r="C166" s="4">
        <f t="shared" ca="1" si="3"/>
        <v>1147.3234482146074</v>
      </c>
      <c r="D166" s="4">
        <f t="shared" ca="1" si="3"/>
        <v>3168.2378363496118</v>
      </c>
      <c r="E166" s="4">
        <f t="shared" ca="1" si="3"/>
        <v>3635.4822179793714</v>
      </c>
      <c r="F166" s="4">
        <f t="shared" ca="1" si="3"/>
        <v>3961.0213942409846</v>
      </c>
      <c r="G166" s="4">
        <f t="shared" ca="1" si="3"/>
        <v>4151.8646830363914</v>
      </c>
      <c r="H166" s="4">
        <f t="shared" ca="1" si="3"/>
        <v>4300.3988647280812</v>
      </c>
      <c r="I166" s="1">
        <f t="shared" ref="I166:K166" ca="1" si="11">I12+I23+I34+I45+I56+I67+I78+I89+I100+I111+I122+I133+I144+I155</f>
        <v>4536.2281867967167</v>
      </c>
      <c r="J166" s="1">
        <f t="shared" ca="1" si="11"/>
        <v>4727.0620977246581</v>
      </c>
      <c r="K166" s="1">
        <f t="shared" ca="1" si="11"/>
        <v>4862.9500114270249</v>
      </c>
    </row>
    <row r="167" spans="1:11" x14ac:dyDescent="0.25">
      <c r="A167" t="str">
        <f ca="1">A13</f>
        <v>Local Ferry</v>
      </c>
      <c r="B167" s="4">
        <f t="shared" ca="1" si="3"/>
        <v>0</v>
      </c>
      <c r="C167" s="4">
        <f t="shared" ca="1" si="3"/>
        <v>0</v>
      </c>
      <c r="D167" s="4">
        <f t="shared" ca="1" si="3"/>
        <v>0</v>
      </c>
      <c r="E167" s="4">
        <f t="shared" ca="1" si="3"/>
        <v>0</v>
      </c>
      <c r="F167" s="4">
        <f t="shared" ca="1" si="3"/>
        <v>0</v>
      </c>
      <c r="G167" s="4">
        <f t="shared" ca="1" si="3"/>
        <v>0</v>
      </c>
      <c r="H167" s="4">
        <f t="shared" ca="1" si="3"/>
        <v>0</v>
      </c>
      <c r="I167" s="1">
        <f t="shared" ref="I167:K167" ca="1" si="12">I13+I24+I35+I46+I57+I68+I79+I90+I101+I112+I123+I134+I145+I156</f>
        <v>0</v>
      </c>
      <c r="J167" s="1">
        <f t="shared" ca="1" si="12"/>
        <v>0</v>
      </c>
      <c r="K167" s="1">
        <f t="shared" ca="1" si="12"/>
        <v>0</v>
      </c>
    </row>
    <row r="168" spans="1:11" x14ac:dyDescent="0.25">
      <c r="A168" t="str">
        <f ca="1">A14</f>
        <v>Other Household Travel</v>
      </c>
      <c r="B168" s="4">
        <f t="shared" ca="1" si="3"/>
        <v>1.8241938706</v>
      </c>
      <c r="C168" s="4">
        <f t="shared" ca="1" si="3"/>
        <v>1.8625495231541189</v>
      </c>
      <c r="D168" s="4">
        <f t="shared" ca="1" si="3"/>
        <v>1.7718452542225991</v>
      </c>
      <c r="E168" s="4">
        <f t="shared" ca="1" si="3"/>
        <v>2.0174259855609571</v>
      </c>
      <c r="F168" s="4">
        <f t="shared" ca="1" si="3"/>
        <v>2.1319075673452783</v>
      </c>
      <c r="G168" s="4">
        <f t="shared" ca="1" si="3"/>
        <v>2.0993375279487907</v>
      </c>
      <c r="H168" s="4">
        <f t="shared" ca="1" si="3"/>
        <v>2.0192644258930623</v>
      </c>
      <c r="I168" s="1">
        <f t="shared" ref="I168:K168" ca="1" si="13">I14+I25+I36+I47+I58+I69+I80+I91+I102+I113+I124+I135+I146+I157</f>
        <v>2.0205638165371811</v>
      </c>
      <c r="J168" s="1">
        <f t="shared" ca="1" si="13"/>
        <v>2.0150404592219475</v>
      </c>
      <c r="K168" s="1">
        <f t="shared" ca="1" si="13"/>
        <v>2.0047741366401359</v>
      </c>
    </row>
    <row r="169" spans="1:11" x14ac:dyDescent="0.25">
      <c r="A169" t="s">
        <v>108</v>
      </c>
      <c r="I169" s="1"/>
      <c r="J169" s="1"/>
      <c r="K169" s="1"/>
    </row>
    <row r="170" spans="1:11" x14ac:dyDescent="0.25">
      <c r="A170" t="s">
        <v>103</v>
      </c>
      <c r="B170" s="1">
        <f ca="1">SUM(B171:B177)</f>
        <v>50519.628342710203</v>
      </c>
      <c r="C170" s="1">
        <f t="shared" ref="C170:H170" ca="1" si="14">SUM(C171:C177)</f>
        <v>55416.18102772133</v>
      </c>
      <c r="D170" s="1">
        <f t="shared" ca="1" si="14"/>
        <v>58108.447359427606</v>
      </c>
      <c r="E170" s="1">
        <f t="shared" ca="1" si="14"/>
        <v>60257.598112021595</v>
      </c>
      <c r="F170" s="1">
        <f t="shared" ca="1" si="14"/>
        <v>61887.860803296142</v>
      </c>
      <c r="G170" s="1">
        <f t="shared" ca="1" si="14"/>
        <v>62910.612812913867</v>
      </c>
      <c r="H170" s="1">
        <f t="shared" ca="1" si="14"/>
        <v>63604.607196930927</v>
      </c>
      <c r="I170" s="1">
        <f t="shared" ref="I170:K170" ca="1" si="15">SUM(I171:I177)</f>
        <v>64530.275022057387</v>
      </c>
      <c r="J170" s="1">
        <f t="shared" ca="1" si="15"/>
        <v>65261.658653857907</v>
      </c>
      <c r="K170" s="1">
        <f t="shared" ca="1" si="15"/>
        <v>65861.26247486494</v>
      </c>
    </row>
    <row r="171" spans="1:11" x14ac:dyDescent="0.25">
      <c r="A171" t="s">
        <v>62</v>
      </c>
      <c r="B171" s="1">
        <f ca="1">B159</f>
        <v>807.42091028530001</v>
      </c>
      <c r="C171" s="1">
        <f t="shared" ref="C171:H172" ca="1" si="16">C159</f>
        <v>871.00044229589594</v>
      </c>
      <c r="D171" s="1">
        <f t="shared" ca="1" si="16"/>
        <v>1084.2003389440567</v>
      </c>
      <c r="E171" s="1">
        <f t="shared" ca="1" si="16"/>
        <v>1165.8888268380254</v>
      </c>
      <c r="F171" s="1">
        <f t="shared" ca="1" si="16"/>
        <v>1236.2885811179519</v>
      </c>
      <c r="G171" s="1">
        <f t="shared" ca="1" si="16"/>
        <v>1293.113345213435</v>
      </c>
      <c r="H171" s="1">
        <f t="shared" ca="1" si="16"/>
        <v>1342.0102549535409</v>
      </c>
      <c r="I171" s="1">
        <f t="shared" ref="I171:K171" ca="1" si="17">I159</f>
        <v>1365.6425970325026</v>
      </c>
      <c r="J171" s="1">
        <f t="shared" ca="1" si="17"/>
        <v>1382.0775457444813</v>
      </c>
      <c r="K171" s="1">
        <f t="shared" ca="1" si="17"/>
        <v>1391.3229492102337</v>
      </c>
    </row>
    <row r="172" spans="1:11" x14ac:dyDescent="0.25">
      <c r="A172" t="s">
        <v>63</v>
      </c>
      <c r="B172" s="1">
        <f ca="1">B160</f>
        <v>312.57850166600002</v>
      </c>
      <c r="C172" s="1">
        <f t="shared" ca="1" si="16"/>
        <v>346.46935369549311</v>
      </c>
      <c r="D172" s="1">
        <f t="shared" ca="1" si="16"/>
        <v>599.53393331065138</v>
      </c>
      <c r="E172" s="1">
        <f t="shared" ca="1" si="16"/>
        <v>771.72938701457667</v>
      </c>
      <c r="F172" s="1">
        <f t="shared" ca="1" si="16"/>
        <v>955.24246014361859</v>
      </c>
      <c r="G172" s="1">
        <f t="shared" ca="1" si="16"/>
        <v>1154.1419313227198</v>
      </c>
      <c r="H172" s="1">
        <f t="shared" ca="1" si="16"/>
        <v>1364.0253276014787</v>
      </c>
      <c r="I172" s="1">
        <f t="shared" ref="I172:K172" ca="1" si="18">I160</f>
        <v>1393.1755786028616</v>
      </c>
      <c r="J172" s="1">
        <f t="shared" ca="1" si="18"/>
        <v>1416.5550936304517</v>
      </c>
      <c r="K172" s="1">
        <f t="shared" ca="1" si="18"/>
        <v>1434.6701258229853</v>
      </c>
    </row>
    <row r="173" spans="1:11" x14ac:dyDescent="0.25">
      <c r="A173" t="s">
        <v>104</v>
      </c>
      <c r="B173" s="1">
        <f ca="1">B165</f>
        <v>456.51929399999995</v>
      </c>
      <c r="C173" s="1">
        <f t="shared" ref="C173:H174" ca="1" si="19">C165</f>
        <v>642.43209659630065</v>
      </c>
      <c r="D173" s="1">
        <f t="shared" ca="1" si="19"/>
        <v>1456.8233597844596</v>
      </c>
      <c r="E173" s="1">
        <f t="shared" ca="1" si="19"/>
        <v>1851.0269956073962</v>
      </c>
      <c r="F173" s="1">
        <f t="shared" ca="1" si="19"/>
        <v>2048.1158466391139</v>
      </c>
      <c r="G173" s="1">
        <f t="shared" ca="1" si="19"/>
        <v>2200.9684678812328</v>
      </c>
      <c r="H173" s="1">
        <f t="shared" ca="1" si="19"/>
        <v>2332.0725796462216</v>
      </c>
      <c r="I173" s="1">
        <f t="shared" ref="I173:K173" ca="1" si="20">I165</f>
        <v>2502.1994078681855</v>
      </c>
      <c r="J173" s="1">
        <f t="shared" ca="1" si="20"/>
        <v>2664.1409469328401</v>
      </c>
      <c r="K173" s="1">
        <f t="shared" ca="1" si="20"/>
        <v>2820.8486786537665</v>
      </c>
    </row>
    <row r="174" spans="1:11" x14ac:dyDescent="0.25">
      <c r="A174" t="s">
        <v>20</v>
      </c>
      <c r="B174" s="1">
        <f ca="1">B166</f>
        <v>1110.9386781444002</v>
      </c>
      <c r="C174" s="1">
        <f t="shared" ca="1" si="19"/>
        <v>1147.3234482146074</v>
      </c>
      <c r="D174" s="1">
        <f t="shared" ca="1" si="19"/>
        <v>3168.2378363496118</v>
      </c>
      <c r="E174" s="1">
        <f t="shared" ca="1" si="19"/>
        <v>3635.4822179793714</v>
      </c>
      <c r="F174" s="1">
        <f t="shared" ca="1" si="19"/>
        <v>3961.0213942409846</v>
      </c>
      <c r="G174" s="1">
        <f t="shared" ca="1" si="19"/>
        <v>4151.8646830363914</v>
      </c>
      <c r="H174" s="1">
        <f t="shared" ca="1" si="19"/>
        <v>4300.3988647280812</v>
      </c>
      <c r="I174" s="1">
        <f t="shared" ref="I174:K174" ca="1" si="21">I166</f>
        <v>4536.2281867967167</v>
      </c>
      <c r="J174" s="1">
        <f t="shared" ca="1" si="21"/>
        <v>4727.0620977246581</v>
      </c>
      <c r="K174" s="1">
        <f t="shared" ca="1" si="21"/>
        <v>4862.9500114270249</v>
      </c>
    </row>
    <row r="175" spans="1:11" x14ac:dyDescent="0.25">
      <c r="A175" t="s">
        <v>105</v>
      </c>
      <c r="B175" s="1">
        <f ca="1">'Total Distance Tables Sup #2'!B9+'Total Distance Tables Sup #2'!B20+'Total Distance Tables Sup #2'!B31+'Total Distance Tables Sup #2'!B42+'Total Distance Tables Sup #2'!B53+'Total Distance Tables Sup #2'!B64+'Total Distance Tables Sup #2'!B75+'Total Distance Tables Sup #2'!B86+'Total Distance Tables Sup #2'!B97+'Total Distance Tables Sup #2'!B108+'Total Distance Tables Sup #2'!B119+'Total Distance Tables Sup #2'!B130+'Total Distance Tables Sup #2'!B141+'Total Distance Tables Sup #2'!B152+B164+B167+B168</f>
        <v>354.13898835450004</v>
      </c>
      <c r="C175" s="1">
        <f ca="1">'Total Distance Tables Sup #2'!C9+'Total Distance Tables Sup #2'!C20+'Total Distance Tables Sup #2'!C31+'Total Distance Tables Sup #2'!C42+'Total Distance Tables Sup #2'!C53+'Total Distance Tables Sup #2'!C64+'Total Distance Tables Sup #2'!C75+'Total Distance Tables Sup #2'!C86+'Total Distance Tables Sup #2'!C97+'Total Distance Tables Sup #2'!C108+'Total Distance Tables Sup #2'!C119+'Total Distance Tables Sup #2'!C130+'Total Distance Tables Sup #2'!C141+'Total Distance Tables Sup #2'!C152+C164+C167+C168</f>
        <v>396.64254390290807</v>
      </c>
      <c r="D175" s="1">
        <f ca="1">'Total Distance Tables Sup #2'!D9+'Total Distance Tables Sup #2'!D20+'Total Distance Tables Sup #2'!D31+'Total Distance Tables Sup #2'!D42+'Total Distance Tables Sup #2'!D53+'Total Distance Tables Sup #2'!D64+'Total Distance Tables Sup #2'!D75+'Total Distance Tables Sup #2'!D86+'Total Distance Tables Sup #2'!D97+'Total Distance Tables Sup #2'!D108+'Total Distance Tables Sup #2'!D119+'Total Distance Tables Sup #2'!D130+'Total Distance Tables Sup #2'!D141+'Total Distance Tables Sup #2'!D152+D164+D167+D168</f>
        <v>422.25167271791827</v>
      </c>
      <c r="E175" s="1">
        <f ca="1">'Total Distance Tables Sup #2'!E9+'Total Distance Tables Sup #2'!E20+'Total Distance Tables Sup #2'!E31+'Total Distance Tables Sup #2'!E42+'Total Distance Tables Sup #2'!E53+'Total Distance Tables Sup #2'!E64+'Total Distance Tables Sup #2'!E75+'Total Distance Tables Sup #2'!E86+'Total Distance Tables Sup #2'!E97+'Total Distance Tables Sup #2'!E108+'Total Distance Tables Sup #2'!E119+'Total Distance Tables Sup #2'!E130+'Total Distance Tables Sup #2'!E141+'Total Distance Tables Sup #2'!E152+E164+E167+E168</f>
        <v>439.67218574778985</v>
      </c>
      <c r="F175" s="1">
        <f ca="1">'Total Distance Tables Sup #2'!F9+'Total Distance Tables Sup #2'!F20+'Total Distance Tables Sup #2'!F31+'Total Distance Tables Sup #2'!F42+'Total Distance Tables Sup #2'!F53+'Total Distance Tables Sup #2'!F64+'Total Distance Tables Sup #2'!F75+'Total Distance Tables Sup #2'!F86+'Total Distance Tables Sup #2'!F97+'Total Distance Tables Sup #2'!F108+'Total Distance Tables Sup #2'!F119+'Total Distance Tables Sup #2'!F130+'Total Distance Tables Sup #2'!F141+'Total Distance Tables Sup #2'!F152+F164+F167+F168</f>
        <v>451.7687345729255</v>
      </c>
      <c r="G175" s="1">
        <f ca="1">'Total Distance Tables Sup #2'!G9+'Total Distance Tables Sup #2'!G20+'Total Distance Tables Sup #2'!G31+'Total Distance Tables Sup #2'!G42+'Total Distance Tables Sup #2'!G53+'Total Distance Tables Sup #2'!G64+'Total Distance Tables Sup #2'!G75+'Total Distance Tables Sup #2'!G86+'Total Distance Tables Sup #2'!G97+'Total Distance Tables Sup #2'!G108+'Total Distance Tables Sup #2'!G119+'Total Distance Tables Sup #2'!G130+'Total Distance Tables Sup #2'!G141+'Total Distance Tables Sup #2'!G152+G164+G167+G168</f>
        <v>455.41636034256362</v>
      </c>
      <c r="H175" s="1">
        <f ca="1">'Total Distance Tables Sup #2'!H9+'Total Distance Tables Sup #2'!H20+'Total Distance Tables Sup #2'!H31+'Total Distance Tables Sup #2'!H42+'Total Distance Tables Sup #2'!H53+'Total Distance Tables Sup #2'!H64+'Total Distance Tables Sup #2'!H75+'Total Distance Tables Sup #2'!H86+'Total Distance Tables Sup #2'!H97+'Total Distance Tables Sup #2'!H108+'Total Distance Tables Sup #2'!H119+'Total Distance Tables Sup #2'!H130+'Total Distance Tables Sup #2'!H141+'Total Distance Tables Sup #2'!H152+H164+H167+H168</f>
        <v>456.61645057268413</v>
      </c>
      <c r="I175" s="1">
        <f ca="1">'Total Distance Tables Sup #2'!I9+'Total Distance Tables Sup #2'!I20+'Total Distance Tables Sup #2'!I31+'Total Distance Tables Sup #2'!I42+'Total Distance Tables Sup #2'!I53+'Total Distance Tables Sup #2'!I64+'Total Distance Tables Sup #2'!I75+'Total Distance Tables Sup #2'!I86+'Total Distance Tables Sup #2'!I97+'Total Distance Tables Sup #2'!I108+'Total Distance Tables Sup #2'!I119+'Total Distance Tables Sup #2'!I130+'Total Distance Tables Sup #2'!I141+'Total Distance Tables Sup #2'!I152+I164+I167+I168</f>
        <v>463.39359296232618</v>
      </c>
      <c r="J175" s="1">
        <f ca="1">'Total Distance Tables Sup #2'!J9+'Total Distance Tables Sup #2'!J20+'Total Distance Tables Sup #2'!J31+'Total Distance Tables Sup #2'!J42+'Total Distance Tables Sup #2'!J53+'Total Distance Tables Sup #2'!J64+'Total Distance Tables Sup #2'!J75+'Total Distance Tables Sup #2'!J86+'Total Distance Tables Sup #2'!J97+'Total Distance Tables Sup #2'!J108+'Total Distance Tables Sup #2'!J119+'Total Distance Tables Sup #2'!J130+'Total Distance Tables Sup #2'!J141+'Total Distance Tables Sup #2'!J152+J164+J167+J168</f>
        <v>468.77972551756136</v>
      </c>
      <c r="K175" s="1">
        <f ca="1">'Total Distance Tables Sup #2'!K9+'Total Distance Tables Sup #2'!K20+'Total Distance Tables Sup #2'!K31+'Total Distance Tables Sup #2'!K42+'Total Distance Tables Sup #2'!K53+'Total Distance Tables Sup #2'!K64+'Total Distance Tables Sup #2'!K75+'Total Distance Tables Sup #2'!K86+'Total Distance Tables Sup #2'!K97+'Total Distance Tables Sup #2'!K108+'Total Distance Tables Sup #2'!K119+'Total Distance Tables Sup #2'!K130+'Total Distance Tables Sup #2'!K141+'Total Distance Tables Sup #2'!K152+K164+K167+K168</f>
        <v>473.20891105149809</v>
      </c>
    </row>
    <row r="176" spans="1:11" x14ac:dyDescent="0.25">
      <c r="A176" t="s">
        <v>106</v>
      </c>
      <c r="B176" s="1">
        <f ca="1">B7+B18+B29+B40+B51+B62+B73+B84+B95+B106+B117+B128+B139+B150</f>
        <v>30373.708042980001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33771.460410071355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32225.337633656371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32907.981335756456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33519.977472999468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33904.078755703042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34137.431495728168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34312.491440922051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34437.874484981148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34571.326986329797</v>
      </c>
    </row>
    <row r="177" spans="1:11" x14ac:dyDescent="0.25">
      <c r="A177" t="s">
        <v>107</v>
      </c>
      <c r="B177" s="1">
        <f ca="1">B8+B19+B30+B41+B52+B63+B74+B85+B96+B107+B118+B129+B140+B151</f>
        <v>17104.323927279998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18240.852732944768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19152.062584664534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19485.817163077976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19715.446313582077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19751.029269414477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19672.052223700757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19957.144217872745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20165.168759326763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20306.934812369633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K177"/>
  <sheetViews>
    <sheetView topLeftCell="A115" workbookViewId="0">
      <selection activeCell="H24" sqref="H24"/>
    </sheetView>
  </sheetViews>
  <sheetFormatPr defaultRowHeight="12.5" x14ac:dyDescent="0.25"/>
  <cols>
    <col min="1" max="1" width="26.1796875" customWidth="1"/>
    <col min="9" max="11" width="10.26953125" bestFit="1" customWidth="1"/>
  </cols>
  <sheetData>
    <row r="2" spans="1:11" ht="13" x14ac:dyDescent="0.3">
      <c r="A2" s="3" t="s">
        <v>14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'Total Duration Tables Sup #2'!B5</f>
        <v>5.0772161771000004</v>
      </c>
      <c r="C5" s="4">
        <f ca="1">'Total Duration Tables Sup #2'!C5</f>
        <v>5.3349820109090897</v>
      </c>
      <c r="D5" s="4">
        <f ca="1">'Total Duration Tables Sup #2'!D5</f>
        <v>5.7738683644079227</v>
      </c>
      <c r="E5" s="4">
        <f ca="1">'Total Duration Tables Sup #2'!E5</f>
        <v>6.1287323457807457</v>
      </c>
      <c r="F5" s="4">
        <f ca="1">'Total Duration Tables Sup #2'!F5</f>
        <v>6.4101752945505259</v>
      </c>
      <c r="G5" s="4">
        <f ca="1">'Total Duration Tables Sup #2'!G5</f>
        <v>6.6519416823522777</v>
      </c>
      <c r="H5" s="4">
        <f ca="1">'Total Duration Tables Sup #2'!H5</f>
        <v>6.8534910454608555</v>
      </c>
      <c r="I5" s="1">
        <f ca="1">'Total Duration Tables Sup #2'!I5</f>
        <v>6.8805496189979234</v>
      </c>
      <c r="J5" s="1">
        <f ca="1">'Total Duration Tables Sup #2'!J5</f>
        <v>6.8857965376246932</v>
      </c>
      <c r="K5" s="1">
        <f ca="1">'Total Duration Tables Sup #2'!K5</f>
        <v>6.8763066795847259</v>
      </c>
    </row>
    <row r="6" spans="1:11" x14ac:dyDescent="0.25">
      <c r="A6" t="str">
        <f ca="1">OFFSET(Northland_Reference,7,2)</f>
        <v>Cyclist</v>
      </c>
      <c r="B6" s="4">
        <f ca="1">'Total Duration Tables Sup #2'!B6</f>
        <v>0.15772883609999999</v>
      </c>
      <c r="C6" s="4">
        <f ca="1">'Total Duration Tables Sup #2'!C6</f>
        <v>0.17002569797466005</v>
      </c>
      <c r="D6" s="4">
        <f ca="1">'Total Duration Tables Sup #2'!D6</f>
        <v>0.24551924033067832</v>
      </c>
      <c r="E6" s="4">
        <f ca="1">'Total Duration Tables Sup #2'!E6</f>
        <v>0.31863951239674626</v>
      </c>
      <c r="F6" s="4">
        <f ca="1">'Total Duration Tables Sup #2'!F6</f>
        <v>0.39502157022481715</v>
      </c>
      <c r="G6" s="4">
        <f ca="1">'Total Duration Tables Sup #2'!G6</f>
        <v>0.4774265652333301</v>
      </c>
      <c r="H6" s="4">
        <f ca="1">'Total Duration Tables Sup #2'!H6</f>
        <v>0.56263104473712267</v>
      </c>
      <c r="I6" s="1">
        <f ca="1">'Total Duration Tables Sup #2'!I6</f>
        <v>0.56754321348040926</v>
      </c>
      <c r="J6" s="1">
        <f ca="1">'Total Duration Tables Sup #2'!J6</f>
        <v>0.57070805253057222</v>
      </c>
      <c r="K6" s="1">
        <f ca="1">'Total Duration Tables Sup #2'!K6</f>
        <v>0.57268868568188525</v>
      </c>
    </row>
    <row r="7" spans="1:11" x14ac:dyDescent="0.25">
      <c r="A7" t="str">
        <f ca="1">OFFSET(Northland_Reference,14,2)</f>
        <v>Light Vehicle Driver</v>
      </c>
      <c r="B7" s="4">
        <f ca="1">'Total Duration Tables Sup #2'!B7</f>
        <v>23.421840091</v>
      </c>
      <c r="C7" s="4">
        <f ca="1">'Total Duration Tables Sup #2'!C7*(1-'Other Assumptions'!G6)</f>
        <v>25.453369681649782</v>
      </c>
      <c r="D7" s="4">
        <f ca="1">'Total Duration Tables Sup #2'!D7*(1-'Other Assumptions'!H6)</f>
        <v>26.403609800226874</v>
      </c>
      <c r="E7" s="4">
        <f ca="1">'Total Duration Tables Sup #2'!E7*(1-'Other Assumptions'!I6)</f>
        <v>24.450470910641837</v>
      </c>
      <c r="F7" s="4">
        <f ca="1">'Total Duration Tables Sup #2'!F7*(1-'Other Assumptions'!J6)</f>
        <v>22.19562129405427</v>
      </c>
      <c r="G7" s="4">
        <f ca="1">'Total Duration Tables Sup #2'!G7*(1-'Other Assumptions'!K6)</f>
        <v>19.605585152461053</v>
      </c>
      <c r="H7" s="4">
        <f ca="1">'Total Duration Tables Sup #2'!H7*(1-'Other Assumptions'!L6)</f>
        <v>16.863676069167063</v>
      </c>
      <c r="I7" s="1">
        <f ca="1">'Total Duration Tables Sup #2'!I7*(1-'Other Assumptions'!M6)</f>
        <v>14.102443300548062</v>
      </c>
      <c r="J7" s="1">
        <f ca="1">'Total Duration Tables Sup #2'!J7*(1-'Other Assumptions'!N6)</f>
        <v>11.285695897419911</v>
      </c>
      <c r="K7" s="1">
        <f ca="1">'Total Duration Tables Sup #2'!K7*(1-'Other Assumptions'!O6)</f>
        <v>11.265317630541524</v>
      </c>
    </row>
    <row r="8" spans="1:11" x14ac:dyDescent="0.25">
      <c r="A8" t="str">
        <f ca="1">OFFSET(Northland_Reference,21,2)</f>
        <v>Light Vehicle Passenger</v>
      </c>
      <c r="B8" s="4">
        <f ca="1">'Total Duration Tables Sup #2'!B8</f>
        <v>15.174949781</v>
      </c>
      <c r="C8" s="4">
        <f ca="1">'Total Duration Tables Sup #2'!C8*(1-'Other Assumptions'!G6)</f>
        <v>15.804469236073954</v>
      </c>
      <c r="D8" s="4">
        <f ca="1">'Total Duration Tables Sup #2'!D8*(1-'Other Assumptions'!H6)</f>
        <v>15.972721200744488</v>
      </c>
      <c r="E8" s="4">
        <f ca="1">'Total Duration Tables Sup #2'!E8*(1-'Other Assumptions'!I6)</f>
        <v>14.412703666541718</v>
      </c>
      <c r="F8" s="4">
        <f ca="1">'Total Duration Tables Sup #2'!F8*(1-'Other Assumptions'!J6)</f>
        <v>12.736001009352805</v>
      </c>
      <c r="G8" s="4">
        <f ca="1">'Total Duration Tables Sup #2'!G8*(1-'Other Assumptions'!K6)</f>
        <v>10.995413389169105</v>
      </c>
      <c r="H8" s="4">
        <f ca="1">'Total Duration Tables Sup #2'!H8*(1-'Other Assumptions'!L6)</f>
        <v>9.242559483126854</v>
      </c>
      <c r="I8" s="1">
        <f ca="1">'Total Duration Tables Sup #2'!I8*(1-'Other Assumptions'!M6)</f>
        <v>7.7369449890981299</v>
      </c>
      <c r="J8" s="1">
        <f ca="1">'Total Duration Tables Sup #2'!J8*(1-'Other Assumptions'!N6)</f>
        <v>6.1977820884430317</v>
      </c>
      <c r="K8" s="1">
        <f ca="1">'Total Duration Tables Sup #2'!K8*(1-'Other Assumptions'!O6)</f>
        <v>6.1927234520707852</v>
      </c>
    </row>
    <row r="9" spans="1:11" x14ac:dyDescent="0.25">
      <c r="A9" t="str">
        <f ca="1">OFFSET(Northland_Reference,28,2)</f>
        <v>Taxi/Vehicle Share</v>
      </c>
      <c r="B9" s="4">
        <f ca="1">'Total Duration Tables Sup #2'!B9</f>
        <v>2.5131369800000001E-2</v>
      </c>
      <c r="C9" s="4">
        <f ca="1">'Total Duration Tables Sup #2'!C9+((C7+C8)*'Other Assumptions'!G6/(1-'Other Assumptions'!G6))</f>
        <v>2.8383766814758436E-2</v>
      </c>
      <c r="D9" s="4">
        <f ca="1">'Total Duration Tables Sup #2'!D9+((D7+D8)*'Other Assumptions'!H6/(1-'Other Assumptions'!H6))</f>
        <v>3.0792417835264804E-2</v>
      </c>
      <c r="E9" s="4">
        <f ca="1">'Total Duration Tables Sup #2'!E9+((E7+E8)*'Other Assumptions'!I6/(1-'Other Assumptions'!I6))</f>
        <v>4.3508460240520526</v>
      </c>
      <c r="F9" s="4">
        <f ca="1">'Total Duration Tables Sup #2'!F9+((F7+F8)*'Other Assumptions'!J6/(1-'Other Assumptions'!J6))</f>
        <v>8.7671044223410988</v>
      </c>
      <c r="G9" s="4">
        <f ca="1">'Total Duration Tables Sup #2'!G9+((G7+G8)*'Other Assumptions'!K6/(1-'Other Assumptions'!K6))</f>
        <v>13.149715161922046</v>
      </c>
      <c r="H9" s="4">
        <f ca="1">'Total Duration Tables Sup #2'!H9+((H7+H8)*'Other Assumptions'!L6/(1-'Other Assumptions'!L6))</f>
        <v>17.43975531344401</v>
      </c>
      <c r="I9" s="1">
        <f ca="1">'Total Duration Tables Sup #2'!I9+((I7+I8)*'Other Assumptions'!M6/(1-'Other Assumptions'!M6))</f>
        <v>21.875049022629099</v>
      </c>
      <c r="J9" s="1">
        <f ca="1">'Total Duration Tables Sup #2'!J9+((J7+J8)*'Other Assumptions'!N6/(1-'Other Assumptions'!N6))</f>
        <v>26.260827042635459</v>
      </c>
      <c r="K9" s="1">
        <f ca="1">'Total Duration Tables Sup #2'!K9+((K7+K8)*'Other Assumptions'!O6/(1-'Other Assumptions'!O6))</f>
        <v>26.222545202865351</v>
      </c>
    </row>
    <row r="10" spans="1:11" x14ac:dyDescent="0.25">
      <c r="A10" t="str">
        <f ca="1">OFFSET(Northland_Reference,35,2)</f>
        <v>Motorcyclist</v>
      </c>
      <c r="B10" s="4">
        <f ca="1">'Total Duration Tables Sup #2'!B10</f>
        <v>0.28382488960000002</v>
      </c>
      <c r="C10" s="4">
        <f ca="1">'Total Duration Tables Sup #2'!C10</f>
        <v>0.30557720548605849</v>
      </c>
      <c r="D10" s="4">
        <f ca="1">'Total Duration Tables Sup #2'!D10</f>
        <v>0.31606962413842521</v>
      </c>
      <c r="E10" s="4">
        <f ca="1">'Total Duration Tables Sup #2'!E10</f>
        <v>0.32213821201661713</v>
      </c>
      <c r="F10" s="4">
        <f ca="1">'Total Duration Tables Sup #2'!F10</f>
        <v>0.32593972402743954</v>
      </c>
      <c r="G10" s="4">
        <f ca="1">'Total Duration Tables Sup #2'!G10</f>
        <v>0.32449824926947912</v>
      </c>
      <c r="H10" s="4">
        <f ca="1">'Total Duration Tables Sup #2'!H10</f>
        <v>0.32089526521406042</v>
      </c>
      <c r="I10" s="1">
        <f ca="1">'Total Duration Tables Sup #2'!I10</f>
        <v>0.32369170615089438</v>
      </c>
      <c r="J10" s="1">
        <f ca="1">'Total Duration Tables Sup #2'!J10</f>
        <v>0.32547517600552678</v>
      </c>
      <c r="K10" s="1">
        <f ca="1">'Total Duration Tables Sup #2'!K10</f>
        <v>0.32656636601715222</v>
      </c>
    </row>
    <row r="11" spans="1:11" x14ac:dyDescent="0.25">
      <c r="A11" t="str">
        <f ca="1">OFFSET(Auckland_Reference,42,2)</f>
        <v>Local Train</v>
      </c>
      <c r="B11" s="4">
        <f ca="1">'Total Duration Tables Sup #2'!B11</f>
        <v>0</v>
      </c>
      <c r="C11" s="4">
        <f ca="1">'Total Duration Tables Sup #2'!C11</f>
        <v>0</v>
      </c>
      <c r="D11" s="4">
        <f ca="1">'Total Duration Tables Sup #2'!D11</f>
        <v>0</v>
      </c>
      <c r="E11" s="4">
        <f ca="1">'Total Duration Tables Sup #2'!E11</f>
        <v>0</v>
      </c>
      <c r="F11" s="4">
        <f ca="1">'Total Duration Tables Sup #2'!F11</f>
        <v>0</v>
      </c>
      <c r="G11" s="4">
        <f ca="1">'Total Duration Tables Sup #2'!G11</f>
        <v>0</v>
      </c>
      <c r="H11" s="4">
        <f ca="1">'Total Duration Tables Sup #2'!H11</f>
        <v>0</v>
      </c>
      <c r="I11" s="1">
        <f ca="1">'Total Duration Tables Sup #2'!I11</f>
        <v>0</v>
      </c>
      <c r="J11" s="1">
        <f ca="1">'Total Duration Tables Sup #2'!J11</f>
        <v>0</v>
      </c>
      <c r="K11" s="1">
        <f ca="1">'Total Duration Tables Sup #2'!K11</f>
        <v>0</v>
      </c>
    </row>
    <row r="12" spans="1:11" x14ac:dyDescent="0.25">
      <c r="A12" t="str">
        <f ca="1">OFFSET(Northland_Reference,42,2)</f>
        <v>Local Bus</v>
      </c>
      <c r="B12" s="4">
        <f ca="1">'Total Duration Tables Sup #2'!B12</f>
        <v>1.5691203781</v>
      </c>
      <c r="C12" s="4">
        <f ca="1">'Total Duration Tables Sup #2'!C12</f>
        <v>1.5352221154524697</v>
      </c>
      <c r="D12" s="4">
        <f ca="1">'Total Duration Tables Sup #2'!D12</f>
        <v>1.4993565835872356</v>
      </c>
      <c r="E12" s="4">
        <f ca="1">'Total Duration Tables Sup #2'!E12</f>
        <v>1.4740589984033112</v>
      </c>
      <c r="F12" s="4">
        <f ca="1">'Total Duration Tables Sup #2'!F12</f>
        <v>1.4280084639474915</v>
      </c>
      <c r="G12" s="4">
        <f ca="1">'Total Duration Tables Sup #2'!G12</f>
        <v>1.3900776996542066</v>
      </c>
      <c r="H12" s="4">
        <f ca="1">'Total Duration Tables Sup #2'!H12</f>
        <v>1.3459881027159808</v>
      </c>
      <c r="I12" s="1">
        <f ca="1">'Total Duration Tables Sup #2'!I12</f>
        <v>1.3539098960692797</v>
      </c>
      <c r="J12" s="1">
        <f ca="1">'Total Duration Tables Sup #2'!J12</f>
        <v>1.357549443147861</v>
      </c>
      <c r="K12" s="1">
        <f ca="1">'Total Duration Tables Sup #2'!K12</f>
        <v>1.3582794583038169</v>
      </c>
    </row>
    <row r="13" spans="1:11" x14ac:dyDescent="0.25">
      <c r="A13" t="str">
        <f ca="1">OFFSET(Northland_Reference,49,2)</f>
        <v>Local Ferry</v>
      </c>
      <c r="B13" s="4">
        <f ca="1">'Total Duration Tables Sup #2'!B13</f>
        <v>1.4305812299999996E-2</v>
      </c>
      <c r="C13" s="4">
        <f ca="1">'Total Duration Tables Sup #2'!C13</f>
        <v>1.5831552894806096E-2</v>
      </c>
      <c r="D13" s="4">
        <f ca="1">'Total Duration Tables Sup #2'!D13</f>
        <v>1.6719405818976629E-2</v>
      </c>
      <c r="E13" s="4">
        <f ca="1">'Total Duration Tables Sup #2'!E13</f>
        <v>1.7187433275497981E-2</v>
      </c>
      <c r="F13" s="4">
        <f ca="1">'Total Duration Tables Sup #2'!F13</f>
        <v>1.7372374623234932E-2</v>
      </c>
      <c r="G13" s="4">
        <f ca="1">'Total Duration Tables Sup #2'!G13</f>
        <v>1.7799327585017281E-2</v>
      </c>
      <c r="H13" s="4">
        <f ca="1">'Total Duration Tables Sup #2'!H13</f>
        <v>1.8040256010965299E-2</v>
      </c>
      <c r="I13" s="1">
        <f ca="1">'Total Duration Tables Sup #2'!I13</f>
        <v>1.784065281383114E-2</v>
      </c>
      <c r="J13" s="1">
        <f ca="1">'Total Duration Tables Sup #2'!J13</f>
        <v>1.7591223311734419E-2</v>
      </c>
      <c r="K13" s="1">
        <f ca="1">'Total Duration Tables Sup #2'!K13</f>
        <v>1.7312068804887577E-2</v>
      </c>
    </row>
    <row r="14" spans="1:11" x14ac:dyDescent="0.25">
      <c r="A14" t="str">
        <f ca="1">OFFSET(Northland_Reference,56,2)</f>
        <v>Other Household Travel</v>
      </c>
      <c r="B14" s="4">
        <f ca="1">'Total Duration Tables Sup #2'!B14</f>
        <v>0</v>
      </c>
      <c r="C14" s="4">
        <f ca="1">'Total Duration Tables Sup #2'!C14</f>
        <v>0</v>
      </c>
      <c r="D14" s="4">
        <f ca="1">'Total Duration Tables Sup #2'!D14</f>
        <v>0</v>
      </c>
      <c r="E14" s="4">
        <f ca="1">'Total Duration Tables Sup #2'!E14</f>
        <v>0</v>
      </c>
      <c r="F14" s="4">
        <f ca="1">'Total Duration Tables Sup #2'!F14</f>
        <v>0</v>
      </c>
      <c r="G14" s="4">
        <f ca="1">'Total Duration Tables Sup #2'!G14</f>
        <v>0</v>
      </c>
      <c r="H14" s="4">
        <f ca="1">'Total Duration Tables Sup #2'!H14</f>
        <v>0</v>
      </c>
      <c r="I14" s="1">
        <f ca="1">'Total Duration Tables Sup #2'!I14</f>
        <v>0</v>
      </c>
      <c r="J14" s="1">
        <f ca="1">'Total Duration Tables Sup #2'!J14</f>
        <v>0</v>
      </c>
      <c r="K14" s="1">
        <f ca="1">'Total Duration Tables Sup #2'!K14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'Total Duration Tables Sup #2'!B16</f>
        <v>73.381071999</v>
      </c>
      <c r="C16" s="4">
        <f ca="1">'Total Duration Tables Sup #2'!C16+'Total Duration Tables Sup #2'!C18*'Other Assumptions'!G66*'Other Assumptions'!G73+'Total Duration Tables Sup #2'!C19*'Other Assumptions'!G66*'Other Assumptions'!G73</f>
        <v>82.088624353764615</v>
      </c>
      <c r="D16" s="4">
        <f ca="1">'Total Duration Tables Sup #2'!D16+'Total Duration Tables Sup #2'!D18*'Other Assumptions'!H66*'Other Assumptions'!H73+'Total Duration Tables Sup #2'!D19*'Other Assumptions'!H66*'Other Assumptions'!H73</f>
        <v>94.511333308823907</v>
      </c>
      <c r="E16" s="4">
        <f ca="1">'Total Duration Tables Sup #2'!E16+'Total Duration Tables Sup #2'!E18*'Other Assumptions'!I66*'Other Assumptions'!I73+'Total Duration Tables Sup #2'!E19*'Other Assumptions'!I66*'Other Assumptions'!I73</f>
        <v>102.27054247997268</v>
      </c>
      <c r="F16" s="4">
        <f ca="1">'Total Duration Tables Sup #2'!F16+'Total Duration Tables Sup #2'!F18*'Other Assumptions'!J66*'Other Assumptions'!J73+'Total Duration Tables Sup #2'!F19*'Other Assumptions'!J66*'Other Assumptions'!J73</f>
        <v>109.05197635252763</v>
      </c>
      <c r="G16" s="4">
        <f ca="1">'Total Duration Tables Sup #2'!G16+'Total Duration Tables Sup #2'!G18*'Other Assumptions'!K66*'Other Assumptions'!K73+'Total Duration Tables Sup #2'!G19*'Other Assumptions'!K66*'Other Assumptions'!K73</f>
        <v>114.95622909811172</v>
      </c>
      <c r="H16" s="4">
        <f ca="1">'Total Duration Tables Sup #2'!H16+'Total Duration Tables Sup #2'!H18*'Other Assumptions'!L66*'Other Assumptions'!L73+'Total Duration Tables Sup #2'!H19*'Other Assumptions'!L66*'Other Assumptions'!L73</f>
        <v>120.18660688992092</v>
      </c>
      <c r="I16" s="1">
        <f ca="1">'Total Duration Tables Sup #2'!I16+'Total Duration Tables Sup #2'!I18*'Other Assumptions'!M66*'Other Assumptions'!M73+'Total Duration Tables Sup #2'!I19*'Other Assumptions'!M66*'Other Assumptions'!M73</f>
        <v>122.60831899224132</v>
      </c>
      <c r="J16" s="1">
        <f ca="1">'Total Duration Tables Sup #2'!J16+'Total Duration Tables Sup #2'!J18*'Other Assumptions'!N66*'Other Assumptions'!N73+'Total Duration Tables Sup #2'!J19*'Other Assumptions'!N66*'Other Assumptions'!N73</f>
        <v>124.54474976474702</v>
      </c>
      <c r="K16" s="1">
        <f ca="1">'Total Duration Tables Sup #2'!K16+'Total Duration Tables Sup #2'!K18*'Other Assumptions'!O66*'Other Assumptions'!O73+'Total Duration Tables Sup #2'!K19*'Other Assumptions'!O66*'Other Assumptions'!O73</f>
        <v>126.06530893846531</v>
      </c>
    </row>
    <row r="17" spans="1:11" x14ac:dyDescent="0.25">
      <c r="A17" t="str">
        <f ca="1">OFFSET(Auckland_Reference,7,2)</f>
        <v>Cyclist</v>
      </c>
      <c r="B17" s="4">
        <f ca="1">'Total Duration Tables Sup #2'!B17</f>
        <v>4.3659429593999999</v>
      </c>
      <c r="C17" s="4">
        <f ca="1">'Total Duration Tables Sup #2'!C17+'Total Duration Tables Sup #2'!C18*'Other Assumptions'!G66*'Other Assumptions'!G72+'Total Duration Tables Sup #2'!C19*'Other Assumptions'!G66*'Other Assumptions'!G72</f>
        <v>5.0109625957271362</v>
      </c>
      <c r="D17" s="4">
        <f ca="1">'Total Duration Tables Sup #2'!D17+'Total Duration Tables Sup #2'!D18*'Other Assumptions'!H66*'Other Assumptions'!H72+'Total Duration Tables Sup #2'!D19*'Other Assumptions'!H66*'Other Assumptions'!H72</f>
        <v>9.7151528304311636</v>
      </c>
      <c r="E17" s="4">
        <f ca="1">'Total Duration Tables Sup #2'!E17+'Total Duration Tables Sup #2'!E18*'Other Assumptions'!I66*'Other Assumptions'!I72+'Total Duration Tables Sup #2'!E19*'Other Assumptions'!I66*'Other Assumptions'!I72</f>
        <v>12.540225872746532</v>
      </c>
      <c r="F17" s="4">
        <f ca="1">'Total Duration Tables Sup #2'!F17+'Total Duration Tables Sup #2'!F18*'Other Assumptions'!J66*'Other Assumptions'!J72+'Total Duration Tables Sup #2'!F19*'Other Assumptions'!J66*'Other Assumptions'!J72</f>
        <v>15.494069528422312</v>
      </c>
      <c r="G17" s="4">
        <f ca="1">'Total Duration Tables Sup #2'!G17+'Total Duration Tables Sup #2'!G18*'Other Assumptions'!K66*'Other Assumptions'!K72+'Total Duration Tables Sup #2'!G19*'Other Assumptions'!K66*'Other Assumptions'!K72</f>
        <v>18.554134224235792</v>
      </c>
      <c r="H17" s="4">
        <f ca="1">'Total Duration Tables Sup #2'!H17+'Total Duration Tables Sup #2'!H18*'Other Assumptions'!L66*'Other Assumptions'!L72+'Total Duration Tables Sup #2'!H19*'Other Assumptions'!L66*'Other Assumptions'!L72</f>
        <v>21.740822517871173</v>
      </c>
      <c r="I17" s="1">
        <f ca="1">'Total Duration Tables Sup #2'!I17+'Total Duration Tables Sup #2'!I18*'Other Assumptions'!M66*'Other Assumptions'!M72+'Total Duration Tables Sup #2'!I19*'Other Assumptions'!M66*'Other Assumptions'!M72</f>
        <v>22.421593380339072</v>
      </c>
      <c r="J17" s="1">
        <f ca="1">'Total Duration Tables Sup #2'!J17+'Total Duration Tables Sup #2'!J18*'Other Assumptions'!N66*'Other Assumptions'!N72+'Total Duration Tables Sup #2'!J19*'Other Assumptions'!N66*'Other Assumptions'!N72</f>
        <v>22.992499258616906</v>
      </c>
      <c r="K17" s="1">
        <f ca="1">'Total Duration Tables Sup #2'!K17+'Total Duration Tables Sup #2'!K18*'Other Assumptions'!O66*'Other Assumptions'!O72+'Total Duration Tables Sup #2'!K19*'Other Assumptions'!O66*'Other Assumptions'!O72</f>
        <v>23.451221404288532</v>
      </c>
    </row>
    <row r="18" spans="1:11" x14ac:dyDescent="0.25">
      <c r="A18" t="str">
        <f ca="1">OFFSET(Auckland_Reference,14,2)</f>
        <v>Light Vehicle Driver</v>
      </c>
      <c r="B18" s="4">
        <f ca="1">'Total Duration Tables Sup #2'!B18</f>
        <v>295.36669345000001</v>
      </c>
      <c r="C18" s="4">
        <f ca="1">'Total Duration Tables Sup #2'!C18*(1-'Other Assumptions'!G7)*(1-'Other Assumptions'!G66)</f>
        <v>340.42196755846783</v>
      </c>
      <c r="D18" s="4">
        <f ca="1">'Total Duration Tables Sup #2'!D18*(1-'Other Assumptions'!H7)*(1-'Other Assumptions'!H66)</f>
        <v>279.39529217842812</v>
      </c>
      <c r="E18" s="4">
        <f ca="1">'Total Duration Tables Sup #2'!E18*(1-'Other Assumptions'!I7)*(1-'Other Assumptions'!I66)</f>
        <v>247.76565746398728</v>
      </c>
      <c r="F18" s="4">
        <f ca="1">'Total Duration Tables Sup #2'!F18*(1-'Other Assumptions'!J7)*(1-'Other Assumptions'!J66)</f>
        <v>218.40478315156776</v>
      </c>
      <c r="G18" s="4">
        <f ca="1">'Total Duration Tables Sup #2'!G18*(1-'Other Assumptions'!K7)*(1-'Other Assumptions'!K66)</f>
        <v>189.78467970088747</v>
      </c>
      <c r="H18" s="4">
        <f ca="1">'Total Duration Tables Sup #2'!H18*(1-'Other Assumptions'!L7)*(1-'Other Assumptions'!L66)</f>
        <v>160.76112290389293</v>
      </c>
      <c r="I18" s="1">
        <f ca="1">'Total Duration Tables Sup #2'!I18*(1-'Other Assumptions'!M7)*(1-'Other Assumptions'!M66)</f>
        <v>132.11869692665115</v>
      </c>
      <c r="J18" s="1">
        <f ca="1">'Total Duration Tables Sup #2'!J18*(1-'Other Assumptions'!N7)*(1-'Other Assumptions'!N66)</f>
        <v>104.3230860971738</v>
      </c>
      <c r="K18" s="1">
        <f ca="1">'Total Duration Tables Sup #2'!K18*(1-'Other Assumptions'!O7)*(1-'Other Assumptions'!O66)</f>
        <v>103.41901351770102</v>
      </c>
    </row>
    <row r="19" spans="1:11" x14ac:dyDescent="0.25">
      <c r="A19" t="str">
        <f ca="1">OFFSET(Auckland_Reference,21,2)</f>
        <v>Light Vehicle Passenger</v>
      </c>
      <c r="B19" s="4">
        <f ca="1">'Total Duration Tables Sup #2'!B19</f>
        <v>145.42645436999999</v>
      </c>
      <c r="C19" s="4">
        <f ca="1">'Total Duration Tables Sup #2'!C19*(1-'Other Assumptions'!G7)*(1-'Other Assumptions'!G66+'Other Assumptions'!G66*'Other Assumptions'!G69)+'Total Duration Tables Sup #2'!C18*(1-'Other Assumptions'!G7)*'Other Assumptions'!G66*'Other Assumptions'!G69</f>
        <v>159.92202277500482</v>
      </c>
      <c r="D19" s="4">
        <f ca="1">'Total Duration Tables Sup #2'!D19*(1-'Other Assumptions'!H7)*(1-'Other Assumptions'!H66+'Other Assumptions'!H66*'Other Assumptions'!H69)+'Total Duration Tables Sup #2'!D18*(1-'Other Assumptions'!H7)*'Other Assumptions'!H66*'Other Assumptions'!H69</f>
        <v>175.95533214485323</v>
      </c>
      <c r="E19" s="4">
        <f ca="1">'Total Duration Tables Sup #2'!E19*(1-'Other Assumptions'!I7)*(1-'Other Assumptions'!I66+'Other Assumptions'!I66*'Other Assumptions'!I69)+'Total Duration Tables Sup #2'!E18*(1-'Other Assumptions'!I7)*'Other Assumptions'!I66*'Other Assumptions'!I69</f>
        <v>159.97273689737665</v>
      </c>
      <c r="F19" s="4">
        <f ca="1">'Total Duration Tables Sup #2'!F19*(1-'Other Assumptions'!J7)*(1-'Other Assumptions'!J66+'Other Assumptions'!J66*'Other Assumptions'!J69)+'Total Duration Tables Sup #2'!F18*(1-'Other Assumptions'!J7)*'Other Assumptions'!J66*'Other Assumptions'!J69</f>
        <v>144.31380852928675</v>
      </c>
      <c r="G19" s="4">
        <f ca="1">'Total Duration Tables Sup #2'!G19*(1-'Other Assumptions'!K7)*(1-'Other Assumptions'!K66+'Other Assumptions'!K66*'Other Assumptions'!K69)+'Total Duration Tables Sup #2'!G18*(1-'Other Assumptions'!K7)*'Other Assumptions'!K66*'Other Assumptions'!K69</f>
        <v>126.30388161663097</v>
      </c>
      <c r="H19" s="4">
        <f ca="1">'Total Duration Tables Sup #2'!H19*(1-'Other Assumptions'!L7)*(1-'Other Assumptions'!L66+'Other Assumptions'!L66*'Other Assumptions'!L69)+'Total Duration Tables Sup #2'!H18*(1-'Other Assumptions'!L7)*'Other Assumptions'!L66*'Other Assumptions'!L69</f>
        <v>107.50177993578674</v>
      </c>
      <c r="I19" s="1">
        <f ca="1">'Total Duration Tables Sup #2'!I19*(1-'Other Assumptions'!M7)*(1-'Other Assumptions'!M66+'Other Assumptions'!M66*'Other Assumptions'!M69)+'Total Duration Tables Sup #2'!I18*(1-'Other Assumptions'!M7)*'Other Assumptions'!M66*'Other Assumptions'!M69</f>
        <v>91.311391494203093</v>
      </c>
      <c r="J19" s="1">
        <f ca="1">'Total Duration Tables Sup #2'!J19*(1-'Other Assumptions'!N7)*(1-'Other Assumptions'!N66+'Other Assumptions'!N66*'Other Assumptions'!N69)+'Total Duration Tables Sup #2'!J18*(1-'Other Assumptions'!N7)*'Other Assumptions'!N66*'Other Assumptions'!N69</f>
        <v>74.005691681633351</v>
      </c>
      <c r="K19" s="1">
        <f ca="1">'Total Duration Tables Sup #2'!K19*(1-'Other Assumptions'!O7)*(1-'Other Assumptions'!O66+'Other Assumptions'!O66*'Other Assumptions'!O69)+'Total Duration Tables Sup #2'!K18*(1-'Other Assumptions'!O7)*'Other Assumptions'!O66*'Other Assumptions'!O69</f>
        <v>74.491345314287244</v>
      </c>
    </row>
    <row r="20" spans="1:11" x14ac:dyDescent="0.25">
      <c r="A20" t="str">
        <f ca="1">OFFSET(Auckland_Reference,28,2)</f>
        <v>Taxi/Vehicle Share</v>
      </c>
      <c r="B20" s="4">
        <f ca="1">'Total Duration Tables Sup #2'!B20</f>
        <v>1.9131795197999999</v>
      </c>
      <c r="C20" s="4">
        <f ca="1">'Total Duration Tables Sup #2'!C20+((C18+C19)*'Other Assumptions'!G7/(1-'Other Assumptions'!G7))</f>
        <v>2.3006429781884963</v>
      </c>
      <c r="D20" s="4">
        <f ca="1">'Total Duration Tables Sup #2'!D20+((D18+D19)*'Other Assumptions'!H7/(1-'Other Assumptions'!H7))</f>
        <v>2.5702303743585855</v>
      </c>
      <c r="E20" s="4">
        <f ca="1">'Total Duration Tables Sup #2'!E20+((E18+E19)*'Other Assumptions'!I7/(1-'Other Assumptions'!I7))</f>
        <v>48.08701091980604</v>
      </c>
      <c r="F20" s="4">
        <f ca="1">'Total Duration Tables Sup #2'!F20+((F18+F19)*'Other Assumptions'!J7/(1-'Other Assumptions'!J7))</f>
        <v>93.641188390465771</v>
      </c>
      <c r="G20" s="4">
        <f ca="1">'Total Duration Tables Sup #2'!G20+((G18+G19)*'Other Assumptions'!K7/(1-'Other Assumptions'!K7))</f>
        <v>138.54696986415627</v>
      </c>
      <c r="H20" s="4">
        <f ca="1">'Total Duration Tables Sup #2'!H20+((H18+H19)*'Other Assumptions'!L7/(1-'Other Assumptions'!L7))</f>
        <v>182.02341655427259</v>
      </c>
      <c r="I20" s="1">
        <f ca="1">'Total Duration Tables Sup #2'!I20+((I18+I19)*'Other Assumptions'!M7/(1-'Other Assumptions'!M7))</f>
        <v>226.66490694142587</v>
      </c>
      <c r="J20" s="1">
        <f ca="1">'Total Duration Tables Sup #2'!J20+((J18+J19)*'Other Assumptions'!N7/(1-'Other Assumptions'!N7))</f>
        <v>270.77009767769425</v>
      </c>
      <c r="K20" s="1">
        <f ca="1">'Total Duration Tables Sup #2'!K20+((K18+K19)*'Other Assumptions'!O7/(1-'Other Assumptions'!O7))</f>
        <v>270.17625410729045</v>
      </c>
    </row>
    <row r="21" spans="1:11" x14ac:dyDescent="0.25">
      <c r="A21" t="str">
        <f ca="1">OFFSET(Auckland_Reference,35,2)</f>
        <v>Motorcyclist</v>
      </c>
      <c r="B21" s="4">
        <f ca="1">'Total Duration Tables Sup #2'!B21</f>
        <v>1.5334409518000001</v>
      </c>
      <c r="C21" s="4">
        <f ca="1">'Total Duration Tables Sup #2'!C21</f>
        <v>1.7578312076461207</v>
      </c>
      <c r="D21" s="4">
        <f ca="1">'Total Duration Tables Sup #2'!D21</f>
        <v>1.8723543222998096</v>
      </c>
      <c r="E21" s="4">
        <f ca="1">'Total Duration Tables Sup #2'!E21</f>
        <v>1.9446385273829434</v>
      </c>
      <c r="F21" s="4">
        <f ca="1">'Total Duration Tables Sup #2'!F21</f>
        <v>2.003182533157529</v>
      </c>
      <c r="G21" s="4">
        <f ca="1">'Total Duration Tables Sup #2'!G21</f>
        <v>2.0268236493560905</v>
      </c>
      <c r="H21" s="4">
        <f ca="1">'Total Duration Tables Sup #2'!H21</f>
        <v>2.0353575272632258</v>
      </c>
      <c r="I21" s="1">
        <f ca="1">'Total Duration Tables Sup #2'!I21</f>
        <v>2.083858588981474</v>
      </c>
      <c r="J21" s="1">
        <f ca="1">'Total Duration Tables Sup #2'!J21</f>
        <v>2.1256386274813659</v>
      </c>
      <c r="K21" s="1">
        <f ca="1">'Total Duration Tables Sup #2'!K21</f>
        <v>2.1624345056049532</v>
      </c>
    </row>
    <row r="22" spans="1:11" x14ac:dyDescent="0.25">
      <c r="A22" t="str">
        <f ca="1">OFFSET(Auckland_Reference,42,2)</f>
        <v>Local Train</v>
      </c>
      <c r="B22" s="4">
        <f ca="1">'Total Duration Tables Sup #2'!B22</f>
        <v>5.3839181294388831</v>
      </c>
      <c r="C22" s="4">
        <f ca="1">'Total Duration Tables Sup #2'!C22+'Total Duration Tables Sup #2'!C18*'Other Assumptions'!G66*'Other Assumptions'!G71+'Total Duration Tables Sup #2'!C19*'Other Assumptions'!G66*'Other Assumptions'!G71</f>
        <v>11.074578130869721</v>
      </c>
      <c r="D22" s="4">
        <f ca="1">'Total Duration Tables Sup #2'!D22+'Total Duration Tables Sup #2'!D18*'Other Assumptions'!H66*'Other Assumptions'!H71+'Total Duration Tables Sup #2'!D19*'Other Assumptions'!H66*'Other Assumptions'!H71</f>
        <v>33.158274886923508</v>
      </c>
      <c r="E22" s="4">
        <f ca="1">'Total Duration Tables Sup #2'!E22+'Total Duration Tables Sup #2'!E18*'Other Assumptions'!I66*'Other Assumptions'!I71+'Total Duration Tables Sup #2'!E19*'Other Assumptions'!I66*'Other Assumptions'!I71</f>
        <v>44.962706269555682</v>
      </c>
      <c r="F22" s="4">
        <f ca="1">'Total Duration Tables Sup #2'!F22+'Total Duration Tables Sup #2'!F18*'Other Assumptions'!J66*'Other Assumptions'!J71+'Total Duration Tables Sup #2'!F19*'Other Assumptions'!J66*'Other Assumptions'!J71</f>
        <v>50.517986752817457</v>
      </c>
      <c r="G22" s="4">
        <f ca="1">'Total Duration Tables Sup #2'!G22+'Total Duration Tables Sup #2'!G18*'Other Assumptions'!K66*'Other Assumptions'!K71+'Total Duration Tables Sup #2'!G19*'Other Assumptions'!K66*'Other Assumptions'!K71</f>
        <v>54.900677809988068</v>
      </c>
      <c r="H22" s="4">
        <f ca="1">'Total Duration Tables Sup #2'!H22+'Total Duration Tables Sup #2'!H18*'Other Assumptions'!L66*'Other Assumptions'!L71+'Total Duration Tables Sup #2'!H19*'Other Assumptions'!L66*'Other Assumptions'!L71</f>
        <v>58.653080769871565</v>
      </c>
      <c r="I22" s="1">
        <f ca="1">'Total Duration Tables Sup #2'!I22+'Total Duration Tables Sup #2'!I18*'Other Assumptions'!M66*'Other Assumptions'!M71+'Total Duration Tables Sup #2'!I19*'Other Assumptions'!M66*'Other Assumptions'!M71</f>
        <v>63.538504894225809</v>
      </c>
      <c r="J22" s="1">
        <f ca="1">'Total Duration Tables Sup #2'!J22+'Total Duration Tables Sup #2'!J18*'Other Assumptions'!N66*'Other Assumptions'!N71+'Total Duration Tables Sup #2'!J19*'Other Assumptions'!N66*'Other Assumptions'!N71</f>
        <v>68.250178744066147</v>
      </c>
      <c r="K22" s="1">
        <f ca="1">'Total Duration Tables Sup #2'!K22+'Total Duration Tables Sup #2'!K18*'Other Assumptions'!O66*'Other Assumptions'!O71+'Total Duration Tables Sup #2'!K19*'Other Assumptions'!O66*'Other Assumptions'!O71</f>
        <v>72.901688508467913</v>
      </c>
    </row>
    <row r="23" spans="1:11" x14ac:dyDescent="0.25">
      <c r="A23" t="str">
        <f ca="1">OFFSET(Auckland_Reference,49,2)</f>
        <v>Local Bus</v>
      </c>
      <c r="B23" s="4">
        <f ca="1">'Total Duration Tables Sup #2'!B23</f>
        <v>22.597670440041398</v>
      </c>
      <c r="C23" s="4">
        <f ca="1">'Total Duration Tables Sup #2'!C23+'Total Duration Tables Sup #2'!C18*'Other Assumptions'!G66*'Other Assumptions'!G70+'Total Duration Tables Sup #2'!C19*'Other Assumptions'!G66*'Other Assumptions'!G70</f>
        <v>24.781314290799855</v>
      </c>
      <c r="D23" s="4">
        <f ca="1">'Total Duration Tables Sup #2'!D23+'Total Duration Tables Sup #2'!D18*'Other Assumptions'!H66*'Other Assumptions'!H70+'Total Duration Tables Sup #2'!D19*'Other Assumptions'!H66*'Other Assumptions'!H70</f>
        <v>77.808001063050838</v>
      </c>
      <c r="E23" s="4">
        <f ca="1">'Total Duration Tables Sup #2'!E23+'Total Duration Tables Sup #2'!E18*'Other Assumptions'!I66*'Other Assumptions'!I70+'Total Duration Tables Sup #2'!E19*'Other Assumptions'!I66*'Other Assumptions'!I70</f>
        <v>92.274935962647717</v>
      </c>
      <c r="F23" s="4">
        <f ca="1">'Total Duration Tables Sup #2'!F23+'Total Duration Tables Sup #2'!F18*'Other Assumptions'!J66*'Other Assumptions'!J70+'Total Duration Tables Sup #2'!F19*'Other Assumptions'!J66*'Other Assumptions'!J70</f>
        <v>101.8668177021402</v>
      </c>
      <c r="G23" s="4">
        <f ca="1">'Total Duration Tables Sup #2'!G23+'Total Duration Tables Sup #2'!G18*'Other Assumptions'!K66*'Other Assumptions'!K70+'Total Duration Tables Sup #2'!G19*'Other Assumptions'!K66*'Other Assumptions'!K70</f>
        <v>107.88905567437065</v>
      </c>
      <c r="H23" s="4">
        <f ca="1">'Total Duration Tables Sup #2'!H23+'Total Duration Tables Sup #2'!H18*'Other Assumptions'!L66*'Other Assumptions'!L70+'Total Duration Tables Sup #2'!H19*'Other Assumptions'!L66*'Other Assumptions'!L70</f>
        <v>112.63678474682638</v>
      </c>
      <c r="I23" s="1">
        <f ca="1">'Total Duration Tables Sup #2'!I23+'Total Duration Tables Sup #2'!I18*'Other Assumptions'!M66*'Other Assumptions'!M70+'Total Duration Tables Sup #2'!I19*'Other Assumptions'!M66*'Other Assumptions'!M70</f>
        <v>120.48923963916779</v>
      </c>
      <c r="J23" s="1">
        <f ca="1">'Total Duration Tables Sup #2'!J23+'Total Duration Tables Sup #2'!J18*'Other Assumptions'!N66*'Other Assumptions'!N70+'Total Duration Tables Sup #2'!J19*'Other Assumptions'!N66*'Other Assumptions'!N70</f>
        <v>127.35638072165675</v>
      </c>
      <c r="K23" s="1">
        <f ca="1">'Total Duration Tables Sup #2'!K23+'Total Duration Tables Sup #2'!K18*'Other Assumptions'!O66*'Other Assumptions'!O70+'Total Duration Tables Sup #2'!K19*'Other Assumptions'!O66*'Other Assumptions'!O70</f>
        <v>133.01734387343294</v>
      </c>
    </row>
    <row r="24" spans="1:11" x14ac:dyDescent="0.25">
      <c r="A24" t="str">
        <f ca="1">OFFSET(Auckland_Reference,56,2)</f>
        <v>Local Ferry</v>
      </c>
      <c r="B24" s="4">
        <f ca="1">'Total Duration Tables Sup #2'!B24</f>
        <v>1.3948644118033415</v>
      </c>
      <c r="C24" s="4">
        <f ca="1">'Total Duration Tables Sup #2'!C24</f>
        <v>1.6435488752656755</v>
      </c>
      <c r="D24" s="4">
        <f ca="1">'Total Duration Tables Sup #2'!D24</f>
        <v>1.7874298590558957</v>
      </c>
      <c r="E24" s="4">
        <f ca="1">'Total Duration Tables Sup #2'!E24</f>
        <v>1.8724514195006947</v>
      </c>
      <c r="F24" s="4">
        <f ca="1">'Total Duration Tables Sup #2'!F24</f>
        <v>1.9268384717225777</v>
      </c>
      <c r="G24" s="4">
        <f ca="1">'Total Duration Tables Sup #2'!G24</f>
        <v>2.0063656911537984</v>
      </c>
      <c r="H24" s="4">
        <f ca="1">'Total Duration Tables Sup #2'!H24</f>
        <v>2.065013934439472</v>
      </c>
      <c r="I24" s="1">
        <f ca="1">'Total Duration Tables Sup #2'!I24</f>
        <v>2.0727661423118571</v>
      </c>
      <c r="J24" s="1">
        <f ca="1">'Total Duration Tables Sup #2'!J24</f>
        <v>2.0733398573049224</v>
      </c>
      <c r="K24" s="1">
        <f ca="1">'Total Duration Tables Sup #2'!K24</f>
        <v>2.0688231648075197</v>
      </c>
    </row>
    <row r="25" spans="1:11" x14ac:dyDescent="0.25">
      <c r="A25" t="str">
        <f ca="1">OFFSET(Auckland_Reference,63,2)</f>
        <v>Other Household Travel</v>
      </c>
      <c r="B25" s="4">
        <f ca="1">'Total Duration Tables Sup #2'!B25</f>
        <v>2.4325058500000001</v>
      </c>
      <c r="C25" s="4">
        <f ca="1">'Total Duration Tables Sup #2'!C25</f>
        <v>2.7995549002528421</v>
      </c>
      <c r="D25" s="4">
        <f ca="1">'Total Duration Tables Sup #2'!D25</f>
        <v>3.0167974017064245</v>
      </c>
      <c r="E25" s="4">
        <f ca="1">'Total Duration Tables Sup #2'!E25</f>
        <v>3.127544033384571</v>
      </c>
      <c r="F25" s="4">
        <f ca="1">'Total Duration Tables Sup #2'!F25</f>
        <v>3.2054870114975493</v>
      </c>
      <c r="G25" s="4">
        <f ca="1">'Total Duration Tables Sup #2'!G25</f>
        <v>3.2854482508543796</v>
      </c>
      <c r="H25" s="4">
        <f ca="1">'Total Duration Tables Sup #2'!H25</f>
        <v>3.3363257272918476</v>
      </c>
      <c r="I25" s="1">
        <f ca="1">'Total Duration Tables Sup #2'!I25</f>
        <v>3.3874137300605973</v>
      </c>
      <c r="J25" s="1">
        <f ca="1">'Total Duration Tables Sup #2'!J25</f>
        <v>3.4267507010728222</v>
      </c>
      <c r="K25" s="1">
        <f ca="1">'Total Duration Tables Sup #2'!K25</f>
        <v>3.4574142896345577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'Total Duration Tables Sup #2'!B27</f>
        <v>13.69170819</v>
      </c>
      <c r="C27" s="4">
        <f ca="1">'Total Duration Tables Sup #2'!C27</f>
        <v>14.805464121284944</v>
      </c>
      <c r="D27" s="4">
        <f ca="1">'Total Duration Tables Sup #2'!D27</f>
        <v>16.260622185486625</v>
      </c>
      <c r="E27" s="4">
        <f ca="1">'Total Duration Tables Sup #2'!E27</f>
        <v>17.492196098268394</v>
      </c>
      <c r="F27" s="4">
        <f ca="1">'Total Duration Tables Sup #2'!F27</f>
        <v>18.565727420096248</v>
      </c>
      <c r="G27" s="4">
        <f ca="1">'Total Duration Tables Sup #2'!G27</f>
        <v>19.562005843841181</v>
      </c>
      <c r="H27" s="4">
        <f ca="1">'Total Duration Tables Sup #2'!H27</f>
        <v>20.486447908367889</v>
      </c>
      <c r="I27" s="1">
        <f ca="1">'Total Duration Tables Sup #2'!I27</f>
        <v>20.905848942666257</v>
      </c>
      <c r="J27" s="1">
        <f ca="1">'Total Duration Tables Sup #2'!J27</f>
        <v>21.266142797933938</v>
      </c>
      <c r="K27" s="1">
        <f ca="1">'Total Duration Tables Sup #2'!K27</f>
        <v>21.58637117288303</v>
      </c>
    </row>
    <row r="28" spans="1:11" x14ac:dyDescent="0.25">
      <c r="A28" t="str">
        <f ca="1">OFFSET(Waikato_Reference,7,2)</f>
        <v>Cyclist</v>
      </c>
      <c r="B28" s="4">
        <f ca="1">'Total Duration Tables Sup #2'!B28</f>
        <v>1.7805943500000001</v>
      </c>
      <c r="C28" s="4">
        <f ca="1">'Total Duration Tables Sup #2'!C28</f>
        <v>1.9752658082783356</v>
      </c>
      <c r="D28" s="4">
        <f ca="1">'Total Duration Tables Sup #2'!D28</f>
        <v>2.8945278025183896</v>
      </c>
      <c r="E28" s="4">
        <f ca="1">'Total Duration Tables Sup #2'!E28</f>
        <v>3.8071082361810542</v>
      </c>
      <c r="F28" s="4">
        <f ca="1">'Total Duration Tables Sup #2'!F28</f>
        <v>4.7894405614471882</v>
      </c>
      <c r="G28" s="4">
        <f ca="1">'Total Duration Tables Sup #2'!G28</f>
        <v>5.8775109217757304</v>
      </c>
      <c r="H28" s="4">
        <f ca="1">'Total Duration Tables Sup #2'!H28</f>
        <v>7.0404500068362221</v>
      </c>
      <c r="I28" s="1">
        <f ca="1">'Total Duration Tables Sup #2'!I28</f>
        <v>7.2188085626988538</v>
      </c>
      <c r="J28" s="1">
        <f ca="1">'Total Duration Tables Sup #2'!J28</f>
        <v>7.3785402917333878</v>
      </c>
      <c r="K28" s="1">
        <f ca="1">'Total Duration Tables Sup #2'!K28</f>
        <v>7.5260122124492623</v>
      </c>
    </row>
    <row r="29" spans="1:11" x14ac:dyDescent="0.25">
      <c r="A29" t="str">
        <f ca="1">OFFSET(Waikato_Reference,14,2)</f>
        <v>Light Vehicle Driver</v>
      </c>
      <c r="B29" s="4">
        <f ca="1">'Total Duration Tables Sup #2'!B29</f>
        <v>82.274552721999996</v>
      </c>
      <c r="C29" s="4">
        <f ca="1">'Total Duration Tables Sup #2'!C29*(1-'Other Assumptions'!G8)</f>
        <v>92.012512781141893</v>
      </c>
      <c r="D29" s="4">
        <f ca="1">'Total Duration Tables Sup #2'!D29*(1-'Other Assumptions'!H8)</f>
        <v>96.787582669119587</v>
      </c>
      <c r="E29" s="4">
        <f ca="1">'Total Duration Tables Sup #2'!E29*(1-'Other Assumptions'!I8)</f>
        <v>90.767359550513149</v>
      </c>
      <c r="F29" s="4">
        <f ca="1">'Total Duration Tables Sup #2'!F29*(1-'Other Assumptions'!J8)</f>
        <v>83.549363040956138</v>
      </c>
      <c r="G29" s="4">
        <f ca="1">'Total Duration Tables Sup #2'!G29*(1-'Other Assumptions'!K8)</f>
        <v>74.867496317909158</v>
      </c>
      <c r="H29" s="4">
        <f ca="1">'Total Duration Tables Sup #2'!H29*(1-'Other Assumptions'!L8)</f>
        <v>65.392451094256742</v>
      </c>
      <c r="I29" s="1">
        <f ca="1">'Total Duration Tables Sup #2'!I29*(1-'Other Assumptions'!M8)</f>
        <v>55.583189307037848</v>
      </c>
      <c r="J29" s="1">
        <f ca="1">'Total Duration Tables Sup #2'!J29*(1-'Other Assumptions'!N8)</f>
        <v>45.211711244003602</v>
      </c>
      <c r="K29" s="1">
        <f ca="1">'Total Duration Tables Sup #2'!K29*(1-'Other Assumptions'!O8)</f>
        <v>45.871116644812311</v>
      </c>
    </row>
    <row r="30" spans="1:11" x14ac:dyDescent="0.25">
      <c r="A30" t="str">
        <f ca="1">OFFSET(Waikato_Reference,21,2)</f>
        <v>Light Vehicle Passenger</v>
      </c>
      <c r="B30" s="4">
        <f ca="1">'Total Duration Tables Sup #2'!B30</f>
        <v>42.037273755000001</v>
      </c>
      <c r="C30" s="4">
        <f ca="1">'Total Duration Tables Sup #2'!C30*(1-'Other Assumptions'!G8)</f>
        <v>45.055133758250513</v>
      </c>
      <c r="D30" s="4">
        <f ca="1">'Total Duration Tables Sup #2'!D30*(1-'Other Assumptions'!H8)</f>
        <v>46.05903132531575</v>
      </c>
      <c r="E30" s="4">
        <f ca="1">'Total Duration Tables Sup #2'!E30*(1-'Other Assumptions'!I8)</f>
        <v>41.980790493775672</v>
      </c>
      <c r="F30" s="4">
        <f ca="1">'Total Duration Tables Sup #2'!F30*(1-'Other Assumptions'!J8)</f>
        <v>37.513415461440836</v>
      </c>
      <c r="G30" s="4">
        <f ca="1">'Total Duration Tables Sup #2'!G30*(1-'Other Assumptions'!K8)</f>
        <v>32.756755678130446</v>
      </c>
      <c r="H30" s="4">
        <f ca="1">'Total Duration Tables Sup #2'!H30*(1-'Other Assumptions'!L8)</f>
        <v>27.868694095882827</v>
      </c>
      <c r="I30" s="1">
        <f ca="1">'Total Duration Tables Sup #2'!I30*(1-'Other Assumptions'!M8)</f>
        <v>23.710944659346517</v>
      </c>
      <c r="J30" s="1">
        <f ca="1">'Total Duration Tables Sup #2'!J30*(1-'Other Assumptions'!N8)</f>
        <v>19.305011882399434</v>
      </c>
      <c r="K30" s="1">
        <f ca="1">'Total Duration Tables Sup #2'!K30*(1-'Other Assumptions'!O8)</f>
        <v>19.6051118111695</v>
      </c>
    </row>
    <row r="31" spans="1:11" x14ac:dyDescent="0.25">
      <c r="A31" t="str">
        <f ca="1">OFFSET(Waikato_Reference,28,2)</f>
        <v>Taxi/Vehicle Share</v>
      </c>
      <c r="B31" s="4">
        <f ca="1">'Total Duration Tables Sup #2'!B31</f>
        <v>0.1633822556</v>
      </c>
      <c r="C31" s="4">
        <f ca="1">'Total Duration Tables Sup #2'!C31+((C29+C30)*'Other Assumptions'!G8/(1-'Other Assumptions'!G8))</f>
        <v>0.18989601211708984</v>
      </c>
      <c r="D31" s="4">
        <f ca="1">'Total Duration Tables Sup #2'!D31+((D29+D30)*'Other Assumptions'!H8/(1-'Other Assumptions'!H8))</f>
        <v>0.2090599390331101</v>
      </c>
      <c r="E31" s="4">
        <f ca="1">'Total Duration Tables Sup #2'!E31+((E29+E30)*'Other Assumptions'!I8/(1-'Other Assumptions'!I8))</f>
        <v>14.974898959842713</v>
      </c>
      <c r="F31" s="4">
        <f ca="1">'Total Duration Tables Sup #2'!F31+((F29+F30)*'Other Assumptions'!J8/(1-'Other Assumptions'!J8))</f>
        <v>30.504481400026521</v>
      </c>
      <c r="G31" s="4">
        <f ca="1">'Total Duration Tables Sup #2'!G31+((G29+G30)*'Other Assumptions'!K8/(1-'Other Assumptions'!K8))</f>
        <v>46.372826050488399</v>
      </c>
      <c r="H31" s="4">
        <f ca="1">'Total Duration Tables Sup #2'!H31+((H29+H30)*'Other Assumptions'!L8/(1-'Other Assumptions'!L8))</f>
        <v>62.430628209724617</v>
      </c>
      <c r="I31" s="1">
        <f ca="1">'Total Duration Tables Sup #2'!I31+((I29+I30)*'Other Assumptions'!M8/(1-'Other Assumptions'!M8))</f>
        <v>79.555345103585054</v>
      </c>
      <c r="J31" s="1">
        <f ca="1">'Total Duration Tables Sup #2'!J31+((J29+J30)*'Other Assumptions'!N8/(1-'Other Assumptions'!N8))</f>
        <v>97.040217844395087</v>
      </c>
      <c r="K31" s="1">
        <f ca="1">'Total Duration Tables Sup #2'!K31+((K29+K30)*'Other Assumptions'!O8/(1-'Other Assumptions'!O8))</f>
        <v>98.482882425931777</v>
      </c>
    </row>
    <row r="32" spans="1:11" x14ac:dyDescent="0.25">
      <c r="A32" t="str">
        <f ca="1">OFFSET(Waikato_Reference,35,2)</f>
        <v>Motorcyclist</v>
      </c>
      <c r="B32" s="4">
        <f ca="1">'Total Duration Tables Sup #2'!B32</f>
        <v>0.60639269429999998</v>
      </c>
      <c r="C32" s="4">
        <f ca="1">'Total Duration Tables Sup #2'!C32</f>
        <v>0.67186423816810859</v>
      </c>
      <c r="D32" s="4">
        <f ca="1">'Total Duration Tables Sup #2'!D32</f>
        <v>0.70521987620623372</v>
      </c>
      <c r="E32" s="4">
        <f ca="1">'Total Duration Tables Sup #2'!E32</f>
        <v>0.72842933875461879</v>
      </c>
      <c r="F32" s="4">
        <f ca="1">'Total Duration Tables Sup #2'!F32</f>
        <v>0.74791261891735739</v>
      </c>
      <c r="G32" s="4">
        <f ca="1">'Total Duration Tables Sup #2'!G32</f>
        <v>0.75604703169834386</v>
      </c>
      <c r="H32" s="4">
        <f ca="1">'Total Duration Tables Sup #2'!H32</f>
        <v>0.75995806212610262</v>
      </c>
      <c r="I32" s="1">
        <f ca="1">'Total Duration Tables Sup #2'!I32</f>
        <v>0.77919786174169869</v>
      </c>
      <c r="J32" s="1">
        <f ca="1">'Total Duration Tables Sup #2'!J32</f>
        <v>0.79638654450423729</v>
      </c>
      <c r="K32" s="1">
        <f ca="1">'Total Duration Tables Sup #2'!K32</f>
        <v>0.81220818085996005</v>
      </c>
    </row>
    <row r="33" spans="1:11" x14ac:dyDescent="0.25">
      <c r="A33" t="str">
        <f ca="1">OFFSET(Waikato_Reference,42,2)</f>
        <v>Local Train</v>
      </c>
      <c r="B33" s="4">
        <f ca="1">'Total Duration Tables Sup #2'!B33</f>
        <v>0</v>
      </c>
      <c r="C33" s="4">
        <f ca="1">'Total Duration Tables Sup #2'!C33</f>
        <v>0</v>
      </c>
      <c r="D33" s="4">
        <f ca="1">'Total Duration Tables Sup #2'!D33</f>
        <v>0</v>
      </c>
      <c r="E33" s="4">
        <f ca="1">'Total Duration Tables Sup #2'!E33</f>
        <v>0</v>
      </c>
      <c r="F33" s="4">
        <f ca="1">'Total Duration Tables Sup #2'!F33</f>
        <v>0</v>
      </c>
      <c r="G33" s="4">
        <f ca="1">'Total Duration Tables Sup #2'!G33</f>
        <v>0</v>
      </c>
      <c r="H33" s="4">
        <f ca="1">'Total Duration Tables Sup #2'!H33</f>
        <v>0</v>
      </c>
      <c r="I33" s="1">
        <f ca="1">'Total Duration Tables Sup #2'!I33</f>
        <v>0</v>
      </c>
      <c r="J33" s="1">
        <f ca="1">'Total Duration Tables Sup #2'!J33</f>
        <v>0</v>
      </c>
      <c r="K33" s="1">
        <f ca="1">'Total Duration Tables Sup #2'!K33</f>
        <v>0</v>
      </c>
    </row>
    <row r="34" spans="1:11" x14ac:dyDescent="0.25">
      <c r="A34" t="str">
        <f ca="1">OFFSET(Waikato_Reference,49,2)</f>
        <v>Local Bus</v>
      </c>
      <c r="B34" s="4">
        <f ca="1">'Total Duration Tables Sup #2'!B34</f>
        <v>2.2088814398999999</v>
      </c>
      <c r="C34" s="4">
        <f ca="1">'Total Duration Tables Sup #2'!C34</f>
        <v>2.2240494994792575</v>
      </c>
      <c r="D34" s="4">
        <f ca="1">'Total Duration Tables Sup #2'!D34</f>
        <v>2.2042425204420644</v>
      </c>
      <c r="E34" s="4">
        <f ca="1">'Total Duration Tables Sup #2'!E34</f>
        <v>2.1962041736275242</v>
      </c>
      <c r="F34" s="4">
        <f ca="1">'Total Duration Tables Sup #2'!F34</f>
        <v>2.1590217106604173</v>
      </c>
      <c r="G34" s="4">
        <f ca="1">'Total Duration Tables Sup #2'!G34</f>
        <v>2.1339694193933285</v>
      </c>
      <c r="H34" s="4">
        <f ca="1">'Total Duration Tables Sup #2'!H34</f>
        <v>2.1002945203919432</v>
      </c>
      <c r="I34" s="1">
        <f ca="1">'Total Duration Tables Sup #2'!I34</f>
        <v>2.1474279610853304</v>
      </c>
      <c r="J34" s="1">
        <f ca="1">'Total Duration Tables Sup #2'!J34</f>
        <v>2.1886401391450239</v>
      </c>
      <c r="K34" s="1">
        <f ca="1">'Total Duration Tables Sup #2'!K34</f>
        <v>2.2258592541962208</v>
      </c>
    </row>
    <row r="35" spans="1:11" x14ac:dyDescent="0.25">
      <c r="A35" t="str">
        <f ca="1">OFFSET(Waikato_Reference,56,2)</f>
        <v>Local Ferry</v>
      </c>
      <c r="B35" s="4">
        <f ca="1">'Total Duration Tables Sup #2'!B35</f>
        <v>9.334266179999999E-2</v>
      </c>
      <c r="C35" s="4">
        <f ca="1">'Total Duration Tables Sup #2'!C35</f>
        <v>0.10630367102883542</v>
      </c>
      <c r="D35" s="4">
        <f ca="1">'Total Duration Tables Sup #2'!D35</f>
        <v>0.11392703617781383</v>
      </c>
      <c r="E35" s="4">
        <f ca="1">'Total Duration Tables Sup #2'!E35</f>
        <v>0.11869170996650792</v>
      </c>
      <c r="F35" s="4">
        <f ca="1">'Total Duration Tables Sup #2'!F35</f>
        <v>0.12174101807112733</v>
      </c>
      <c r="G35" s="4">
        <f ca="1">'Total Duration Tables Sup #2'!G35</f>
        <v>0.1266497178428127</v>
      </c>
      <c r="H35" s="4">
        <f ca="1">'Total Duration Tables Sup #2'!H35</f>
        <v>0.13047676781249795</v>
      </c>
      <c r="I35" s="1">
        <f ca="1">'Total Duration Tables Sup #2'!I35</f>
        <v>0.13115688635056288</v>
      </c>
      <c r="J35" s="1">
        <f ca="1">'Total Duration Tables Sup #2'!J35</f>
        <v>0.13145171631868527</v>
      </c>
      <c r="K35" s="1">
        <f ca="1">'Total Duration Tables Sup #2'!K35</f>
        <v>0.13149494309158996</v>
      </c>
    </row>
    <row r="36" spans="1:11" x14ac:dyDescent="0.25">
      <c r="A36" t="str">
        <f ca="1">OFFSET(Waikato_Reference,63,2)</f>
        <v>Other Household Travel</v>
      </c>
      <c r="B36" s="4">
        <f ca="1">'Total Duration Tables Sup #2'!B36</f>
        <v>0.63404452519999999</v>
      </c>
      <c r="C36" s="4">
        <f ca="1">'Total Duration Tables Sup #2'!C36</f>
        <v>0.70529743385600807</v>
      </c>
      <c r="D36" s="4">
        <f ca="1">'Total Duration Tables Sup #2'!D36</f>
        <v>0.74896515383356566</v>
      </c>
      <c r="E36" s="4">
        <f ca="1">'Total Duration Tables Sup #2'!E36</f>
        <v>0.77220202645711811</v>
      </c>
      <c r="F36" s="4">
        <f ca="1">'Total Duration Tables Sup #2'!F36</f>
        <v>0.78886614445759218</v>
      </c>
      <c r="G36" s="4">
        <f ca="1">'Total Duration Tables Sup #2'!G36</f>
        <v>0.80780482149402655</v>
      </c>
      <c r="H36" s="4">
        <f ca="1">'Total Duration Tables Sup #2'!H36</f>
        <v>0.82110051368688741</v>
      </c>
      <c r="I36" s="1">
        <f ca="1">'Total Duration Tables Sup #2'!I36</f>
        <v>0.83488510250175707</v>
      </c>
      <c r="J36" s="1">
        <f ca="1">'Total Duration Tables Sup #2'!J36</f>
        <v>0.84624467883239729</v>
      </c>
      <c r="K36" s="1">
        <f ca="1">'Total Duration Tables Sup #2'!K36</f>
        <v>0.85596258150886917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'Total Duration Tables Sup #2'!B38</f>
        <v>9.1706746114000008</v>
      </c>
      <c r="C38" s="4">
        <f ca="1">'Total Duration Tables Sup #2'!C38</f>
        <v>9.7793290837537903</v>
      </c>
      <c r="D38" s="4">
        <f ca="1">'Total Duration Tables Sup #2'!D38</f>
        <v>10.667293255629795</v>
      </c>
      <c r="E38" s="4">
        <f ca="1">'Total Duration Tables Sup #2'!E38</f>
        <v>11.39872772786129</v>
      </c>
      <c r="F38" s="4">
        <f ca="1">'Total Duration Tables Sup #2'!F38</f>
        <v>12.020645017398799</v>
      </c>
      <c r="G38" s="4">
        <f ca="1">'Total Duration Tables Sup #2'!G38</f>
        <v>12.579756232631773</v>
      </c>
      <c r="H38" s="4">
        <f ca="1">'Total Duration Tables Sup #2'!H38</f>
        <v>13.085248338476893</v>
      </c>
      <c r="I38" s="1">
        <f ca="1">'Total Duration Tables Sup #2'!I38</f>
        <v>13.262933067940251</v>
      </c>
      <c r="J38" s="1">
        <f ca="1">'Total Duration Tables Sup #2'!J38</f>
        <v>13.400375248157372</v>
      </c>
      <c r="K38" s="1">
        <f ca="1">'Total Duration Tables Sup #2'!K38</f>
        <v>13.510279661639979</v>
      </c>
    </row>
    <row r="39" spans="1:11" x14ac:dyDescent="0.25">
      <c r="A39" t="str">
        <f ca="1">OFFSET(BOP_Reference,7,2)</f>
        <v>Cyclist</v>
      </c>
      <c r="B39" s="4">
        <f ca="1">'Total Duration Tables Sup #2'!B39</f>
        <v>0.91801276549999999</v>
      </c>
      <c r="C39" s="4">
        <f ca="1">'Total Duration Tables Sup #2'!C39</f>
        <v>1.0042750200024688</v>
      </c>
      <c r="D39" s="4">
        <f ca="1">'Total Duration Tables Sup #2'!D39</f>
        <v>1.4616213572156016</v>
      </c>
      <c r="E39" s="4">
        <f ca="1">'Total Duration Tables Sup #2'!E39</f>
        <v>1.9096217225419263</v>
      </c>
      <c r="F39" s="4">
        <f ca="1">'Total Duration Tables Sup #2'!F39</f>
        <v>2.3869354233907285</v>
      </c>
      <c r="G39" s="4">
        <f ca="1">'Total Duration Tables Sup #2'!G39</f>
        <v>2.9093258487184008</v>
      </c>
      <c r="H39" s="4">
        <f ca="1">'Total Duration Tables Sup #2'!H39</f>
        <v>3.4614319983051587</v>
      </c>
      <c r="I39" s="1">
        <f ca="1">'Total Duration Tables Sup #2'!I39</f>
        <v>3.5251481550226984</v>
      </c>
      <c r="J39" s="1">
        <f ca="1">'Total Duration Tables Sup #2'!J39</f>
        <v>3.5788110280150094</v>
      </c>
      <c r="K39" s="1">
        <f ca="1">'Total Duration Tables Sup #2'!K39</f>
        <v>3.6256818860260518</v>
      </c>
    </row>
    <row r="40" spans="1:11" x14ac:dyDescent="0.25">
      <c r="A40" t="str">
        <f ca="1">OFFSET(BOP_Reference,14,2)</f>
        <v>Light Vehicle Driver</v>
      </c>
      <c r="B40" s="4">
        <f ca="1">'Total Duration Tables Sup #2'!B40</f>
        <v>45.59682093</v>
      </c>
      <c r="C40" s="4">
        <f ca="1">'Total Duration Tables Sup #2'!C40*(1-'Other Assumptions'!G9)</f>
        <v>50.287414826539731</v>
      </c>
      <c r="D40" s="4">
        <f ca="1">'Total Duration Tables Sup #2'!D40*(1-'Other Assumptions'!H9)</f>
        <v>52.51838950495587</v>
      </c>
      <c r="E40" s="4">
        <f ca="1">'Total Duration Tables Sup #2'!E40*(1-'Other Assumptions'!I9)</f>
        <v>48.907244036073557</v>
      </c>
      <c r="F40" s="4">
        <f ca="1">'Total Duration Tables Sup #2'!F40*(1-'Other Assumptions'!J9)</f>
        <v>44.715631170547645</v>
      </c>
      <c r="G40" s="4">
        <f ca="1">'Total Duration Tables Sup #2'!G40*(1-'Other Assumptions'!K9)</f>
        <v>39.786111759085685</v>
      </c>
      <c r="H40" s="4">
        <f ca="1">'Total Duration Tables Sup #2'!H40*(1-'Other Assumptions'!L9)</f>
        <v>34.507338171304241</v>
      </c>
      <c r="I40" s="1">
        <f ca="1">'Total Duration Tables Sup #2'!I40*(1-'Other Assumptions'!M9)</f>
        <v>29.132987174905072</v>
      </c>
      <c r="J40" s="1">
        <f ca="1">'Total Duration Tables Sup #2'!J40*(1-'Other Assumptions'!N9)</f>
        <v>23.536952812605268</v>
      </c>
      <c r="K40" s="1">
        <f ca="1">'Total Duration Tables Sup #2'!K40*(1-'Other Assumptions'!O9)</f>
        <v>23.718999464213965</v>
      </c>
    </row>
    <row r="41" spans="1:11" x14ac:dyDescent="0.25">
      <c r="A41" t="str">
        <f ca="1">OFFSET(BOP_Reference,21,2)</f>
        <v>Light Vehicle Passenger</v>
      </c>
      <c r="B41" s="4">
        <f ca="1">'Total Duration Tables Sup #2'!B41</f>
        <v>28.895615969000001</v>
      </c>
      <c r="C41" s="4">
        <f ca="1">'Total Duration Tables Sup #2'!C41*(1-'Other Assumptions'!G9)</f>
        <v>30.54112861682119</v>
      </c>
      <c r="D41" s="4">
        <f ca="1">'Total Duration Tables Sup #2'!D41*(1-'Other Assumptions'!H9)</f>
        <v>31.047603698203421</v>
      </c>
      <c r="E41" s="4">
        <f ca="1">'Total Duration Tables Sup #2'!E41*(1-'Other Assumptions'!I9)</f>
        <v>28.145636700326822</v>
      </c>
      <c r="F41" s="4">
        <f ca="1">'Total Duration Tables Sup #2'!F41*(1-'Other Assumptions'!J9)</f>
        <v>25.022610455194755</v>
      </c>
      <c r="G41" s="4">
        <f ca="1">'Total Duration Tables Sup #2'!G41*(1-'Other Assumptions'!K9)</f>
        <v>21.733497822429186</v>
      </c>
      <c r="H41" s="4">
        <f ca="1">'Total Duration Tables Sup #2'!H41*(1-'Other Assumptions'!L9)</f>
        <v>18.395021479696894</v>
      </c>
      <c r="I41" s="1">
        <f ca="1">'Total Duration Tables Sup #2'!I41*(1-'Other Assumptions'!M9)</f>
        <v>15.54534986904943</v>
      </c>
      <c r="J41" s="1">
        <f ca="1">'Total Duration Tables Sup #2'!J41*(1-'Other Assumptions'!N9)</f>
        <v>12.571580216539576</v>
      </c>
      <c r="K41" s="1">
        <f ca="1">'Total Duration Tables Sup #2'!K41*(1-'Other Assumptions'!O9)</f>
        <v>12.681115657191938</v>
      </c>
    </row>
    <row r="42" spans="1:11" x14ac:dyDescent="0.25">
      <c r="A42" t="str">
        <f ca="1">OFFSET(BOP_Reference,28,2)</f>
        <v>Taxi/Vehicle Share</v>
      </c>
      <c r="B42" s="4">
        <f ca="1">'Total Duration Tables Sup #2'!B42</f>
        <v>7.3048454499999999E-2</v>
      </c>
      <c r="C42" s="4">
        <f ca="1">'Total Duration Tables Sup #2'!C42+((C40+C41)*'Other Assumptions'!G9/(1-'Other Assumptions'!G9))</f>
        <v>8.3726969789043246E-2</v>
      </c>
      <c r="D42" s="4">
        <f ca="1">'Total Duration Tables Sup #2'!D42+((D40+D41)*'Other Assumptions'!H9/(1-'Other Assumptions'!H9))</f>
        <v>9.1548322185773204E-2</v>
      </c>
      <c r="E42" s="4">
        <f ca="1">'Total Duration Tables Sup #2'!E42+((E40+E41)*'Other Assumptions'!I9/(1-'Other Assumptions'!I9))</f>
        <v>8.6593483362088168</v>
      </c>
      <c r="F42" s="4">
        <f ca="1">'Total Duration Tables Sup #2'!F42+((F40+F41)*'Other Assumptions'!J9/(1-'Other Assumptions'!J9))</f>
        <v>17.537762513875787</v>
      </c>
      <c r="G42" s="4">
        <f ca="1">'Total Duration Tables Sup #2'!G42+((G40+G41)*'Other Assumptions'!K9/(1-'Other Assumptions'!K9))</f>
        <v>26.472066607479736</v>
      </c>
      <c r="H42" s="4">
        <f ca="1">'Total Duration Tables Sup #2'!H42+((H40+H41)*'Other Assumptions'!L9/(1-'Other Assumptions'!L9))</f>
        <v>35.377614841126857</v>
      </c>
      <c r="I42" s="1">
        <f ca="1">'Total Duration Tables Sup #2'!I42+((I40+I41)*'Other Assumptions'!M9/(1-'Other Assumptions'!M9))</f>
        <v>44.788955082760594</v>
      </c>
      <c r="J42" s="1">
        <f ca="1">'Total Duration Tables Sup #2'!J42+((J40+J41)*'Other Assumptions'!N9/(1-'Other Assumptions'!N9))</f>
        <v>54.274320059227001</v>
      </c>
      <c r="K42" s="1">
        <f ca="1">'Total Duration Tables Sup #2'!K42+((K40+K41)*'Other Assumptions'!O9/(1-'Other Assumptions'!O9))</f>
        <v>54.71236309864085</v>
      </c>
    </row>
    <row r="43" spans="1:11" x14ac:dyDescent="0.25">
      <c r="A43" t="str">
        <f ca="1">OFFSET(BOP_Reference,35,2)</f>
        <v>Motorcyclist</v>
      </c>
      <c r="B43" s="4">
        <f ca="1">'Total Duration Tables Sup #2'!B43</f>
        <v>0.60409197079999999</v>
      </c>
      <c r="C43" s="4">
        <f ca="1">'Total Duration Tables Sup #2'!C43</f>
        <v>0.66004571046755245</v>
      </c>
      <c r="D43" s="4">
        <f ca="1">'Total Duration Tables Sup #2'!D43</f>
        <v>0.68809289372707527</v>
      </c>
      <c r="E43" s="4">
        <f ca="1">'Total Duration Tables Sup #2'!E43</f>
        <v>0.70600036466775906</v>
      </c>
      <c r="F43" s="4">
        <f ca="1">'Total Duration Tables Sup #2'!F43</f>
        <v>0.72023150748326836</v>
      </c>
      <c r="G43" s="4">
        <f ca="1">'Total Duration Tables Sup #2'!G43</f>
        <v>0.72312455176499135</v>
      </c>
      <c r="H43" s="4">
        <f ca="1">'Total Duration Tables Sup #2'!H43</f>
        <v>0.72195542706096083</v>
      </c>
      <c r="I43" s="1">
        <f ca="1">'Total Duration Tables Sup #2'!I43</f>
        <v>0.73523297228854601</v>
      </c>
      <c r="J43" s="1">
        <f ca="1">'Total Duration Tables Sup #2'!J43</f>
        <v>0.74637588847236247</v>
      </c>
      <c r="K43" s="1">
        <f ca="1">'Total Duration Tables Sup #2'!K43</f>
        <v>0.75606217505843365</v>
      </c>
    </row>
    <row r="44" spans="1:11" x14ac:dyDescent="0.25">
      <c r="A44" t="str">
        <f ca="1">OFFSET(Auckland_Reference,42,2)</f>
        <v>Local Train</v>
      </c>
      <c r="B44" s="4">
        <f ca="1">'Total Duration Tables Sup #2'!B44</f>
        <v>0</v>
      </c>
      <c r="C44" s="4">
        <f ca="1">'Total Duration Tables Sup #2'!C44</f>
        <v>0</v>
      </c>
      <c r="D44" s="4">
        <f ca="1">'Total Duration Tables Sup #2'!D44</f>
        <v>0</v>
      </c>
      <c r="E44" s="4">
        <f ca="1">'Total Duration Tables Sup #2'!E44</f>
        <v>0</v>
      </c>
      <c r="F44" s="4">
        <f ca="1">'Total Duration Tables Sup #2'!F44</f>
        <v>0</v>
      </c>
      <c r="G44" s="4">
        <f ca="1">'Total Duration Tables Sup #2'!G44</f>
        <v>0</v>
      </c>
      <c r="H44" s="4">
        <f ca="1">'Total Duration Tables Sup #2'!H44</f>
        <v>0</v>
      </c>
      <c r="I44" s="1">
        <f ca="1">'Total Duration Tables Sup #2'!I44</f>
        <v>0</v>
      </c>
      <c r="J44" s="1">
        <f ca="1">'Total Duration Tables Sup #2'!J44</f>
        <v>0</v>
      </c>
      <c r="K44" s="1">
        <f ca="1">'Total Duration Tables Sup #2'!K44</f>
        <v>0</v>
      </c>
    </row>
    <row r="45" spans="1:11" x14ac:dyDescent="0.25">
      <c r="A45" t="str">
        <f ca="1">OFFSET(BOP_Reference,42,2)</f>
        <v>Local Bus</v>
      </c>
      <c r="B45" s="4">
        <f ca="1">'Total Duration Tables Sup #2'!B45</f>
        <v>2.9412276716000001</v>
      </c>
      <c r="C45" s="4">
        <f ca="1">'Total Duration Tables Sup #2'!C45</f>
        <v>2.9204116404580907</v>
      </c>
      <c r="D45" s="4">
        <f ca="1">'Total Duration Tables Sup #2'!D45</f>
        <v>2.8746768957586468</v>
      </c>
      <c r="E45" s="4">
        <f ca="1">'Total Duration Tables Sup #2'!E45</f>
        <v>2.8450987353982051</v>
      </c>
      <c r="F45" s="4">
        <f ca="1">'Total Duration Tables Sup #2'!F45</f>
        <v>2.778979858606311</v>
      </c>
      <c r="G45" s="4">
        <f ca="1">'Total Duration Tables Sup #2'!G45</f>
        <v>2.7280958196620264</v>
      </c>
      <c r="H45" s="4">
        <f ca="1">'Total Duration Tables Sup #2'!H45</f>
        <v>2.6669083566416876</v>
      </c>
      <c r="I45" s="1">
        <f ca="1">'Total Duration Tables Sup #2'!I45</f>
        <v>2.7083386088945032</v>
      </c>
      <c r="J45" s="1">
        <f ca="1">'Total Duration Tables Sup #2'!J45</f>
        <v>2.741670009384332</v>
      </c>
      <c r="K45" s="1">
        <f ca="1">'Total Duration Tables Sup #2'!K45</f>
        <v>2.7694592891511807</v>
      </c>
    </row>
    <row r="46" spans="1:11" x14ac:dyDescent="0.25">
      <c r="A46" t="str">
        <f ca="1">OFFSET(Waikato_Reference,56,2)</f>
        <v>Local Ferry</v>
      </c>
      <c r="B46" s="4">
        <f ca="1">'Total Duration Tables Sup #2'!B46</f>
        <v>0</v>
      </c>
      <c r="C46" s="4">
        <f ca="1">'Total Duration Tables Sup #2'!C46</f>
        <v>0</v>
      </c>
      <c r="D46" s="4">
        <f ca="1">'Total Duration Tables Sup #2'!D46</f>
        <v>0</v>
      </c>
      <c r="E46" s="4">
        <f ca="1">'Total Duration Tables Sup #2'!E46</f>
        <v>0</v>
      </c>
      <c r="F46" s="4">
        <f ca="1">'Total Duration Tables Sup #2'!F46</f>
        <v>0</v>
      </c>
      <c r="G46" s="4">
        <f ca="1">'Total Duration Tables Sup #2'!G46</f>
        <v>0</v>
      </c>
      <c r="H46" s="4">
        <f ca="1">'Total Duration Tables Sup #2'!H46</f>
        <v>0</v>
      </c>
      <c r="I46" s="1">
        <f ca="1">'Total Duration Tables Sup #2'!I46</f>
        <v>0</v>
      </c>
      <c r="J46" s="1">
        <f ca="1">'Total Duration Tables Sup #2'!J46</f>
        <v>0</v>
      </c>
      <c r="K46" s="1">
        <f ca="1">'Total Duration Tables Sup #2'!K46</f>
        <v>0</v>
      </c>
    </row>
    <row r="47" spans="1:11" x14ac:dyDescent="0.25">
      <c r="A47" t="str">
        <f ca="1">OFFSET(BOP_Reference,49,2)</f>
        <v>Other Household Travel</v>
      </c>
      <c r="B47" s="4">
        <f ca="1">'Total Duration Tables Sup #2'!B47</f>
        <v>0.21279540499999999</v>
      </c>
      <c r="C47" s="4">
        <f ca="1">'Total Duration Tables Sup #2'!C47</f>
        <v>0.23343081018579354</v>
      </c>
      <c r="D47" s="4">
        <f ca="1">'Total Duration Tables Sup #2'!D47</f>
        <v>0.24619403524987116</v>
      </c>
      <c r="E47" s="4">
        <f ca="1">'Total Duration Tables Sup #2'!E47</f>
        <v>0.25214004080208879</v>
      </c>
      <c r="F47" s="4">
        <f ca="1">'Total Duration Tables Sup #2'!F47</f>
        <v>0.2559280922053353</v>
      </c>
      <c r="G47" s="4">
        <f ca="1">'Total Duration Tables Sup #2'!G47</f>
        <v>0.26029397836792956</v>
      </c>
      <c r="H47" s="4">
        <f ca="1">'Total Duration Tables Sup #2'!H47</f>
        <v>0.26279098845230292</v>
      </c>
      <c r="I47" s="1">
        <f ca="1">'Total Duration Tables Sup #2'!I47</f>
        <v>0.26539780131336321</v>
      </c>
      <c r="J47" s="1">
        <f ca="1">'Total Duration Tables Sup #2'!J47</f>
        <v>0.26719173753457698</v>
      </c>
      <c r="K47" s="1">
        <f ca="1">'Total Duration Tables Sup #2'!K47</f>
        <v>0.26843449110045681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'Total Duration Tables Sup #2'!B49</f>
        <v>2.2694063563000002</v>
      </c>
      <c r="C49" s="4">
        <f ca="1">'Total Duration Tables Sup #2'!C49</f>
        <v>2.3014296027455621</v>
      </c>
      <c r="D49" s="4">
        <f ca="1">'Total Duration Tables Sup #2'!D49</f>
        <v>2.4373265278720435</v>
      </c>
      <c r="E49" s="4">
        <f ca="1">'Total Duration Tables Sup #2'!E49</f>
        <v>2.5449621296965916</v>
      </c>
      <c r="F49" s="4">
        <f ca="1">'Total Duration Tables Sup #2'!F49</f>
        <v>2.6235509955665095</v>
      </c>
      <c r="G49" s="4">
        <f ca="1">'Total Duration Tables Sup #2'!G49</f>
        <v>2.6808791302096333</v>
      </c>
      <c r="H49" s="4">
        <f ca="1">'Total Duration Tables Sup #2'!H49</f>
        <v>2.7232680347050278</v>
      </c>
      <c r="I49" s="1">
        <f ca="1">'Total Duration Tables Sup #2'!I49</f>
        <v>2.6955749250213228</v>
      </c>
      <c r="J49" s="1">
        <f ca="1">'Total Duration Tables Sup #2'!J49</f>
        <v>2.659697227703623</v>
      </c>
      <c r="K49" s="1">
        <f ca="1">'Total Duration Tables Sup #2'!K49</f>
        <v>2.6186833706797072</v>
      </c>
    </row>
    <row r="50" spans="1:11" x14ac:dyDescent="0.25">
      <c r="A50" t="str">
        <f ca="1">OFFSET(Gisborne_Reference,7,2)</f>
        <v>Cyclist</v>
      </c>
      <c r="B50" s="4">
        <f ca="1">'Total Duration Tables Sup #2'!B50</f>
        <v>0.28046850410000002</v>
      </c>
      <c r="C50" s="4">
        <f ca="1">'Total Duration Tables Sup #2'!C50</f>
        <v>0.29178683265057109</v>
      </c>
      <c r="D50" s="4">
        <f ca="1">'Total Duration Tables Sup #2'!D50</f>
        <v>0.41230514705948895</v>
      </c>
      <c r="E50" s="4">
        <f ca="1">'Total Duration Tables Sup #2'!E50</f>
        <v>0.52637673453052147</v>
      </c>
      <c r="F50" s="4">
        <f ca="1">'Total Duration Tables Sup #2'!F50</f>
        <v>0.6431715164955869</v>
      </c>
      <c r="G50" s="4">
        <f ca="1">'Total Duration Tables Sup #2'!G50</f>
        <v>0.7654587099320046</v>
      </c>
      <c r="H50" s="4">
        <f ca="1">'Total Duration Tables Sup #2'!H50</f>
        <v>0.88938257907460527</v>
      </c>
      <c r="I50" s="1">
        <f ca="1">'Total Duration Tables Sup #2'!I50</f>
        <v>0.88453210217599043</v>
      </c>
      <c r="J50" s="1">
        <f ca="1">'Total Duration Tables Sup #2'!J50</f>
        <v>0.87695720942197675</v>
      </c>
      <c r="K50" s="1">
        <f ca="1">'Total Duration Tables Sup #2'!K50</f>
        <v>0.86762637047223734</v>
      </c>
    </row>
    <row r="51" spans="1:11" x14ac:dyDescent="0.25">
      <c r="A51" t="str">
        <f ca="1">OFFSET(Gisborne_Reference,14,2)</f>
        <v>Light Vehicle Driver</v>
      </c>
      <c r="B51" s="4">
        <f ca="1">'Total Duration Tables Sup #2'!B51</f>
        <v>6.0182660548999998</v>
      </c>
      <c r="C51" s="4">
        <f ca="1">'Total Duration Tables Sup #2'!C51*(1-'Other Assumptions'!G10)</f>
        <v>6.3120986913160628</v>
      </c>
      <c r="D51" s="4">
        <f ca="1">'Total Duration Tables Sup #2'!D51*(1-'Other Assumptions'!H10)</f>
        <v>6.3674250450121015</v>
      </c>
      <c r="E51" s="4">
        <f ca="1">'Total Duration Tables Sup #2'!E51*(1-'Other Assumptions'!I10)</f>
        <v>5.7655088769327065</v>
      </c>
      <c r="F51" s="4">
        <f ca="1">'Total Duration Tables Sup #2'!F51*(1-'Other Assumptions'!J10)</f>
        <v>5.1281124880758906</v>
      </c>
      <c r="G51" s="4">
        <f ca="1">'Total Duration Tables Sup #2'!G51*(1-'Other Assumptions'!K10)</f>
        <v>4.4331377328362596</v>
      </c>
      <c r="H51" s="4">
        <f ca="1">'Total Duration Tables Sup #2'!H51*(1-'Other Assumptions'!L10)</f>
        <v>3.7359105144173199</v>
      </c>
      <c r="I51" s="1">
        <f ca="1">'Total Duration Tables Sup #2'!I51*(1-'Other Assumptions'!M10)</f>
        <v>3.0799262230129627</v>
      </c>
      <c r="J51" s="1">
        <f ca="1">'Total Duration Tables Sup #2'!J51*(1-'Other Assumptions'!N10)</f>
        <v>2.4298272671845438</v>
      </c>
      <c r="K51" s="1">
        <f ca="1">'Total Duration Tables Sup #2'!K51*(1-'Other Assumptions'!O10)</f>
        <v>2.3910628130803828</v>
      </c>
    </row>
    <row r="52" spans="1:11" x14ac:dyDescent="0.25">
      <c r="A52" t="str">
        <f ca="1">OFFSET(Gisborne_Reference,21,2)</f>
        <v>Light Vehicle Passenger</v>
      </c>
      <c r="B52" s="4">
        <f ca="1">'Total Duration Tables Sup #2'!B52</f>
        <v>4.5909579553000004</v>
      </c>
      <c r="C52" s="4">
        <f ca="1">'Total Duration Tables Sup #2'!C52*(1-'Other Assumptions'!G10)</f>
        <v>4.6146003240498166</v>
      </c>
      <c r="D52" s="4">
        <f ca="1">'Total Duration Tables Sup #2'!D52*(1-'Other Assumptions'!H10)</f>
        <v>4.5280945730446298</v>
      </c>
      <c r="E52" s="4">
        <f ca="1">'Total Duration Tables Sup #2'!E52*(1-'Other Assumptions'!I10)</f>
        <v>3.9873363773167432</v>
      </c>
      <c r="F52" s="4">
        <f ca="1">'Total Duration Tables Sup #2'!F52*(1-'Other Assumptions'!J10)</f>
        <v>3.4440181051838552</v>
      </c>
      <c r="G52" s="4">
        <f ca="1">'Total Duration Tables Sup #2'!G52*(1-'Other Assumptions'!K10)</f>
        <v>2.9016158192857326</v>
      </c>
      <c r="H52" s="4">
        <f ca="1">'Total Duration Tables Sup #2'!H52*(1-'Other Assumptions'!L10)</f>
        <v>2.3814967150798343</v>
      </c>
      <c r="I52" s="1">
        <f ca="1">'Total Duration Tables Sup #2'!I52*(1-'Other Assumptions'!M10)</f>
        <v>1.965276748038739</v>
      </c>
      <c r="J52" s="1">
        <f ca="1">'Total Duration Tables Sup #2'!J52*(1-'Other Assumptions'!N10)</f>
        <v>1.551979740016513</v>
      </c>
      <c r="K52" s="1">
        <f ca="1">'Total Duration Tables Sup #2'!K52*(1-'Other Assumptions'!O10)</f>
        <v>1.5287132901894656</v>
      </c>
    </row>
    <row r="53" spans="1:11" x14ac:dyDescent="0.25">
      <c r="A53" t="str">
        <f ca="1">OFFSET(Gisborne_Reference,28,2)</f>
        <v>Taxi/Vehicle Share</v>
      </c>
      <c r="B53" s="4">
        <f ca="1">'Total Duration Tables Sup #2'!B53</f>
        <v>5.0534828E-3</v>
      </c>
      <c r="C53" s="4">
        <f ca="1">'Total Duration Tables Sup #2'!C53+((C51+C52)*'Other Assumptions'!G10/(1-'Other Assumptions'!G10))</f>
        <v>5.5083659531294342E-3</v>
      </c>
      <c r="D53" s="4">
        <f ca="1">'Total Duration Tables Sup #2'!D53+((D51+D52)*'Other Assumptions'!H10/(1-'Other Assumptions'!H10))</f>
        <v>5.8476133324265071E-3</v>
      </c>
      <c r="E53" s="4">
        <f ca="1">'Total Duration Tables Sup #2'!E53+((E51+E52)*'Other Assumptions'!I10/(1-'Other Assumptions'!I10))</f>
        <v>1.0897610379872589</v>
      </c>
      <c r="F53" s="4">
        <f ca="1">'Total Duration Tables Sup #2'!F53+((F51+F52)*'Other Assumptions'!J10/(1-'Other Assumptions'!J10))</f>
        <v>2.149329436454563</v>
      </c>
      <c r="G53" s="4">
        <f ca="1">'Total Duration Tables Sup #2'!G53+((G51+G52)*'Other Assumptions'!K10/(1-'Other Assumptions'!K10))</f>
        <v>3.1498118580866765</v>
      </c>
      <c r="H53" s="4">
        <f ca="1">'Total Duration Tables Sup #2'!H53+((H51+H52)*'Other Assumptions'!L10/(1-'Other Assumptions'!L10))</f>
        <v>4.0846349791084826</v>
      </c>
      <c r="I53" s="1">
        <f ca="1">'Total Duration Tables Sup #2'!I53+((I51+I52)*'Other Assumptions'!M10/(1-'Other Assumptions'!M10))</f>
        <v>5.0514879895698259</v>
      </c>
      <c r="J53" s="1">
        <f ca="1">'Total Duration Tables Sup #2'!J53+((J51+J52)*'Other Assumptions'!N10/(1-'Other Assumptions'!N10))</f>
        <v>5.9788983466800847</v>
      </c>
      <c r="K53" s="1">
        <f ca="1">'Total Duration Tables Sup #2'!K53+((K51+K52)*'Other Assumptions'!O10/(1-'Other Assumptions'!O10))</f>
        <v>5.8857433095191691</v>
      </c>
    </row>
    <row r="54" spans="1:11" x14ac:dyDescent="0.25">
      <c r="A54" t="str">
        <f ca="1">OFFSET(Gisborne_Reference,35,2)</f>
        <v>Motorcyclist</v>
      </c>
      <c r="B54" s="4">
        <f ca="1">'Total Duration Tables Sup #2'!B54</f>
        <v>4.6418087199999999E-2</v>
      </c>
      <c r="C54" s="4">
        <f ca="1">'Total Duration Tables Sup #2'!C54</f>
        <v>4.8232063348063577E-2</v>
      </c>
      <c r="D54" s="4">
        <f ca="1">'Total Duration Tables Sup #2'!D54</f>
        <v>4.8817973536997621E-2</v>
      </c>
      <c r="E54" s="4">
        <f ca="1">'Total Duration Tables Sup #2'!E54</f>
        <v>4.8944406146483044E-2</v>
      </c>
      <c r="F54" s="4">
        <f ca="1">'Total Duration Tables Sup #2'!F54</f>
        <v>4.8809802278151709E-2</v>
      </c>
      <c r="G54" s="4">
        <f ca="1">'Total Duration Tables Sup #2'!G54</f>
        <v>4.7851032095037993E-2</v>
      </c>
      <c r="H54" s="4">
        <f ca="1">'Total Duration Tables Sup #2'!H54</f>
        <v>4.6654334470742916E-2</v>
      </c>
      <c r="I54" s="1">
        <f ca="1">'Total Duration Tables Sup #2'!I54</f>
        <v>4.6399147269566128E-2</v>
      </c>
      <c r="J54" s="1">
        <f ca="1">'Total Duration Tables Sup #2'!J54</f>
        <v>4.5998750612130969E-2</v>
      </c>
      <c r="K54" s="1">
        <f ca="1">'Total Duration Tables Sup #2'!K54</f>
        <v>4.5503977162622153E-2</v>
      </c>
    </row>
    <row r="55" spans="1:11" x14ac:dyDescent="0.25">
      <c r="A55" t="str">
        <f ca="1">OFFSET(Gisborne_Reference,42,2)</f>
        <v>Local Train</v>
      </c>
      <c r="B55" s="4">
        <f ca="1">'Total Duration Tables Sup #2'!B55</f>
        <v>0</v>
      </c>
      <c r="C55" s="4">
        <f ca="1">'Total Duration Tables Sup #2'!C55</f>
        <v>0</v>
      </c>
      <c r="D55" s="4">
        <f ca="1">'Total Duration Tables Sup #2'!D55</f>
        <v>0</v>
      </c>
      <c r="E55" s="4">
        <f ca="1">'Total Duration Tables Sup #2'!E55</f>
        <v>0</v>
      </c>
      <c r="F55" s="4">
        <f ca="1">'Total Duration Tables Sup #2'!F55</f>
        <v>0</v>
      </c>
      <c r="G55" s="4">
        <f ca="1">'Total Duration Tables Sup #2'!G55</f>
        <v>0</v>
      </c>
      <c r="H55" s="4">
        <f ca="1">'Total Duration Tables Sup #2'!H55</f>
        <v>0</v>
      </c>
      <c r="I55" s="1">
        <f ca="1">'Total Duration Tables Sup #2'!I55</f>
        <v>0</v>
      </c>
      <c r="J55" s="1">
        <f ca="1">'Total Duration Tables Sup #2'!J55</f>
        <v>0</v>
      </c>
      <c r="K55" s="1">
        <f ca="1">'Total Duration Tables Sup #2'!K55</f>
        <v>0</v>
      </c>
    </row>
    <row r="56" spans="1:11" x14ac:dyDescent="0.25">
      <c r="A56" t="str">
        <f ca="1">OFFSET(Gisborne_Reference,49,2)</f>
        <v>Local Bus</v>
      </c>
      <c r="B56" s="4">
        <f ca="1">'Total Duration Tables Sup #2'!B56</f>
        <v>0.17812381360000001</v>
      </c>
      <c r="C56" s="4">
        <f ca="1">'Total Duration Tables Sup #2'!C56</f>
        <v>0.16819576788088281</v>
      </c>
      <c r="D56" s="4">
        <f ca="1">'Total Duration Tables Sup #2'!D56</f>
        <v>0.16074255911880611</v>
      </c>
      <c r="E56" s="4">
        <f ca="1">'Total Duration Tables Sup #2'!E56</f>
        <v>0.15545498226820698</v>
      </c>
      <c r="F56" s="4">
        <f ca="1">'Total Duration Tables Sup #2'!F56</f>
        <v>0.14843266881516604</v>
      </c>
      <c r="G56" s="4">
        <f ca="1">'Total Duration Tables Sup #2'!G56</f>
        <v>0.14228102569432455</v>
      </c>
      <c r="H56" s="4">
        <f ca="1">'Total Duration Tables Sup #2'!H56</f>
        <v>0.13583099130142401</v>
      </c>
      <c r="I56" s="1">
        <f ca="1">'Total Duration Tables Sup #2'!I56</f>
        <v>0.1347091667002667</v>
      </c>
      <c r="J56" s="1">
        <f ca="1">'Total Duration Tables Sup #2'!J56</f>
        <v>0.13317195670319129</v>
      </c>
      <c r="K56" s="1">
        <f ca="1">'Total Duration Tables Sup #2'!K56</f>
        <v>0.13136993822463769</v>
      </c>
    </row>
    <row r="57" spans="1:11" x14ac:dyDescent="0.25">
      <c r="A57" t="str">
        <f ca="1">OFFSET(Gisborne_Reference,56,2)</f>
        <v>Local Ferry</v>
      </c>
      <c r="B57" s="4">
        <f ca="1">'Total Duration Tables Sup #2'!B57</f>
        <v>6.5213138999999981E-3</v>
      </c>
      <c r="C57" s="4">
        <f ca="1">'Total Duration Tables Sup #2'!C57</f>
        <v>6.9650497497373747E-3</v>
      </c>
      <c r="D57" s="4">
        <f ca="1">'Total Duration Tables Sup #2'!D57</f>
        <v>7.1978641739978656E-3</v>
      </c>
      <c r="E57" s="4">
        <f ca="1">'Total Duration Tables Sup #2'!E57</f>
        <v>7.2787644454933662E-3</v>
      </c>
      <c r="F57" s="4">
        <f ca="1">'Total Duration Tables Sup #2'!F57</f>
        <v>7.2512814347918918E-3</v>
      </c>
      <c r="G57" s="4">
        <f ca="1">'Total Duration Tables Sup #2'!G57</f>
        <v>7.3159102280052138E-3</v>
      </c>
      <c r="H57" s="4">
        <f ca="1">'Total Duration Tables Sup #2'!H57</f>
        <v>7.3106704287483927E-3</v>
      </c>
      <c r="I57" s="1">
        <f ca="1">'Total Duration Tables Sup #2'!I57</f>
        <v>7.128119786743956E-3</v>
      </c>
      <c r="J57" s="1">
        <f ca="1">'Total Duration Tables Sup #2'!J57</f>
        <v>6.9296296930550809E-3</v>
      </c>
      <c r="K57" s="1">
        <f ca="1">'Total Duration Tables Sup #2'!K57</f>
        <v>6.723767582515053E-3</v>
      </c>
    </row>
    <row r="58" spans="1:11" x14ac:dyDescent="0.25">
      <c r="A58" t="str">
        <f ca="1">OFFSET(Gisborne_Reference,63,2)</f>
        <v>Other Household Travel</v>
      </c>
      <c r="B58" s="4">
        <f ca="1">'Total Duration Tables Sup #2'!B58</f>
        <v>5.2226492000000003E-3</v>
      </c>
      <c r="C58" s="4">
        <f ca="1">'Total Duration Tables Sup #2'!C58</f>
        <v>5.4483429771967065E-3</v>
      </c>
      <c r="D58" s="4">
        <f ca="1">'Total Duration Tables Sup #2'!D58</f>
        <v>5.5789778213132099E-3</v>
      </c>
      <c r="E58" s="4">
        <f ca="1">'Total Duration Tables Sup #2'!E58</f>
        <v>5.5832154892161787E-3</v>
      </c>
      <c r="F58" s="4">
        <f ca="1">'Total Duration Tables Sup #2'!F58</f>
        <v>5.5398413133402897E-3</v>
      </c>
      <c r="G58" s="4">
        <f ca="1">'Total Duration Tables Sup #2'!G58</f>
        <v>5.5015714415038467E-3</v>
      </c>
      <c r="H58" s="4">
        <f ca="1">'Total Duration Tables Sup #2'!H58</f>
        <v>5.424210247717165E-3</v>
      </c>
      <c r="I58" s="1">
        <f ca="1">'Total Duration Tables Sup #2'!I58</f>
        <v>5.3496673499985117E-3</v>
      </c>
      <c r="J58" s="1">
        <f ca="1">'Total Duration Tables Sup #2'!J58</f>
        <v>5.2596384563420445E-3</v>
      </c>
      <c r="K58" s="1">
        <f ca="1">'Total Duration Tables Sup #2'!K58</f>
        <v>5.1602957892349652E-3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'Total Duration Tables Sup #2'!B60</f>
        <v>5.9462513095</v>
      </c>
      <c r="C60" s="4">
        <f ca="1">'Total Duration Tables Sup #2'!C60</f>
        <v>6.0692678125483877</v>
      </c>
      <c r="D60" s="4">
        <f ca="1">'Total Duration Tables Sup #2'!D60</f>
        <v>6.4374517099404578</v>
      </c>
      <c r="E60" s="4">
        <f ca="1">'Total Duration Tables Sup #2'!E60</f>
        <v>6.7402571046829811</v>
      </c>
      <c r="F60" s="4">
        <f ca="1">'Total Duration Tables Sup #2'!F60</f>
        <v>6.9598046468737742</v>
      </c>
      <c r="G60" s="4">
        <f ca="1">'Total Duration Tables Sup #2'!G60</f>
        <v>7.1343777149777567</v>
      </c>
      <c r="H60" s="4">
        <f ca="1">'Total Duration Tables Sup #2'!H60</f>
        <v>7.2652317677568012</v>
      </c>
      <c r="I60" s="1">
        <f ca="1">'Total Duration Tables Sup #2'!I60</f>
        <v>7.2092604052518805</v>
      </c>
      <c r="J60" s="1">
        <f ca="1">'Total Duration Tables Sup #2'!J60</f>
        <v>7.1310211747041068</v>
      </c>
      <c r="K60" s="1">
        <f ca="1">'Total Duration Tables Sup #2'!K60</f>
        <v>7.0385424797173615</v>
      </c>
    </row>
    <row r="61" spans="1:11" x14ac:dyDescent="0.25">
      <c r="A61" t="str">
        <f ca="1">OFFSET(Hawkes_Bay_Reference,7,2)</f>
        <v>Cyclist</v>
      </c>
      <c r="B61" s="4">
        <f ca="1">'Total Duration Tables Sup #2'!B61</f>
        <v>0.88401106659999995</v>
      </c>
      <c r="C61" s="4">
        <f ca="1">'Total Duration Tables Sup #2'!C61</f>
        <v>0.92565021607367326</v>
      </c>
      <c r="D61" s="4">
        <f ca="1">'Total Duration Tables Sup #2'!D61</f>
        <v>1.3099708623670749</v>
      </c>
      <c r="E61" s="4">
        <f ca="1">'Total Duration Tables Sup #2'!E61</f>
        <v>1.6770052982404595</v>
      </c>
      <c r="F61" s="4">
        <f ca="1">'Total Duration Tables Sup #2'!F61</f>
        <v>2.0524706377915427</v>
      </c>
      <c r="G61" s="4">
        <f ca="1">'Total Duration Tables Sup #2'!G61</f>
        <v>2.45043532304059</v>
      </c>
      <c r="H61" s="4">
        <f ca="1">'Total Duration Tables Sup #2'!H61</f>
        <v>2.8542388537694809</v>
      </c>
      <c r="I61" s="1">
        <f ca="1">'Total Duration Tables Sup #2'!I61</f>
        <v>2.8457419431953106</v>
      </c>
      <c r="J61" s="1">
        <f ca="1">'Total Duration Tables Sup #2'!J61</f>
        <v>2.8283981121238084</v>
      </c>
      <c r="K61" s="1">
        <f ca="1">'Total Duration Tables Sup #2'!K61</f>
        <v>2.8052727924172949</v>
      </c>
    </row>
    <row r="62" spans="1:11" x14ac:dyDescent="0.25">
      <c r="A62" t="str">
        <f ca="1">OFFSET(Hawkes_Bay_Reference,14,2)</f>
        <v>Light Vehicle Driver</v>
      </c>
      <c r="B62" s="4">
        <f ca="1">'Total Duration Tables Sup #2'!B62</f>
        <v>25.377986313000001</v>
      </c>
      <c r="C62" s="4">
        <f ca="1">'Total Duration Tables Sup #2'!C62*(1-'Other Assumptions'!G11)</f>
        <v>26.789658021715166</v>
      </c>
      <c r="D62" s="4">
        <f ca="1">'Total Duration Tables Sup #2'!D62*(1-'Other Assumptions'!H11)</f>
        <v>27.15280145532283</v>
      </c>
      <c r="E62" s="4">
        <f ca="1">'Total Duration Tables Sup #2'!E62*(1-'Other Assumptions'!I11)</f>
        <v>24.730337667798938</v>
      </c>
      <c r="F62" s="4">
        <f ca="1">'Total Duration Tables Sup #2'!F62*(1-'Other Assumptions'!J11)</f>
        <v>22.098773777612401</v>
      </c>
      <c r="G62" s="4">
        <f ca="1">'Total Duration Tables Sup #2'!G62*(1-'Other Assumptions'!K11)</f>
        <v>19.222910500745783</v>
      </c>
      <c r="H62" s="4">
        <f ca="1">'Total Duration Tables Sup #2'!H62*(1-'Other Assumptions'!L11)</f>
        <v>16.289903760941719</v>
      </c>
      <c r="I62" s="1">
        <f ca="1">'Total Duration Tables Sup #2'!I62*(1-'Other Assumptions'!M11)</f>
        <v>13.463514990157169</v>
      </c>
      <c r="J62" s="1">
        <f ca="1">'Total Duration Tables Sup #2'!J62*(1-'Other Assumptions'!N11)</f>
        <v>10.648534121447943</v>
      </c>
      <c r="K62" s="1">
        <f ca="1">'Total Duration Tables Sup #2'!K62*(1-'Other Assumptions'!O11)</f>
        <v>10.505140765704079</v>
      </c>
    </row>
    <row r="63" spans="1:11" x14ac:dyDescent="0.25">
      <c r="A63" t="str">
        <f ca="1">OFFSET(Hawkes_Bay_Reference,21,2)</f>
        <v>Light Vehicle Passenger</v>
      </c>
      <c r="B63" s="4">
        <f ca="1">'Total Duration Tables Sup #2'!B63</f>
        <v>15.230731736999999</v>
      </c>
      <c r="C63" s="4">
        <f ca="1">'Total Duration Tables Sup #2'!C63*(1-'Other Assumptions'!G11)</f>
        <v>15.408457295801387</v>
      </c>
      <c r="D63" s="4">
        <f ca="1">'Total Duration Tables Sup #2'!D63*(1-'Other Assumptions'!H11)</f>
        <v>15.171824503459646</v>
      </c>
      <c r="E63" s="4">
        <f ca="1">'Total Duration Tables Sup #2'!E63*(1-'Other Assumptions'!I11)</f>
        <v>13.423078015049324</v>
      </c>
      <c r="F63" s="4">
        <f ca="1">'Total Duration Tables Sup #2'!F63*(1-'Other Assumptions'!J11)</f>
        <v>11.636310612611487</v>
      </c>
      <c r="G63" s="4">
        <f ca="1">'Total Duration Tables Sup #2'!G63*(1-'Other Assumptions'!K11)</f>
        <v>9.8551753410544354</v>
      </c>
      <c r="H63" s="4">
        <f ca="1">'Total Duration Tables Sup #2'!H63*(1-'Other Assumptions'!L11)</f>
        <v>8.1263692144229687</v>
      </c>
      <c r="I63" s="1">
        <f ca="1">'Total Duration Tables Sup #2'!I63*(1-'Other Assumptions'!M11)</f>
        <v>6.7228335929547489</v>
      </c>
      <c r="J63" s="1">
        <f ca="1">'Total Duration Tables Sup #2'!J63*(1-'Other Assumptions'!N11)</f>
        <v>5.3222693870378599</v>
      </c>
      <c r="K63" s="1">
        <f ca="1">'Total Duration Tables Sup #2'!K63*(1-'Other Assumptions'!O11)</f>
        <v>5.2555610096455458</v>
      </c>
    </row>
    <row r="64" spans="1:11" x14ac:dyDescent="0.25">
      <c r="A64" t="str">
        <f ca="1">OFFSET(Hawkes_Bay_Reference,28,2)</f>
        <v>Taxi/Vehicle Share</v>
      </c>
      <c r="B64" s="4">
        <f ca="1">'Total Duration Tables Sup #2'!B64</f>
        <v>4.5837477299999999E-2</v>
      </c>
      <c r="C64" s="4">
        <f ca="1">'Total Duration Tables Sup #2'!C64+((C62+C63)*'Other Assumptions'!G11/(1-'Other Assumptions'!G11))</f>
        <v>5.0287531164975988E-2</v>
      </c>
      <c r="D64" s="4">
        <f ca="1">'Total Duration Tables Sup #2'!D64+((D62+D63)*'Other Assumptions'!H11/(1-'Other Assumptions'!H11))</f>
        <v>5.3466017886829996E-2</v>
      </c>
      <c r="E64" s="4">
        <f ca="1">'Total Duration Tables Sup #2'!E64+((E62+E63)*'Other Assumptions'!I11/(1-'Other Assumptions'!I11))</f>
        <v>4.2953017501142812</v>
      </c>
      <c r="F64" s="4">
        <f ca="1">'Total Duration Tables Sup #2'!F64+((F62+F63)*'Other Assumptions'!J11/(1-'Other Assumptions'!J11))</f>
        <v>8.49159741602036</v>
      </c>
      <c r="G64" s="4">
        <f ca="1">'Total Duration Tables Sup #2'!G64+((G62+G63)*'Other Assumptions'!K11/(1-'Other Assumptions'!K11))</f>
        <v>12.5204998138621</v>
      </c>
      <c r="H64" s="4">
        <f ca="1">'Total Duration Tables Sup #2'!H64+((H62+H63)*'Other Assumptions'!L11/(1-'Other Assumptions'!L11))</f>
        <v>16.3362850290121</v>
      </c>
      <c r="I64" s="1">
        <f ca="1">'Total Duration Tables Sup #2'!I64+((I62+I63)*'Other Assumptions'!M11/(1-'Other Assumptions'!M11))</f>
        <v>20.244538105106592</v>
      </c>
      <c r="J64" s="1">
        <f ca="1">'Total Duration Tables Sup #2'!J64+((J62+J63)*'Other Assumptions'!N11/(1-'Other Assumptions'!N11))</f>
        <v>24.013637698369763</v>
      </c>
      <c r="K64" s="1">
        <f ca="1">'Total Duration Tables Sup #2'!K64+((K62+K63)*'Other Assumptions'!O11/(1-'Other Assumptions'!O11))</f>
        <v>23.697616890190329</v>
      </c>
    </row>
    <row r="65" spans="1:11" x14ac:dyDescent="0.25">
      <c r="A65" t="str">
        <f ca="1">OFFSET(Hawkes_Bay_Reference,35,2)</f>
        <v>Motorcyclist</v>
      </c>
      <c r="B65" s="4">
        <f ca="1">'Total Duration Tables Sup #2'!B65</f>
        <v>0.11763194120000001</v>
      </c>
      <c r="C65" s="4">
        <f ca="1">'Total Duration Tables Sup #2'!C65</f>
        <v>0.12302163045062517</v>
      </c>
      <c r="D65" s="4">
        <f ca="1">'Total Duration Tables Sup #2'!D65</f>
        <v>0.1247059132771377</v>
      </c>
      <c r="E65" s="4">
        <f ca="1">'Total Duration Tables Sup #2'!E65</f>
        <v>0.12537335070530159</v>
      </c>
      <c r="F65" s="4">
        <f ca="1">'Total Duration Tables Sup #2'!F65</f>
        <v>0.12523381726408178</v>
      </c>
      <c r="G65" s="4">
        <f ca="1">'Total Duration Tables Sup #2'!G65</f>
        <v>0.123162133882704</v>
      </c>
      <c r="H65" s="4">
        <f ca="1">'Total Duration Tables Sup #2'!H65</f>
        <v>0.12038104642522429</v>
      </c>
      <c r="I65" s="1">
        <f ca="1">'Total Duration Tables Sup #2'!I65</f>
        <v>0.12002074963649764</v>
      </c>
      <c r="J65" s="1">
        <f ca="1">'Total Duration Tables Sup #2'!J65</f>
        <v>0.11928136271121009</v>
      </c>
      <c r="K65" s="1">
        <f ca="1">'Total Duration Tables Sup #2'!K65</f>
        <v>0.1182922066292304</v>
      </c>
    </row>
    <row r="66" spans="1:11" x14ac:dyDescent="0.25">
      <c r="A66" t="str">
        <f ca="1">OFFSET(Auckland_Reference,42,2)</f>
        <v>Local Train</v>
      </c>
      <c r="B66" s="4">
        <f ca="1">'Total Duration Tables Sup #2'!B66</f>
        <v>0</v>
      </c>
      <c r="C66" s="4">
        <f ca="1">'Total Duration Tables Sup #2'!C66</f>
        <v>0</v>
      </c>
      <c r="D66" s="4">
        <f ca="1">'Total Duration Tables Sup #2'!D66</f>
        <v>0</v>
      </c>
      <c r="E66" s="4">
        <f ca="1">'Total Duration Tables Sup #2'!E66</f>
        <v>0</v>
      </c>
      <c r="F66" s="4">
        <f ca="1">'Total Duration Tables Sup #2'!F66</f>
        <v>0</v>
      </c>
      <c r="G66" s="4">
        <f ca="1">'Total Duration Tables Sup #2'!G66</f>
        <v>0</v>
      </c>
      <c r="H66" s="4">
        <f ca="1">'Total Duration Tables Sup #2'!H66</f>
        <v>0</v>
      </c>
      <c r="I66" s="1">
        <f ca="1">'Total Duration Tables Sup #2'!I66</f>
        <v>0</v>
      </c>
      <c r="J66" s="1">
        <f ca="1">'Total Duration Tables Sup #2'!J66</f>
        <v>0</v>
      </c>
      <c r="K66" s="1">
        <f ca="1">'Total Duration Tables Sup #2'!K66</f>
        <v>0</v>
      </c>
    </row>
    <row r="67" spans="1:11" x14ac:dyDescent="0.25">
      <c r="A67" t="str">
        <f ca="1">OFFSET(Hawkes_Bay_Reference,42,2)</f>
        <v>Local Bus</v>
      </c>
      <c r="B67" s="4">
        <f ca="1">'Total Duration Tables Sup #2'!B67</f>
        <v>1.3660147812000001</v>
      </c>
      <c r="C67" s="4">
        <f ca="1">'Total Duration Tables Sup #2'!C67</f>
        <v>1.2982433042351329</v>
      </c>
      <c r="D67" s="4">
        <f ca="1">'Total Duration Tables Sup #2'!D67</f>
        <v>1.242606348192103</v>
      </c>
      <c r="E67" s="4">
        <f ca="1">'Total Duration Tables Sup #2'!E67</f>
        <v>1.2050420588106907</v>
      </c>
      <c r="F67" s="4">
        <f ca="1">'Total Duration Tables Sup #2'!F67</f>
        <v>1.1524960786685718</v>
      </c>
      <c r="G67" s="4">
        <f ca="1">'Total Duration Tables Sup #2'!G67</f>
        <v>1.1082258414285626</v>
      </c>
      <c r="H67" s="4">
        <f ca="1">'Total Duration Tables Sup #2'!H67</f>
        <v>1.060621376440664</v>
      </c>
      <c r="I67" s="1">
        <f ca="1">'Total Duration Tables Sup #2'!I67</f>
        <v>1.0544812834850883</v>
      </c>
      <c r="J67" s="1">
        <f ca="1">'Total Duration Tables Sup #2'!J67</f>
        <v>1.0450443634653628</v>
      </c>
      <c r="K67" s="1">
        <f ca="1">'Total Duration Tables Sup #2'!K67</f>
        <v>1.0334706853395534</v>
      </c>
    </row>
    <row r="68" spans="1:11" x14ac:dyDescent="0.25">
      <c r="A68" t="str">
        <f ca="1">OFFSET(Waikato_Reference,56,2)</f>
        <v>Local Ferry</v>
      </c>
      <c r="B68" s="4">
        <f ca="1">'Total Duration Tables Sup #2'!B68</f>
        <v>0</v>
      </c>
      <c r="C68" s="4">
        <f ca="1">'Total Duration Tables Sup #2'!C68</f>
        <v>0</v>
      </c>
      <c r="D68" s="4">
        <f ca="1">'Total Duration Tables Sup #2'!D68</f>
        <v>0</v>
      </c>
      <c r="E68" s="4">
        <f ca="1">'Total Duration Tables Sup #2'!E68</f>
        <v>0</v>
      </c>
      <c r="F68" s="4">
        <f ca="1">'Total Duration Tables Sup #2'!F68</f>
        <v>0</v>
      </c>
      <c r="G68" s="4">
        <f ca="1">'Total Duration Tables Sup #2'!G68</f>
        <v>0</v>
      </c>
      <c r="H68" s="4">
        <f ca="1">'Total Duration Tables Sup #2'!H68</f>
        <v>0</v>
      </c>
      <c r="I68" s="1">
        <f ca="1">'Total Duration Tables Sup #2'!I68</f>
        <v>0</v>
      </c>
      <c r="J68" s="1">
        <f ca="1">'Total Duration Tables Sup #2'!J68</f>
        <v>0</v>
      </c>
      <c r="K68" s="1">
        <f ca="1">'Total Duration Tables Sup #2'!K68</f>
        <v>0</v>
      </c>
    </row>
    <row r="69" spans="1:11" x14ac:dyDescent="0.25">
      <c r="A69" t="str">
        <f ca="1">OFFSET(Hawkes_Bay_Reference,49,2)</f>
        <v>Other Household Travel</v>
      </c>
      <c r="B69" s="4">
        <f ca="1">'Total Duration Tables Sup #2'!B69</f>
        <v>0.15778150060000001</v>
      </c>
      <c r="C69" s="4">
        <f ca="1">'Total Duration Tables Sup #2'!C69</f>
        <v>0.16566748482517793</v>
      </c>
      <c r="D69" s="4">
        <f ca="1">'Total Duration Tables Sup #2'!D69</f>
        <v>0.16989834058356984</v>
      </c>
      <c r="E69" s="4">
        <f ca="1">'Total Duration Tables Sup #2'!E69</f>
        <v>0.17049583026541223</v>
      </c>
      <c r="F69" s="4">
        <f ca="1">'Total Duration Tables Sup #2'!F69</f>
        <v>0.16944903403247599</v>
      </c>
      <c r="G69" s="4">
        <f ca="1">'Total Duration Tables Sup #2'!G69</f>
        <v>0.16881065493363442</v>
      </c>
      <c r="H69" s="4">
        <f ca="1">'Total Duration Tables Sup #2'!H69</f>
        <v>0.16685139154372172</v>
      </c>
      <c r="I69" s="1">
        <f ca="1">'Total Duration Tables Sup #2'!I69</f>
        <v>0.1649682305786955</v>
      </c>
      <c r="J69" s="1">
        <f ca="1">'Total Duration Tables Sup #2'!J69</f>
        <v>0.16259592267386538</v>
      </c>
      <c r="K69" s="1">
        <f ca="1">'Total Duration Tables Sup #2'!K69</f>
        <v>0.15992213357504778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'Total Duration Tables Sup #2'!B71</f>
        <v>4.7547330373000003</v>
      </c>
      <c r="C71" s="4">
        <f ca="1">'Total Duration Tables Sup #2'!C71</f>
        <v>4.8989286614821053</v>
      </c>
      <c r="D71" s="4">
        <f ca="1">'Total Duration Tables Sup #2'!D71</f>
        <v>5.2390947465758622</v>
      </c>
      <c r="E71" s="4">
        <f ca="1">'Total Duration Tables Sup #2'!E71</f>
        <v>5.5371774689209809</v>
      </c>
      <c r="F71" s="4">
        <f ca="1">'Total Duration Tables Sup #2'!F71</f>
        <v>5.778109614120333</v>
      </c>
      <c r="G71" s="4">
        <f ca="1">'Total Duration Tables Sup #2'!G71</f>
        <v>5.9948273847331643</v>
      </c>
      <c r="H71" s="4">
        <f ca="1">'Total Duration Tables Sup #2'!H71</f>
        <v>6.1877247145800442</v>
      </c>
      <c r="I71" s="1">
        <f ca="1">'Total Duration Tables Sup #2'!I71</f>
        <v>6.2234778849229402</v>
      </c>
      <c r="J71" s="1">
        <f ca="1">'Total Duration Tables Sup #2'!J71</f>
        <v>6.2395761667690506</v>
      </c>
      <c r="K71" s="1">
        <f ca="1">'Total Duration Tables Sup #2'!K71</f>
        <v>6.2423343623177816</v>
      </c>
    </row>
    <row r="72" spans="1:11" x14ac:dyDescent="0.25">
      <c r="A72" t="str">
        <f ca="1">OFFSET(Taranaki_Reference,7,2)</f>
        <v>Cyclist</v>
      </c>
      <c r="B72" s="4">
        <f ca="1">'Total Duration Tables Sup #2'!B72</f>
        <v>0.51341482110000003</v>
      </c>
      <c r="C72" s="4">
        <f ca="1">'Total Duration Tables Sup #2'!C72</f>
        <v>0.54267465976130125</v>
      </c>
      <c r="D72" s="4">
        <f ca="1">'Total Duration Tables Sup #2'!D72</f>
        <v>0.77434005709501819</v>
      </c>
      <c r="E72" s="4">
        <f ca="1">'Total Duration Tables Sup #2'!E72</f>
        <v>1.0006316534416402</v>
      </c>
      <c r="F72" s="4">
        <f ca="1">'Total Duration Tables Sup #2'!F72</f>
        <v>1.2376376193603216</v>
      </c>
      <c r="G72" s="4">
        <f ca="1">'Total Duration Tables Sup #2'!G72</f>
        <v>1.4955180201073013</v>
      </c>
      <c r="H72" s="4">
        <f ca="1">'Total Duration Tables Sup #2'!H72</f>
        <v>1.7656297860760675</v>
      </c>
      <c r="I72" s="1">
        <f ca="1">'Total Duration Tables Sup #2'!I72</f>
        <v>1.7842913691844435</v>
      </c>
      <c r="J72" s="1">
        <f ca="1">'Total Duration Tables Sup #2'!J72</f>
        <v>1.7975116975633185</v>
      </c>
      <c r="K72" s="1">
        <f ca="1">'Total Duration Tables Sup #2'!K72</f>
        <v>1.8070376989806327</v>
      </c>
    </row>
    <row r="73" spans="1:11" x14ac:dyDescent="0.25">
      <c r="A73" t="str">
        <f ca="1">OFFSET(Taranaki_Reference,14,2)</f>
        <v>Light Vehicle Driver</v>
      </c>
      <c r="B73" s="4">
        <f ca="1">'Total Duration Tables Sup #2'!B73</f>
        <v>21.205429401</v>
      </c>
      <c r="C73" s="4">
        <f ca="1">'Total Duration Tables Sup #2'!C73*(1-'Other Assumptions'!G12)</f>
        <v>22.596387726527588</v>
      </c>
      <c r="D73" s="4">
        <f ca="1">'Total Duration Tables Sup #2'!D73*(1-'Other Assumptions'!H12)</f>
        <v>23.119728220155878</v>
      </c>
      <c r="E73" s="4">
        <f ca="1">'Total Duration Tables Sup #2'!E73*(1-'Other Assumptions'!I12)</f>
        <v>21.27985894907107</v>
      </c>
      <c r="F73" s="4">
        <f ca="1">'Total Duration Tables Sup #2'!F73*(1-'Other Assumptions'!J12)</f>
        <v>19.239010082449667</v>
      </c>
      <c r="G73" s="4">
        <f ca="1">'Total Duration Tables Sup #2'!G73*(1-'Other Assumptions'!K12)</f>
        <v>16.958794638026696</v>
      </c>
      <c r="H73" s="4">
        <f ca="1">'Total Duration Tables Sup #2'!H73*(1-'Other Assumptions'!L12)</f>
        <v>14.585062797723683</v>
      </c>
      <c r="I73" s="1">
        <f ca="1">'Total Duration Tables Sup #2'!I73*(1-'Other Assumptions'!M12)</f>
        <v>12.218600849792862</v>
      </c>
      <c r="J73" s="1">
        <f ca="1">'Total Duration Tables Sup #2'!J73*(1-'Other Assumptions'!N12)</f>
        <v>9.7954919042661199</v>
      </c>
      <c r="K73" s="1">
        <f ca="1">'Total Duration Tables Sup #2'!K73*(1-'Other Assumptions'!O12)</f>
        <v>9.7951675612673323</v>
      </c>
    </row>
    <row r="74" spans="1:11" x14ac:dyDescent="0.25">
      <c r="A74" t="str">
        <f ca="1">OFFSET(Taranaki_Reference,21,2)</f>
        <v>Light Vehicle Passenger</v>
      </c>
      <c r="B74" s="4">
        <f ca="1">'Total Duration Tables Sup #2'!B74</f>
        <v>13.125178352000001</v>
      </c>
      <c r="C74" s="4">
        <f ca="1">'Total Duration Tables Sup #2'!C74*(1-'Other Assumptions'!G12)</f>
        <v>13.403725950670454</v>
      </c>
      <c r="D74" s="4">
        <f ca="1">'Total Duration Tables Sup #2'!D74*(1-'Other Assumptions'!H12)</f>
        <v>13.33956550504935</v>
      </c>
      <c r="E74" s="4">
        <f ca="1">'Total Duration Tables Sup #2'!E74*(1-'Other Assumptions'!I12)</f>
        <v>11.942865646788396</v>
      </c>
      <c r="F74" s="4">
        <f ca="1">'Total Duration Tables Sup #2'!F74*(1-'Other Assumptions'!J12)</f>
        <v>10.490333491256216</v>
      </c>
      <c r="G74" s="4">
        <f ca="1">'Total Duration Tables Sup #2'!G74*(1-'Other Assumptions'!K12)</f>
        <v>9.0182504769291416</v>
      </c>
      <c r="H74" s="4">
        <f ca="1">'Total Duration Tables Sup #2'!H74*(1-'Other Assumptions'!L12)</f>
        <v>7.5610479339980792</v>
      </c>
      <c r="I74" s="1">
        <f ca="1">'Total Duration Tables Sup #2'!I74*(1-'Other Assumptions'!M12)</f>
        <v>6.3404407508359828</v>
      </c>
      <c r="J74" s="1">
        <f ca="1">'Total Duration Tables Sup #2'!J74*(1-'Other Assumptions'!N12)</f>
        <v>5.0879863333908686</v>
      </c>
      <c r="K74" s="1">
        <f ca="1">'Total Duration Tables Sup #2'!K74*(1-'Other Assumptions'!O12)</f>
        <v>5.0927283294513144</v>
      </c>
    </row>
    <row r="75" spans="1:11" x14ac:dyDescent="0.25">
      <c r="A75" t="str">
        <f ca="1">OFFSET(Taranaki_Reference,28,2)</f>
        <v>Taxi/Vehicle Share</v>
      </c>
      <c r="B75" s="4">
        <f ca="1">'Total Duration Tables Sup #2'!B75</f>
        <v>0.10005985589999999</v>
      </c>
      <c r="C75" s="4">
        <f ca="1">'Total Duration Tables Sup #2'!C75+((C73+C74)*'Other Assumptions'!G12/(1-'Other Assumptions'!G12))</f>
        <v>0.11081062794233959</v>
      </c>
      <c r="D75" s="4">
        <f ca="1">'Total Duration Tables Sup #2'!D75+((D73+D74)*'Other Assumptions'!H12/(1-'Other Assumptions'!H12))</f>
        <v>0.11878904618259195</v>
      </c>
      <c r="E75" s="4">
        <f ca="1">'Total Duration Tables Sup #2'!E75+((E73+E74)*'Other Assumptions'!I12/(1-'Other Assumptions'!I12))</f>
        <v>3.8170789740777797</v>
      </c>
      <c r="F75" s="4">
        <f ca="1">'Total Duration Tables Sup #2'!F75+((F73+F74)*'Other Assumptions'!J12/(1-'Other Assumptions'!J12))</f>
        <v>7.5633960124179938</v>
      </c>
      <c r="G75" s="4">
        <f ca="1">'Total Duration Tables Sup #2'!G75+((G73+G74)*'Other Assumptions'!K12/(1-'Other Assumptions'!K12))</f>
        <v>11.267128405018454</v>
      </c>
      <c r="H75" s="4">
        <f ca="1">'Total Duration Tables Sup #2'!H75+((H73+H74)*'Other Assumptions'!L12/(1-'Other Assumptions'!L12))</f>
        <v>14.900718071266651</v>
      </c>
      <c r="I75" s="1">
        <f ca="1">'Total Duration Tables Sup #2'!I75+((I73+I74)*'Other Assumptions'!M12/(1-'Other Assumptions'!M12))</f>
        <v>18.696175086232032</v>
      </c>
      <c r="J75" s="1">
        <f ca="1">'Total Duration Tables Sup #2'!J75+((J73+J74)*'Other Assumptions'!N12/(1-'Other Assumptions'!N12))</f>
        <v>22.462405597143601</v>
      </c>
      <c r="K75" s="1">
        <f ca="1">'Total Duration Tables Sup #2'!K75+((K73+K74)*'Other Assumptions'!O12/(1-'Other Assumptions'!O12))</f>
        <v>22.468793962216456</v>
      </c>
    </row>
    <row r="76" spans="1:11" x14ac:dyDescent="0.25">
      <c r="A76" t="str">
        <f ca="1">OFFSET(Taranaki_Reference,35,2)</f>
        <v>Motorcyclist</v>
      </c>
      <c r="B76" s="4">
        <f ca="1">'Total Duration Tables Sup #2'!B76</f>
        <v>0.25001806910000002</v>
      </c>
      <c r="C76" s="4">
        <f ca="1">'Total Duration Tables Sup #2'!C76</f>
        <v>0.26394263462826084</v>
      </c>
      <c r="D76" s="4">
        <f ca="1">'Total Duration Tables Sup #2'!D76</f>
        <v>0.26976932837146306</v>
      </c>
      <c r="E76" s="4">
        <f ca="1">'Total Duration Tables Sup #2'!E76</f>
        <v>0.27376660372220618</v>
      </c>
      <c r="F76" s="4">
        <f ca="1">'Total Duration Tables Sup #2'!F76</f>
        <v>0.27635899231412453</v>
      </c>
      <c r="G76" s="4">
        <f ca="1">'Total Duration Tables Sup #2'!G76</f>
        <v>0.27508128476238597</v>
      </c>
      <c r="H76" s="4">
        <f ca="1">'Total Duration Tables Sup #2'!H76</f>
        <v>0.27252282372779285</v>
      </c>
      <c r="I76" s="1">
        <f ca="1">'Total Duration Tables Sup #2'!I76</f>
        <v>0.27539879003269357</v>
      </c>
      <c r="J76" s="1">
        <f ca="1">'Total Duration Tables Sup #2'!J76</f>
        <v>0.27742092257423429</v>
      </c>
      <c r="K76" s="1">
        <f ca="1">'Total Duration Tables Sup #2'!K76</f>
        <v>0.27885836692449201</v>
      </c>
    </row>
    <row r="77" spans="1:11" x14ac:dyDescent="0.25">
      <c r="A77" t="str">
        <f ca="1">OFFSET(Taranaki_Reference,42,2)</f>
        <v>Local Train</v>
      </c>
      <c r="B77" s="4">
        <f ca="1">'Total Duration Tables Sup #2'!B77</f>
        <v>0</v>
      </c>
      <c r="C77" s="4">
        <f ca="1">'Total Duration Tables Sup #2'!C77</f>
        <v>0</v>
      </c>
      <c r="D77" s="4">
        <f ca="1">'Total Duration Tables Sup #2'!D77</f>
        <v>0</v>
      </c>
      <c r="E77" s="4">
        <f ca="1">'Total Duration Tables Sup #2'!E77</f>
        <v>0</v>
      </c>
      <c r="F77" s="4">
        <f ca="1">'Total Duration Tables Sup #2'!F77</f>
        <v>0</v>
      </c>
      <c r="G77" s="4">
        <f ca="1">'Total Duration Tables Sup #2'!G77</f>
        <v>0</v>
      </c>
      <c r="H77" s="4">
        <f ca="1">'Total Duration Tables Sup #2'!H77</f>
        <v>0</v>
      </c>
      <c r="I77" s="1">
        <f ca="1">'Total Duration Tables Sup #2'!I77</f>
        <v>0</v>
      </c>
      <c r="J77" s="1">
        <f ca="1">'Total Duration Tables Sup #2'!J77</f>
        <v>0</v>
      </c>
      <c r="K77" s="1">
        <f ca="1">'Total Duration Tables Sup #2'!K77</f>
        <v>0</v>
      </c>
    </row>
    <row r="78" spans="1:11" x14ac:dyDescent="0.25">
      <c r="A78" t="str">
        <f ca="1">OFFSET(Taranaki_Reference,49,2)</f>
        <v>Local Bus</v>
      </c>
      <c r="B78" s="4">
        <f ca="1">'Total Duration Tables Sup #2'!B78</f>
        <v>0.4632962336</v>
      </c>
      <c r="C78" s="4">
        <f ca="1">'Total Duration Tables Sup #2'!C78</f>
        <v>0.44446892042516539</v>
      </c>
      <c r="D78" s="4">
        <f ca="1">'Total Duration Tables Sup #2'!D78</f>
        <v>0.42893978471413874</v>
      </c>
      <c r="E78" s="4">
        <f ca="1">'Total Duration Tables Sup #2'!E78</f>
        <v>0.41988917505778917</v>
      </c>
      <c r="F78" s="4">
        <f ca="1">'Total Duration Tables Sup #2'!F78</f>
        <v>0.40583423149070663</v>
      </c>
      <c r="G78" s="4">
        <f ca="1">'Total Duration Tables Sup #2'!G78</f>
        <v>0.39497476558998085</v>
      </c>
      <c r="H78" s="4">
        <f ca="1">'Total Duration Tables Sup #2'!H78</f>
        <v>0.38314430971225566</v>
      </c>
      <c r="I78" s="1">
        <f ca="1">'Total Duration Tables Sup #2'!I78</f>
        <v>0.38610178240736431</v>
      </c>
      <c r="J78" s="1">
        <f ca="1">'Total Duration Tables Sup #2'!J78</f>
        <v>0.38784534639139484</v>
      </c>
      <c r="K78" s="1">
        <f ca="1">'Total Duration Tables Sup #2'!K78</f>
        <v>0.38876122931574553</v>
      </c>
    </row>
    <row r="79" spans="1:11" x14ac:dyDescent="0.25">
      <c r="A79" t="str">
        <f ca="1">OFFSET(Waikato_Reference,56,2)</f>
        <v>Local Ferry</v>
      </c>
      <c r="B79" s="4">
        <f ca="1">'Total Duration Tables Sup #2'!B79</f>
        <v>0</v>
      </c>
      <c r="C79" s="4">
        <f ca="1">'Total Duration Tables Sup #2'!C79</f>
        <v>0</v>
      </c>
      <c r="D79" s="4">
        <f ca="1">'Total Duration Tables Sup #2'!D79</f>
        <v>0</v>
      </c>
      <c r="E79" s="4">
        <f ca="1">'Total Duration Tables Sup #2'!E79</f>
        <v>0</v>
      </c>
      <c r="F79" s="4">
        <f ca="1">'Total Duration Tables Sup #2'!F79</f>
        <v>0</v>
      </c>
      <c r="G79" s="4">
        <f ca="1">'Total Duration Tables Sup #2'!G79</f>
        <v>0</v>
      </c>
      <c r="H79" s="4">
        <f ca="1">'Total Duration Tables Sup #2'!H79</f>
        <v>0</v>
      </c>
      <c r="I79" s="1">
        <f ca="1">'Total Duration Tables Sup #2'!I79</f>
        <v>0</v>
      </c>
      <c r="J79" s="1">
        <f ca="1">'Total Duration Tables Sup #2'!J79</f>
        <v>0</v>
      </c>
      <c r="K79" s="1">
        <f ca="1">'Total Duration Tables Sup #2'!K79</f>
        <v>0</v>
      </c>
    </row>
    <row r="80" spans="1:11" x14ac:dyDescent="0.25">
      <c r="A80" t="str">
        <f ca="1">OFFSET(Taranaki_Reference,56,2)</f>
        <v>Other Household Travel</v>
      </c>
      <c r="B80" s="4">
        <f ca="1">'Total Duration Tables Sup #2'!B80</f>
        <v>5.6354069499999999E-2</v>
      </c>
      <c r="C80" s="4">
        <f ca="1">'Total Duration Tables Sup #2'!C80</f>
        <v>5.9729436275922622E-2</v>
      </c>
      <c r="D80" s="4">
        <f ca="1">'Total Duration Tables Sup #2'!D80</f>
        <v>6.176148487576489E-2</v>
      </c>
      <c r="E80" s="4">
        <f ca="1">'Total Duration Tables Sup #2'!E80</f>
        <v>6.2562207701523556E-2</v>
      </c>
      <c r="F80" s="4">
        <f ca="1">'Total Duration Tables Sup #2'!F80</f>
        <v>6.2836812637715012E-2</v>
      </c>
      <c r="G80" s="4">
        <f ca="1">'Total Duration Tables Sup #2'!G80</f>
        <v>6.3358773606086979E-2</v>
      </c>
      <c r="H80" s="4">
        <f ca="1">'Total Duration Tables Sup #2'!H80</f>
        <v>6.3474263052710381E-2</v>
      </c>
      <c r="I80" s="1">
        <f ca="1">'Total Duration Tables Sup #2'!I80</f>
        <v>6.3610539265551505E-2</v>
      </c>
      <c r="J80" s="1">
        <f ca="1">'Total Duration Tables Sup #2'!J80</f>
        <v>6.3547627149279765E-2</v>
      </c>
      <c r="K80" s="1">
        <f ca="1">'Total Duration Tables Sup #2'!K80</f>
        <v>6.335183370251618E-2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'Total Duration Tables Sup #2'!B82</f>
        <v>8.3408449691000008</v>
      </c>
      <c r="C82" s="4">
        <f ca="1">'Total Duration Tables Sup #2'!C82</f>
        <v>8.526658067703039</v>
      </c>
      <c r="D82" s="4">
        <f ca="1">'Total Duration Tables Sup #2'!D82</f>
        <v>9.0167707816949978</v>
      </c>
      <c r="E82" s="4">
        <f ca="1">'Total Duration Tables Sup #2'!E82</f>
        <v>9.4122690597749461</v>
      </c>
      <c r="F82" s="4">
        <f ca="1">'Total Duration Tables Sup #2'!F82</f>
        <v>9.6996090964322939</v>
      </c>
      <c r="G82" s="4">
        <f ca="1">'Total Duration Tables Sup #2'!G82</f>
        <v>9.9273127262576022</v>
      </c>
      <c r="H82" s="4">
        <f ca="1">'Total Duration Tables Sup #2'!H82</f>
        <v>10.095975626800351</v>
      </c>
      <c r="I82" s="1">
        <f ca="1">'Total Duration Tables Sup #2'!I82</f>
        <v>10.004899919567571</v>
      </c>
      <c r="J82" s="1">
        <f ca="1">'Total Duration Tables Sup #2'!J82</f>
        <v>9.883186194713609</v>
      </c>
      <c r="K82" s="1">
        <f ca="1">'Total Duration Tables Sup #2'!K82</f>
        <v>9.7420690384851483</v>
      </c>
    </row>
    <row r="83" spans="1:11" x14ac:dyDescent="0.25">
      <c r="A83" t="str">
        <f ca="1">OFFSET(Manawatu_Reference,7,2)</f>
        <v>Cyclist</v>
      </c>
      <c r="B83" s="4">
        <f ca="1">'Total Duration Tables Sup #2'!B83</f>
        <v>1.7566260256999999</v>
      </c>
      <c r="C83" s="4">
        <f ca="1">'Total Duration Tables Sup #2'!C83</f>
        <v>1.8422318002859797</v>
      </c>
      <c r="D83" s="4">
        <f ca="1">'Total Duration Tables Sup #2'!D83</f>
        <v>2.5992826208838888</v>
      </c>
      <c r="E83" s="4">
        <f ca="1">'Total Duration Tables Sup #2'!E83</f>
        <v>3.3174709405347649</v>
      </c>
      <c r="F83" s="4">
        <f ca="1">'Total Duration Tables Sup #2'!F83</f>
        <v>4.0521821340157667</v>
      </c>
      <c r="G83" s="4">
        <f ca="1">'Total Duration Tables Sup #2'!G83</f>
        <v>4.8302951746621829</v>
      </c>
      <c r="H83" s="4">
        <f ca="1">'Total Duration Tables Sup #2'!H83</f>
        <v>5.6188049452716138</v>
      </c>
      <c r="I83" s="1">
        <f ca="1">'Total Duration Tables Sup #2'!I83</f>
        <v>5.5946429200913057</v>
      </c>
      <c r="J83" s="1">
        <f ca="1">'Total Duration Tables Sup #2'!J83</f>
        <v>5.5531654385385503</v>
      </c>
      <c r="K83" s="1">
        <f ca="1">'Total Duration Tables Sup #2'!K83</f>
        <v>5.5004521193617153</v>
      </c>
    </row>
    <row r="84" spans="1:11" x14ac:dyDescent="0.25">
      <c r="A84" t="str">
        <f ca="1">OFFSET(Manawatu_Reference,14,2)</f>
        <v>Light Vehicle Driver</v>
      </c>
      <c r="B84" s="4">
        <f ca="1">'Total Duration Tables Sup #2'!B84</f>
        <v>42.09204356</v>
      </c>
      <c r="C84" s="4">
        <f ca="1">'Total Duration Tables Sup #2'!C84*(1-'Other Assumptions'!G13)</f>
        <v>44.502640394130331</v>
      </c>
      <c r="D84" s="4">
        <f ca="1">'Total Duration Tables Sup #2'!D84*(1-'Other Assumptions'!H13)</f>
        <v>44.963087910680521</v>
      </c>
      <c r="E84" s="4">
        <f ca="1">'Total Duration Tables Sup #2'!E84*(1-'Other Assumptions'!I13)</f>
        <v>40.820743932035107</v>
      </c>
      <c r="F84" s="4">
        <f ca="1">'Total Duration Tables Sup #2'!F84*(1-'Other Assumptions'!J13)</f>
        <v>36.397675440358967</v>
      </c>
      <c r="G84" s="4">
        <f ca="1">'Total Duration Tables Sup #2'!G84*(1-'Other Assumptions'!K13)</f>
        <v>31.603279511673414</v>
      </c>
      <c r="H84" s="4">
        <f ca="1">'Total Duration Tables Sup #2'!H84*(1-'Other Assumptions'!L13)</f>
        <v>26.737478672110512</v>
      </c>
      <c r="I84" s="1">
        <f ca="1">'Total Duration Tables Sup #2'!I84*(1-'Other Assumptions'!M13)</f>
        <v>22.06867075185648</v>
      </c>
      <c r="J84" s="1">
        <f ca="1">'Total Duration Tables Sup #2'!J84*(1-'Other Assumptions'!N13)</f>
        <v>17.431036681801334</v>
      </c>
      <c r="K84" s="1">
        <f ca="1">'Total Duration Tables Sup #2'!K84*(1-'Other Assumptions'!O13)</f>
        <v>17.173184191687792</v>
      </c>
    </row>
    <row r="85" spans="1:11" x14ac:dyDescent="0.25">
      <c r="A85" t="str">
        <f ca="1">OFFSET(Manawatu_Reference,21,2)</f>
        <v>Light Vehicle Passenger</v>
      </c>
      <c r="B85" s="4">
        <f ca="1">'Total Duration Tables Sup #2'!B85</f>
        <v>20.286542670999999</v>
      </c>
      <c r="C85" s="4">
        <f ca="1">'Total Duration Tables Sup #2'!C85*(1-'Other Assumptions'!G13)</f>
        <v>20.555222676554369</v>
      </c>
      <c r="D85" s="4">
        <f ca="1">'Total Duration Tables Sup #2'!D85*(1-'Other Assumptions'!H13)</f>
        <v>20.11114943889465</v>
      </c>
      <c r="E85" s="4">
        <f ca="1">'Total Duration Tables Sup #2'!E85*(1-'Other Assumptions'!I13)</f>
        <v>17.677964680191746</v>
      </c>
      <c r="F85" s="4">
        <f ca="1">'Total Duration Tables Sup #2'!F85*(1-'Other Assumptions'!J13)</f>
        <v>15.238340117982005</v>
      </c>
      <c r="G85" s="4">
        <f ca="1">'Total Duration Tables Sup #2'!G85*(1-'Other Assumptions'!K13)</f>
        <v>12.833012970989854</v>
      </c>
      <c r="H85" s="4">
        <f ca="1">'Total Duration Tables Sup #2'!H85*(1-'Other Assumptions'!L13)</f>
        <v>10.520104640202495</v>
      </c>
      <c r="I85" s="1">
        <f ca="1">'Total Duration Tables Sup #2'!I85*(1-'Other Assumptions'!M13)</f>
        <v>8.6909338658634212</v>
      </c>
      <c r="J85" s="1">
        <f ca="1">'Total Duration Tables Sup #2'!J85*(1-'Other Assumptions'!N13)</f>
        <v>6.8706996565555443</v>
      </c>
      <c r="K85" s="1">
        <f ca="1">'Total Duration Tables Sup #2'!K85*(1-'Other Assumptions'!O13)</f>
        <v>6.7750527338502158</v>
      </c>
    </row>
    <row r="86" spans="1:11" x14ac:dyDescent="0.25">
      <c r="A86" t="str">
        <f ca="1">OFFSET(Manawatu_Reference,28,2)</f>
        <v>Taxi/Vehicle Share</v>
      </c>
      <c r="B86" s="4">
        <f ca="1">'Total Duration Tables Sup #2'!B86</f>
        <v>0.26821620219999998</v>
      </c>
      <c r="C86" s="4">
        <f ca="1">'Total Duration Tables Sup #2'!C86+((C84+C85)*'Other Assumptions'!G13/(1-'Other Assumptions'!G13))</f>
        <v>0.29471373236369031</v>
      </c>
      <c r="D86" s="4">
        <f ca="1">'Total Duration Tables Sup #2'!D86+((D84+D85)*'Other Assumptions'!H13/(1-'Other Assumptions'!H13))</f>
        <v>0.31240098643769304</v>
      </c>
      <c r="E86" s="4">
        <f ca="1">'Total Duration Tables Sup #2'!E86+((E84+E85)*'Other Assumptions'!I13/(1-'Other Assumptions'!I13))</f>
        <v>6.8262653433915785</v>
      </c>
      <c r="F86" s="4">
        <f ca="1">'Total Duration Tables Sup #2'!F86+((F84+F85)*'Other Assumptions'!J13/(1-'Other Assumptions'!J13))</f>
        <v>13.245190365021784</v>
      </c>
      <c r="G86" s="4">
        <f ca="1">'Total Duration Tables Sup #2'!G86+((G84+G85)*'Other Assumptions'!K13/(1-'Other Assumptions'!K13))</f>
        <v>19.383480461863392</v>
      </c>
      <c r="H86" s="4">
        <f ca="1">'Total Duration Tables Sup #2'!H86+((H84+H85)*'Other Assumptions'!L13/(1-'Other Assumptions'!L13))</f>
        <v>25.179071429660084</v>
      </c>
      <c r="I86" s="1">
        <f ca="1">'Total Duration Tables Sup #2'!I86+((I84+I85)*'Other Assumptions'!M13/(1-'Other Assumptions'!M13))</f>
        <v>31.096476169683893</v>
      </c>
      <c r="J86" s="1">
        <f ca="1">'Total Duration Tables Sup #2'!J86+((J84+J85)*'Other Assumptions'!N13/(1-'Other Assumptions'!N13))</f>
        <v>36.784651841692586</v>
      </c>
      <c r="K86" s="1">
        <f ca="1">'Total Duration Tables Sup #2'!K86+((K84+K85)*'Other Assumptions'!O13/(1-'Other Assumptions'!O13))</f>
        <v>36.248949113622423</v>
      </c>
    </row>
    <row r="87" spans="1:11" x14ac:dyDescent="0.25">
      <c r="A87" t="str">
        <f ca="1">OFFSET(Manawatu_Reference,35,2)</f>
        <v>Motorcyclist</v>
      </c>
      <c r="B87" s="4">
        <f ca="1">'Total Duration Tables Sup #2'!B87</f>
        <v>0.1643149203</v>
      </c>
      <c r="C87" s="4">
        <f ca="1">'Total Duration Tables Sup #2'!C87</f>
        <v>0.17211113635003222</v>
      </c>
      <c r="D87" s="4">
        <f ca="1">'Total Duration Tables Sup #2'!D87</f>
        <v>0.17394383466497795</v>
      </c>
      <c r="E87" s="4">
        <f ca="1">'Total Duration Tables Sup #2'!E87</f>
        <v>0.17434441959082339</v>
      </c>
      <c r="F87" s="4">
        <f ca="1">'Total Duration Tables Sup #2'!F87</f>
        <v>0.17380559332373544</v>
      </c>
      <c r="G87" s="4">
        <f ca="1">'Total Duration Tables Sup #2'!G87</f>
        <v>0.17066236393751488</v>
      </c>
      <c r="H87" s="4">
        <f ca="1">'Total Duration Tables Sup #2'!H87</f>
        <v>0.16658729715583784</v>
      </c>
      <c r="I87" s="1">
        <f ca="1">'Total Duration Tables Sup #2'!I87</f>
        <v>0.16586827126291989</v>
      </c>
      <c r="J87" s="1">
        <f ca="1">'Total Duration Tables Sup #2'!J87</f>
        <v>0.16462765456778081</v>
      </c>
      <c r="K87" s="1">
        <f ca="1">'Total Duration Tables Sup #2'!K87</f>
        <v>0.16304577433859871</v>
      </c>
    </row>
    <row r="88" spans="1:11" x14ac:dyDescent="0.25">
      <c r="A88" t="str">
        <f ca="1">OFFSET(Taranaki_Reference,42,2)</f>
        <v>Local Train</v>
      </c>
      <c r="B88" s="4">
        <f ca="1">'Total Duration Tables Sup #2'!B88</f>
        <v>0</v>
      </c>
      <c r="C88" s="4">
        <f ca="1">'Total Duration Tables Sup #2'!C88</f>
        <v>0</v>
      </c>
      <c r="D88" s="4">
        <f ca="1">'Total Duration Tables Sup #2'!D88</f>
        <v>0</v>
      </c>
      <c r="E88" s="4">
        <f ca="1">'Total Duration Tables Sup #2'!E88</f>
        <v>0</v>
      </c>
      <c r="F88" s="4">
        <f ca="1">'Total Duration Tables Sup #2'!F88</f>
        <v>0</v>
      </c>
      <c r="G88" s="4">
        <f ca="1">'Total Duration Tables Sup #2'!G88</f>
        <v>0</v>
      </c>
      <c r="H88" s="4">
        <f ca="1">'Total Duration Tables Sup #2'!H88</f>
        <v>0</v>
      </c>
      <c r="I88" s="1">
        <f ca="1">'Total Duration Tables Sup #2'!I88</f>
        <v>0</v>
      </c>
      <c r="J88" s="1">
        <f ca="1">'Total Duration Tables Sup #2'!J88</f>
        <v>0</v>
      </c>
      <c r="K88" s="1">
        <f ca="1">'Total Duration Tables Sup #2'!K88</f>
        <v>0</v>
      </c>
    </row>
    <row r="89" spans="1:11" x14ac:dyDescent="0.25">
      <c r="A89" t="str">
        <f ca="1">OFFSET(Manawatu_Reference,42,2)</f>
        <v>Local Bus</v>
      </c>
      <c r="B89" s="4">
        <f ca="1">'Total Duration Tables Sup #2'!B89</f>
        <v>1.7349616699999999</v>
      </c>
      <c r="C89" s="4">
        <f ca="1">'Total Duration Tables Sup #2'!C89</f>
        <v>1.6514534400533978</v>
      </c>
      <c r="D89" s="4">
        <f ca="1">'Total Duration Tables Sup #2'!D89</f>
        <v>1.5759350330684325</v>
      </c>
      <c r="E89" s="4">
        <f ca="1">'Total Duration Tables Sup #2'!E89</f>
        <v>1.5236589688844608</v>
      </c>
      <c r="F89" s="4">
        <f ca="1">'Total Duration Tables Sup #2'!F89</f>
        <v>1.4543345970077162</v>
      </c>
      <c r="G89" s="4">
        <f ca="1">'Total Duration Tables Sup #2'!G89</f>
        <v>1.3962769676325948</v>
      </c>
      <c r="H89" s="4">
        <f ca="1">'Total Duration Tables Sup #2'!H89</f>
        <v>1.3345255498343664</v>
      </c>
      <c r="I89" s="1">
        <f ca="1">'Total Duration Tables Sup #2'!I89</f>
        <v>1.325038838506847</v>
      </c>
      <c r="J89" s="1">
        <f ca="1">'Total Duration Tables Sup #2'!J89</f>
        <v>1.3114377334474949</v>
      </c>
      <c r="K89" s="1">
        <f ca="1">'Total Duration Tables Sup #2'!K89</f>
        <v>1.2951925149422785</v>
      </c>
    </row>
    <row r="90" spans="1:11" x14ac:dyDescent="0.25">
      <c r="A90" t="str">
        <f ca="1">OFFSET(Manawatu_Reference,49,2)</f>
        <v>Local Ferry</v>
      </c>
      <c r="B90" s="4">
        <f ca="1">'Total Duration Tables Sup #2'!B90</f>
        <v>1.3357738999999997E-2</v>
      </c>
      <c r="C90" s="4">
        <f ca="1">'Total Duration Tables Sup #2'!C90</f>
        <v>1.4381541582173264E-2</v>
      </c>
      <c r="D90" s="4">
        <f ca="1">'Total Duration Tables Sup #2'!D90</f>
        <v>1.4840243511030967E-2</v>
      </c>
      <c r="E90" s="4">
        <f ca="1">'Total Duration Tables Sup #2'!E90</f>
        <v>1.5002745437027122E-2</v>
      </c>
      <c r="F90" s="4">
        <f ca="1">'Total Duration Tables Sup #2'!F90</f>
        <v>1.4940995986900095E-2</v>
      </c>
      <c r="G90" s="4">
        <f ca="1">'Total Duration Tables Sup #2'!G90</f>
        <v>1.5098121047102427E-2</v>
      </c>
      <c r="H90" s="4">
        <f ca="1">'Total Duration Tables Sup #2'!H90</f>
        <v>1.5104806881083597E-2</v>
      </c>
      <c r="I90" s="1">
        <f ca="1">'Total Duration Tables Sup #2'!I90</f>
        <v>1.4744715467408791E-2</v>
      </c>
      <c r="J90" s="1">
        <f ca="1">'Total Duration Tables Sup #2'!J90</f>
        <v>1.4350758965410031E-2</v>
      </c>
      <c r="K90" s="1">
        <f ca="1">'Total Duration Tables Sup #2'!K90</f>
        <v>1.3940584127452254E-2</v>
      </c>
    </row>
    <row r="91" spans="1:11" x14ac:dyDescent="0.25">
      <c r="A91" t="str">
        <f ca="1">OFFSET(Manawatu_Reference,56,2)</f>
        <v>Other Household Travel</v>
      </c>
      <c r="B91" s="4">
        <f ca="1">'Total Duration Tables Sup #2'!B91</f>
        <v>3.9735238899999997E-2</v>
      </c>
      <c r="C91" s="4">
        <f ca="1">'Total Duration Tables Sup #2'!C91</f>
        <v>4.1786190705482784E-2</v>
      </c>
      <c r="D91" s="4">
        <f ca="1">'Total Duration Tables Sup #2'!D91</f>
        <v>4.2724711581993709E-2</v>
      </c>
      <c r="E91" s="4">
        <f ca="1">'Total Duration Tables Sup #2'!E91</f>
        <v>4.2744928015664922E-2</v>
      </c>
      <c r="F91" s="4">
        <f ca="1">'Total Duration Tables Sup #2'!F91</f>
        <v>4.2398377487410085E-2</v>
      </c>
      <c r="G91" s="4">
        <f ca="1">'Total Duration Tables Sup #2'!G91</f>
        <v>4.2172409677786529E-2</v>
      </c>
      <c r="H91" s="4">
        <f ca="1">'Total Duration Tables Sup #2'!H91</f>
        <v>4.1627622790955485E-2</v>
      </c>
      <c r="I91" s="1">
        <f ca="1">'Total Duration Tables Sup #2'!I91</f>
        <v>4.110316924967395E-2</v>
      </c>
      <c r="J91" s="1">
        <f ca="1">'Total Duration Tables Sup #2'!J91</f>
        <v>4.0458321342146344E-2</v>
      </c>
      <c r="K91" s="1">
        <f ca="1">'Total Duration Tables Sup #2'!K91</f>
        <v>3.9740195513961275E-2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'Total Duration Tables Sup #2'!B93</f>
        <v>32.985647405999998</v>
      </c>
      <c r="C93" s="4">
        <f ca="1">'Total Duration Tables Sup #2'!C93+'Total Duration Tables Sup #2'!C95*'Other Assumptions'!G77*'Other Assumptions'!G84+'Total Duration Tables Sup #2'!C96*'Other Assumptions'!G77*'Other Assumptions'!G84</f>
        <v>34.314102971110543</v>
      </c>
      <c r="D93" s="4">
        <f ca="1">'Total Duration Tables Sup #2'!D93+'Total Duration Tables Sup #2'!D95*'Other Assumptions'!H77*'Other Assumptions'!H84+'Total Duration Tables Sup #2'!D96*'Other Assumptions'!H77*'Other Assumptions'!H84</f>
        <v>37.199081895489421</v>
      </c>
      <c r="E93" s="4">
        <f ca="1">'Total Duration Tables Sup #2'!E93+'Total Duration Tables Sup #2'!E95*'Other Assumptions'!I77*'Other Assumptions'!I84+'Total Duration Tables Sup #2'!E96*'Other Assumptions'!I77*'Other Assumptions'!I84</f>
        <v>38.978380569164834</v>
      </c>
      <c r="F93" s="4">
        <f ca="1">'Total Duration Tables Sup #2'!F93+'Total Duration Tables Sup #2'!F95*'Other Assumptions'!J77*'Other Assumptions'!J84+'Total Duration Tables Sup #2'!F96*'Other Assumptions'!J77*'Other Assumptions'!J84</f>
        <v>40.352520067362278</v>
      </c>
      <c r="G93" s="4">
        <f ca="1">'Total Duration Tables Sup #2'!G93+'Total Duration Tables Sup #2'!G95*'Other Assumptions'!K77*'Other Assumptions'!K84+'Total Duration Tables Sup #2'!G96*'Other Assumptions'!K77*'Other Assumptions'!K84</f>
        <v>41.446138336556423</v>
      </c>
      <c r="H93" s="4">
        <f ca="1">'Total Duration Tables Sup #2'!H93+'Total Duration Tables Sup #2'!H95*'Other Assumptions'!L77*'Other Assumptions'!L84+'Total Duration Tables Sup #2'!H96*'Other Assumptions'!L77*'Other Assumptions'!L84</f>
        <v>42.277265370971101</v>
      </c>
      <c r="I93" s="1">
        <f ca="1">'Total Duration Tables Sup #2'!I93+'Total Duration Tables Sup #2'!I95*'Other Assumptions'!M77*'Other Assumptions'!M84+'Total Duration Tables Sup #2'!I96*'Other Assumptions'!M77*'Other Assumptions'!M84</f>
        <v>42.057036497017918</v>
      </c>
      <c r="J93" s="1">
        <f ca="1">'Total Duration Tables Sup #2'!J93+'Total Duration Tables Sup #2'!J95*'Other Assumptions'!N77*'Other Assumptions'!N84+'Total Duration Tables Sup #2'!J96*'Other Assumptions'!N77*'Other Assumptions'!N84</f>
        <v>41.679924798587116</v>
      </c>
      <c r="K93" s="1">
        <f ca="1">'Total Duration Tables Sup #2'!K93+'Total Duration Tables Sup #2'!K95*'Other Assumptions'!O77*'Other Assumptions'!O84+'Total Duration Tables Sup #2'!K96*'Other Assumptions'!O77*'Other Assumptions'!O84</f>
        <v>41.190879662348294</v>
      </c>
    </row>
    <row r="94" spans="1:11" x14ac:dyDescent="0.25">
      <c r="A94" t="str">
        <f ca="1">OFFSET(Wellington_Reference,7,2)</f>
        <v>Cyclist</v>
      </c>
      <c r="B94" s="4">
        <f ca="1">'Total Duration Tables Sup #2'!B94</f>
        <v>3.6978261002999999</v>
      </c>
      <c r="C94" s="4">
        <f ca="1">'Total Duration Tables Sup #2'!C94+'Total Duration Tables Sup #2'!C95*'Other Assumptions'!G77*'Other Assumptions'!G83+'Total Duration Tables Sup #2'!C96*'Other Assumptions'!G77*'Other Assumptions'!G83</f>
        <v>3.9463781922229728</v>
      </c>
      <c r="D94" s="4">
        <f ca="1">'Total Duration Tables Sup #2'!D94+'Total Duration Tables Sup #2'!D95*'Other Assumptions'!H77*'Other Assumptions'!H83+'Total Duration Tables Sup #2'!D96*'Other Assumptions'!H77*'Other Assumptions'!H83</f>
        <v>6.0923345451502531</v>
      </c>
      <c r="E94" s="4">
        <f ca="1">'Total Duration Tables Sup #2'!E94+'Total Duration Tables Sup #2'!E95*'Other Assumptions'!I77*'Other Assumptions'!I83+'Total Duration Tables Sup #2'!E96*'Other Assumptions'!I77*'Other Assumptions'!I83</f>
        <v>7.7146913421550929</v>
      </c>
      <c r="F94" s="4">
        <f ca="1">'Total Duration Tables Sup #2'!F94+'Total Duration Tables Sup #2'!F95*'Other Assumptions'!J77*'Other Assumptions'!J83+'Total Duration Tables Sup #2'!F96*'Other Assumptions'!J77*'Other Assumptions'!J83</f>
        <v>9.3716085093460588</v>
      </c>
      <c r="G94" s="4">
        <f ca="1">'Total Duration Tables Sup #2'!G94+'Total Duration Tables Sup #2'!G95*'Other Assumptions'!K77*'Other Assumptions'!K83+'Total Duration Tables Sup #2'!G96*'Other Assumptions'!K77*'Other Assumptions'!K83</f>
        <v>11.103261999451123</v>
      </c>
      <c r="H94" s="4">
        <f ca="1">'Total Duration Tables Sup #2'!H94+'Total Duration Tables Sup #2'!H95*'Other Assumptions'!L77*'Other Assumptions'!L83+'Total Duration Tables Sup #2'!H96*'Other Assumptions'!L77*'Other Assumptions'!L83</f>
        <v>12.859624159384499</v>
      </c>
      <c r="I94" s="1">
        <f ca="1">'Total Duration Tables Sup #2'!I94+'Total Duration Tables Sup #2'!I95*'Other Assumptions'!M77*'Other Assumptions'!M83+'Total Duration Tables Sup #2'!I96*'Other Assumptions'!M77*'Other Assumptions'!M83</f>
        <v>12.851010186095202</v>
      </c>
      <c r="J94" s="1">
        <f ca="1">'Total Duration Tables Sup #2'!J94+'Total Duration Tables Sup #2'!J95*'Other Assumptions'!N77*'Other Assumptions'!N83+'Total Duration Tables Sup #2'!J96*'Other Assumptions'!N77*'Other Assumptions'!N83</f>
        <v>12.788405837014878</v>
      </c>
      <c r="K94" s="1">
        <f ca="1">'Total Duration Tables Sup #2'!K94+'Total Duration Tables Sup #2'!K95*'Other Assumptions'!O77*'Other Assumptions'!O83+'Total Duration Tables Sup #2'!K96*'Other Assumptions'!O77*'Other Assumptions'!O83</f>
        <v>12.684328291002565</v>
      </c>
    </row>
    <row r="95" spans="1:11" x14ac:dyDescent="0.25">
      <c r="A95" t="str">
        <f ca="1">OFFSET(Wellington_Reference,14,2)</f>
        <v>Light Vehicle Driver</v>
      </c>
      <c r="B95" s="4">
        <f ca="1">'Total Duration Tables Sup #2'!B95</f>
        <v>92.129697210000003</v>
      </c>
      <c r="C95" s="4">
        <f ca="1">'Total Duration Tables Sup #2'!C95*(1-'Other Assumptions'!G14)*(1-'Other Assumptions'!G77)</f>
        <v>99.101386094895076</v>
      </c>
      <c r="D95" s="4">
        <f ca="1">'Total Duration Tables Sup #2'!D95*(1-'Other Assumptions'!H14)*(1-'Other Assumptions'!H77)</f>
        <v>83.592478631169385</v>
      </c>
      <c r="E95" s="4">
        <f ca="1">'Total Duration Tables Sup #2'!E95*(1-'Other Assumptions'!I14)*(1-'Other Assumptions'!I77)</f>
        <v>74.148033584551612</v>
      </c>
      <c r="F95" s="4">
        <f ca="1">'Total Duration Tables Sup #2'!F95*(1-'Other Assumptions'!J14)*(1-'Other Assumptions'!J77)</f>
        <v>65.228693589308435</v>
      </c>
      <c r="G95" s="4">
        <f ca="1">'Total Duration Tables Sup #2'!G95*(1-'Other Assumptions'!K14)*(1-'Other Assumptions'!K77)</f>
        <v>56.612689657149986</v>
      </c>
      <c r="H95" s="4">
        <f ca="1">'Total Duration Tables Sup #2'!H95*(1-'Other Assumptions'!L14)*(1-'Other Assumptions'!L77)</f>
        <v>48.013326288820913</v>
      </c>
      <c r="I95" s="1">
        <f ca="1">'Total Duration Tables Sup #2'!I95*(1-'Other Assumptions'!M14)*(1-'Other Assumptions'!M77)</f>
        <v>39.785312583700644</v>
      </c>
      <c r="J95" s="1">
        <f ca="1">'Total Duration Tables Sup #2'!J95*(1-'Other Assumptions'!N14)*(1-'Other Assumptions'!N77)</f>
        <v>31.706852440295908</v>
      </c>
      <c r="K95" s="1">
        <f ca="1">'Total Duration Tables Sup #2'!K95*(1-'Other Assumptions'!O14)*(1-'Other Assumptions'!O77)</f>
        <v>31.697720242715054</v>
      </c>
    </row>
    <row r="96" spans="1:11" x14ac:dyDescent="0.25">
      <c r="A96" t="str">
        <f ca="1">OFFSET(Wellington_Reference,21,2)</f>
        <v>Light Vehicle Passenger</v>
      </c>
      <c r="B96" s="4">
        <f ca="1">'Total Duration Tables Sup #2'!B96</f>
        <v>48.966354531</v>
      </c>
      <c r="C96" s="4">
        <f ca="1">'Total Duration Tables Sup #2'!C96*(1-'Other Assumptions'!G14)*(1-'Other Assumptions'!G77+'Other Assumptions'!G77*'Other Assumptions'!G80)+'Total Duration Tables Sup #2'!C95*(1-'Other Assumptions'!G14)*'Other Assumptions'!G77*'Other Assumptions'!G80</f>
        <v>50.46806976021405</v>
      </c>
      <c r="D96" s="4">
        <f ca="1">'Total Duration Tables Sup #2'!D96*(1-'Other Assumptions'!H14)*(1-'Other Assumptions'!H77+'Other Assumptions'!H77*'Other Assumptions'!H80)+'Total Duration Tables Sup #2'!D95*(1-'Other Assumptions'!H14)*'Other Assumptions'!H77*'Other Assumptions'!H80</f>
        <v>52.021101247065928</v>
      </c>
      <c r="E96" s="4">
        <f ca="1">'Total Duration Tables Sup #2'!E96*(1-'Other Assumptions'!I14)*(1-'Other Assumptions'!I77+'Other Assumptions'!I77*'Other Assumptions'!I80)+'Total Duration Tables Sup #2'!E95*(1-'Other Assumptions'!I14)*'Other Assumptions'!I77*'Other Assumptions'!I80</f>
        <v>45.963983303157647</v>
      </c>
      <c r="F96" s="4">
        <f ca="1">'Total Duration Tables Sup #2'!F96*(1-'Other Assumptions'!J14)*(1-'Other Assumptions'!J77+'Other Assumptions'!J77*'Other Assumptions'!J80)+'Total Duration Tables Sup #2'!F95*(1-'Other Assumptions'!J14)*'Other Assumptions'!J77*'Other Assumptions'!J80</f>
        <v>39.924796378556977</v>
      </c>
      <c r="G96" s="4">
        <f ca="1">'Total Duration Tables Sup #2'!G96*(1-'Other Assumptions'!K14)*(1-'Other Assumptions'!K77+'Other Assumptions'!K77*'Other Assumptions'!K80)+'Total Duration Tables Sup #2'!G95*(1-'Other Assumptions'!K14)*'Other Assumptions'!K77*'Other Assumptions'!K80</f>
        <v>33.723059130257106</v>
      </c>
      <c r="H96" s="4">
        <f ca="1">'Total Duration Tables Sup #2'!H96*(1-'Other Assumptions'!L14)*(1-'Other Assumptions'!L77+'Other Assumptions'!L77*'Other Assumptions'!L80)+'Total Duration Tables Sup #2'!H95*(1-'Other Assumptions'!L14)*'Other Assumptions'!L77*'Other Assumptions'!L80</f>
        <v>27.670306301349356</v>
      </c>
      <c r="I96" s="1">
        <f ca="1">'Total Duration Tables Sup #2'!I96*(1-'Other Assumptions'!M14)*(1-'Other Assumptions'!M77+'Other Assumptions'!M77*'Other Assumptions'!M80)+'Total Duration Tables Sup #2'!I95*(1-'Other Assumptions'!M14)*'Other Assumptions'!M77*'Other Assumptions'!M80</f>
        <v>22.838454915358387</v>
      </c>
      <c r="J96" s="1">
        <f ca="1">'Total Duration Tables Sup #2'!J96*(1-'Other Assumptions'!N14)*(1-'Other Assumptions'!N77+'Other Assumptions'!N77*'Other Assumptions'!N80)+'Total Duration Tables Sup #2'!J95*(1-'Other Assumptions'!N14)*'Other Assumptions'!N77*'Other Assumptions'!N80</f>
        <v>17.987365016818423</v>
      </c>
      <c r="K96" s="1">
        <f ca="1">'Total Duration Tables Sup #2'!K96*(1-'Other Assumptions'!O14)*(1-'Other Assumptions'!O77+'Other Assumptions'!O77*'Other Assumptions'!O80)+'Total Duration Tables Sup #2'!K95*(1-'Other Assumptions'!O14)*'Other Assumptions'!O77*'Other Assumptions'!O80</f>
        <v>17.615172476440954</v>
      </c>
    </row>
    <row r="97" spans="1:11" x14ac:dyDescent="0.25">
      <c r="A97" t="str">
        <f ca="1">OFFSET(Wellington_Reference,28,2)</f>
        <v>Taxi/Vehicle Share</v>
      </c>
      <c r="B97" s="4">
        <f ca="1">'Total Duration Tables Sup #2'!B97</f>
        <v>0.76229285280000003</v>
      </c>
      <c r="C97" s="4">
        <f ca="1">'Total Duration Tables Sup #2'!C97+((C95+C96)*'Other Assumptions'!G14/(1-'Other Assumptions'!G14))</f>
        <v>0.85236276338974892</v>
      </c>
      <c r="D97" s="4">
        <f ca="1">'Total Duration Tables Sup #2'!D97+((D95+D96)*'Other Assumptions'!H14/(1-'Other Assumptions'!H14))</f>
        <v>0.90902132814777015</v>
      </c>
      <c r="E97" s="4">
        <f ca="1">'Total Duration Tables Sup #2'!E97+((E95+E96)*'Other Assumptions'!I14/(1-'Other Assumptions'!I14))</f>
        <v>14.298856218870673</v>
      </c>
      <c r="F97" s="4">
        <f ca="1">'Total Duration Tables Sup #2'!F97+((F95+F96)*'Other Assumptions'!J14/(1-'Other Assumptions'!J14))</f>
        <v>27.274328102439959</v>
      </c>
      <c r="G97" s="4">
        <f ca="1">'Total Duration Tables Sup #2'!G97+((G95+G96)*'Other Assumptions'!K14/(1-'Other Assumptions'!K14))</f>
        <v>39.715201127013707</v>
      </c>
      <c r="H97" s="4">
        <f ca="1">'Total Duration Tables Sup #2'!H97+((H95+H96)*'Other Assumptions'!L14/(1-'Other Assumptions'!L14))</f>
        <v>51.463963681637352</v>
      </c>
      <c r="I97" s="1">
        <f ca="1">'Total Duration Tables Sup #2'!I97+((I95+I96)*'Other Assumptions'!M14/(1-'Other Assumptions'!M14))</f>
        <v>63.624973989121706</v>
      </c>
      <c r="J97" s="1">
        <f ca="1">'Total Duration Tables Sup #2'!J97+((J95+J96)*'Other Assumptions'!N14/(1-'Other Assumptions'!N14))</f>
        <v>75.532315497635324</v>
      </c>
      <c r="K97" s="1">
        <f ca="1">'Total Duration Tables Sup #2'!K97+((K95+K96)*'Other Assumptions'!O14/(1-'Other Assumptions'!O14))</f>
        <v>74.948009014052857</v>
      </c>
    </row>
    <row r="98" spans="1:11" x14ac:dyDescent="0.25">
      <c r="A98" t="str">
        <f ca="1">OFFSET(Wellington_Reference,35,2)</f>
        <v>Motorcyclist</v>
      </c>
      <c r="B98" s="4">
        <f ca="1">'Total Duration Tables Sup #2'!B98</f>
        <v>0.71073078609999996</v>
      </c>
      <c r="C98" s="4">
        <f ca="1">'Total Duration Tables Sup #2'!C98</f>
        <v>0.75757277060681294</v>
      </c>
      <c r="D98" s="4">
        <f ca="1">'Total Duration Tables Sup #2'!D98</f>
        <v>0.77030373715967493</v>
      </c>
      <c r="E98" s="4">
        <f ca="1">'Total Duration Tables Sup #2'!E98</f>
        <v>0.77475650275854391</v>
      </c>
      <c r="F98" s="4">
        <f ca="1">'Total Duration Tables Sup #2'!F98</f>
        <v>0.77576853623523012</v>
      </c>
      <c r="G98" s="4">
        <f ca="1">'Total Duration Tables Sup #2'!G98</f>
        <v>0.76528398606614767</v>
      </c>
      <c r="H98" s="4">
        <f ca="1">'Total Duration Tables Sup #2'!H98</f>
        <v>0.75029781501810289</v>
      </c>
      <c r="I98" s="1">
        <f ca="1">'Total Duration Tables Sup #2'!I98</f>
        <v>0.75026368424651912</v>
      </c>
      <c r="J98" s="1">
        <f ca="1">'Total Duration Tables Sup #2'!J98</f>
        <v>0.74776141558252107</v>
      </c>
      <c r="K98" s="1">
        <f ca="1">'Total Duration Tables Sup #2'!K98</f>
        <v>0.74358264747605429</v>
      </c>
    </row>
    <row r="99" spans="1:11" x14ac:dyDescent="0.25">
      <c r="A99" t="str">
        <f ca="1">OFFSET(Wellington_Reference,42,2)</f>
        <v>Local Train</v>
      </c>
      <c r="B99" s="4">
        <f ca="1">'Total Duration Tables Sup #2'!B99</f>
        <v>6.554720885672368</v>
      </c>
      <c r="C99" s="4">
        <f ca="1">'Total Duration Tables Sup #2'!C99+'Total Duration Tables Sup #2'!C95*'Other Assumptions'!G77*'Other Assumptions'!G82+'Total Duration Tables Sup #2'!C96*'Other Assumptions'!G77*'Other Assumptions'!G82</f>
        <v>6.9555968768289231</v>
      </c>
      <c r="D99" s="4">
        <f ca="1">'Total Duration Tables Sup #2'!D99+'Total Duration Tables Sup #2'!D95*'Other Assumptions'!H77*'Other Assumptions'!H82+'Total Duration Tables Sup #2'!D96*'Other Assumptions'!H77*'Other Assumptions'!H82</f>
        <v>10.067347475562835</v>
      </c>
      <c r="E99" s="4">
        <f ca="1">'Total Duration Tables Sup #2'!E99+'Total Duration Tables Sup #2'!E95*'Other Assumptions'!I77*'Other Assumptions'!I82+'Total Duration Tables Sup #2'!E96*'Other Assumptions'!I77*'Other Assumptions'!I82</f>
        <v>10.793732641974779</v>
      </c>
      <c r="F99" s="4">
        <f ca="1">'Total Duration Tables Sup #2'!F99+'Total Duration Tables Sup #2'!F95*'Other Assumptions'!J77*'Other Assumptions'!J82+'Total Duration Tables Sup #2'!F96*'Other Assumptions'!J77*'Other Assumptions'!J82</f>
        <v>11.244343319336766</v>
      </c>
      <c r="G99" s="4">
        <f ca="1">'Total Duration Tables Sup #2'!G99+'Total Duration Tables Sup #2'!G95*'Other Assumptions'!K77*'Other Assumptions'!K82+'Total Duration Tables Sup #2'!G96*'Other Assumptions'!K77*'Other Assumptions'!K82</f>
        <v>11.50609833804319</v>
      </c>
      <c r="H99" s="4">
        <f ca="1">'Total Duration Tables Sup #2'!H99+'Total Duration Tables Sup #2'!H95*'Other Assumptions'!L77*'Other Assumptions'!L82+'Total Duration Tables Sup #2'!H96*'Other Assumptions'!L77*'Other Assumptions'!L82</f>
        <v>11.691535866919356</v>
      </c>
      <c r="I99" s="1">
        <f ca="1">'Total Duration Tables Sup #2'!I99+'Total Duration Tables Sup #2'!I95*'Other Assumptions'!M77*'Other Assumptions'!M82+'Total Duration Tables Sup #2'!I96*'Other Assumptions'!M77*'Other Assumptions'!M82</f>
        <v>12.066208587636542</v>
      </c>
      <c r="J99" s="1">
        <f ca="1">'Total Duration Tables Sup #2'!J99+'Total Duration Tables Sup #2'!J95*'Other Assumptions'!N77*'Other Assumptions'!N82+'Total Duration Tables Sup #2'!J96*'Other Assumptions'!N77*'Other Assumptions'!N82</f>
        <v>12.384894420971737</v>
      </c>
      <c r="K99" s="1">
        <f ca="1">'Total Duration Tables Sup #2'!K99+'Total Duration Tables Sup #2'!K95*'Other Assumptions'!O77*'Other Assumptions'!O82+'Total Duration Tables Sup #2'!K96*'Other Assumptions'!O77*'Other Assumptions'!O82</f>
        <v>12.649272543976794</v>
      </c>
    </row>
    <row r="100" spans="1:11" x14ac:dyDescent="0.25">
      <c r="A100" t="str">
        <f ca="1">OFFSET(Wellington_Reference,49,2)</f>
        <v>Local Bus</v>
      </c>
      <c r="B100" s="4">
        <f ca="1">'Total Duration Tables Sup #2'!B100</f>
        <v>8.2404499312721509</v>
      </c>
      <c r="C100" s="4">
        <f ca="1">'Total Duration Tables Sup #2'!C100+'Total Duration Tables Sup #2'!C95*'Other Assumptions'!G77*'Other Assumptions'!G81+'Total Duration Tables Sup #2'!C96*'Other Assumptions'!G77*'Other Assumptions'!G81</f>
        <v>8.5073098520881647</v>
      </c>
      <c r="D100" s="4">
        <f ca="1">'Total Duration Tables Sup #2'!D100+'Total Duration Tables Sup #2'!D95*'Other Assumptions'!H77*'Other Assumptions'!H81+'Total Duration Tables Sup #2'!D96*'Other Assumptions'!H77*'Other Assumptions'!H81</f>
        <v>19.144607569863133</v>
      </c>
      <c r="E100" s="4">
        <f ca="1">'Total Duration Tables Sup #2'!E100+'Total Duration Tables Sup #2'!E95*'Other Assumptions'!I77*'Other Assumptions'!I81+'Total Duration Tables Sup #2'!E96*'Other Assumptions'!I77*'Other Assumptions'!I81</f>
        <v>20.460099190883845</v>
      </c>
      <c r="F100" s="4">
        <f ca="1">'Total Duration Tables Sup #2'!F100+'Total Duration Tables Sup #2'!F95*'Other Assumptions'!J77*'Other Assumptions'!J81+'Total Duration Tables Sup #2'!F96*'Other Assumptions'!J77*'Other Assumptions'!J81</f>
        <v>20.908536779506949</v>
      </c>
      <c r="G100" s="4">
        <f ca="1">'Total Duration Tables Sup #2'!G100+'Total Duration Tables Sup #2'!G95*'Other Assumptions'!K77*'Other Assumptions'!K81+'Total Duration Tables Sup #2'!G96*'Other Assumptions'!K77*'Other Assumptions'!K81</f>
        <v>20.621164728409695</v>
      </c>
      <c r="H100" s="4">
        <f ca="1">'Total Duration Tables Sup #2'!H100+'Total Duration Tables Sup #2'!H95*'Other Assumptions'!L77*'Other Assumptions'!L81+'Total Duration Tables Sup #2'!H96*'Other Assumptions'!L77*'Other Assumptions'!L81</f>
        <v>20.110022778626259</v>
      </c>
      <c r="I100" s="1">
        <f ca="1">'Total Duration Tables Sup #2'!I100+'Total Duration Tables Sup #2'!I95*'Other Assumptions'!M77*'Other Assumptions'!M81+'Total Duration Tables Sup #2'!I96*'Other Assumptions'!M77*'Other Assumptions'!M81</f>
        <v>20.080378880289061</v>
      </c>
      <c r="J100" s="1">
        <f ca="1">'Total Duration Tables Sup #2'!J100+'Total Duration Tables Sup #2'!J95*'Other Assumptions'!N77*'Other Assumptions'!N81+'Total Duration Tables Sup #2'!J96*'Other Assumptions'!N77*'Other Assumptions'!N81</f>
        <v>19.769112895391402</v>
      </c>
      <c r="K100" s="1">
        <f ca="1">'Total Duration Tables Sup #2'!K100+'Total Duration Tables Sup #2'!K95*'Other Assumptions'!O77*'Other Assumptions'!O81+'Total Duration Tables Sup #2'!K96*'Other Assumptions'!O77*'Other Assumptions'!O81</f>
        <v>19.167301681021133</v>
      </c>
    </row>
    <row r="101" spans="1:11" x14ac:dyDescent="0.25">
      <c r="A101" t="str">
        <f ca="1">OFFSET(Wellington_Reference,56,2)</f>
        <v>Local Ferry</v>
      </c>
      <c r="B101" s="4">
        <f ca="1">'Total Duration Tables Sup #2'!B101</f>
        <v>5.6537513499999983E-2</v>
      </c>
      <c r="C101" s="4">
        <f ca="1">'Total Duration Tables Sup #2'!C101</f>
        <v>6.1943601094360951E-2</v>
      </c>
      <c r="D101" s="4">
        <f ca="1">'Total Duration Tables Sup #2'!D101</f>
        <v>6.4308683029371219E-2</v>
      </c>
      <c r="E101" s="4">
        <f ca="1">'Total Duration Tables Sup #2'!E101</f>
        <v>6.5238436328998353E-2</v>
      </c>
      <c r="F101" s="4">
        <f ca="1">'Total Duration Tables Sup #2'!F101</f>
        <v>6.5256471263999985E-2</v>
      </c>
      <c r="G101" s="4">
        <f ca="1">'Total Duration Tables Sup #2'!G101</f>
        <v>6.6249620569133472E-2</v>
      </c>
      <c r="H101" s="4">
        <f ca="1">'Total Duration Tables Sup #2'!H101</f>
        <v>6.6570619826893246E-2</v>
      </c>
      <c r="I101" s="1">
        <f ca="1">'Total Duration Tables Sup #2'!I101</f>
        <v>6.5262337832371883E-2</v>
      </c>
      <c r="J101" s="1">
        <f ca="1">'Total Duration Tables Sup #2'!J101</f>
        <v>6.3783853676848717E-2</v>
      </c>
      <c r="K101" s="1">
        <f ca="1">'Total Duration Tables Sup #2'!K101</f>
        <v>6.2212305220130382E-2</v>
      </c>
    </row>
    <row r="102" spans="1:11" x14ac:dyDescent="0.25">
      <c r="A102" t="str">
        <f ca="1">OFFSET(Wellington_Reference,63,2)</f>
        <v>Other Household Travel</v>
      </c>
      <c r="B102" s="4">
        <f ca="1">'Total Duration Tables Sup #2'!B102</f>
        <v>0.36538599710000003</v>
      </c>
      <c r="C102" s="4">
        <f ca="1">'Total Duration Tables Sup #2'!C102</f>
        <v>0.39101742399696027</v>
      </c>
      <c r="D102" s="4">
        <f ca="1">'Total Duration Tables Sup #2'!D102</f>
        <v>0.4022351767031726</v>
      </c>
      <c r="E102" s="4">
        <f ca="1">'Total Duration Tables Sup #2'!E102</f>
        <v>0.40382175596530567</v>
      </c>
      <c r="F102" s="4">
        <f ca="1">'Total Duration Tables Sup #2'!F102</f>
        <v>0.40231441518344435</v>
      </c>
      <c r="G102" s="4">
        <f ca="1">'Total Duration Tables Sup #2'!G102</f>
        <v>0.40203256172895779</v>
      </c>
      <c r="H102" s="4">
        <f ca="1">'Total Duration Tables Sup #2'!H102</f>
        <v>0.39858537021835022</v>
      </c>
      <c r="I102" s="1">
        <f ca="1">'Total Duration Tables Sup #2'!I102</f>
        <v>0.39525180348710209</v>
      </c>
      <c r="J102" s="1">
        <f ca="1">'Total Duration Tables Sup #2'!J102</f>
        <v>0.39067539891870501</v>
      </c>
      <c r="K102" s="1">
        <f ca="1">'Total Duration Tables Sup #2'!K102</f>
        <v>0.38529878717232974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'Total Duration Tables Sup #2'!B104</f>
        <v>7.2640217022</v>
      </c>
      <c r="C104" s="4">
        <f ca="1">'Total Duration Tables Sup #2'!C104</f>
        <v>7.4850848447469858</v>
      </c>
      <c r="D104" s="4">
        <f ca="1">'Total Duration Tables Sup #2'!D104</f>
        <v>8.0175395285302056</v>
      </c>
      <c r="E104" s="4">
        <f ca="1">'Total Duration Tables Sup #2'!E104</f>
        <v>8.454230800907526</v>
      </c>
      <c r="F104" s="4">
        <f ca="1">'Total Duration Tables Sup #2'!F104</f>
        <v>8.7957518818266927</v>
      </c>
      <c r="G104" s="4">
        <f ca="1">'Total Duration Tables Sup #2'!G104</f>
        <v>9.0793032352909098</v>
      </c>
      <c r="H104" s="4">
        <f ca="1">'Total Duration Tables Sup #2'!H104</f>
        <v>9.2956303760697008</v>
      </c>
      <c r="I104" s="1">
        <f ca="1">'Total Duration Tables Sup #2'!I104</f>
        <v>9.2741371940724324</v>
      </c>
      <c r="J104" s="1">
        <f ca="1">'Total Duration Tables Sup #2'!J104</f>
        <v>9.2237699524533312</v>
      </c>
      <c r="K104" s="1">
        <f ca="1">'Total Duration Tables Sup #2'!K104</f>
        <v>9.154485308608896</v>
      </c>
    </row>
    <row r="105" spans="1:11" x14ac:dyDescent="0.25">
      <c r="A105" t="str">
        <f ca="1">OFFSET(Nelson_Reference,7,2)</f>
        <v>Cyclist</v>
      </c>
      <c r="B105" s="4">
        <f ca="1">'Total Duration Tables Sup #2'!B105</f>
        <v>1.0417220854</v>
      </c>
      <c r="C105" s="4">
        <f ca="1">'Total Duration Tables Sup #2'!C105</f>
        <v>1.1012036181768954</v>
      </c>
      <c r="D105" s="4">
        <f ca="1">'Total Duration Tables Sup #2'!D105</f>
        <v>1.5737982506101238</v>
      </c>
      <c r="E105" s="4">
        <f ca="1">'Total Duration Tables Sup #2'!E105</f>
        <v>2.029048222620085</v>
      </c>
      <c r="F105" s="4">
        <f ca="1">'Total Duration Tables Sup #2'!F105</f>
        <v>2.5021490126852131</v>
      </c>
      <c r="G105" s="4">
        <f ca="1">'Total Duration Tables Sup #2'!G105</f>
        <v>3.0081532931810191</v>
      </c>
      <c r="H105" s="4">
        <f ca="1">'Total Duration Tables Sup #2'!H105</f>
        <v>3.5227350771709682</v>
      </c>
      <c r="I105" s="1">
        <f ca="1">'Total Duration Tables Sup #2'!I105</f>
        <v>3.5313325304419285</v>
      </c>
      <c r="J105" s="1">
        <f ca="1">'Total Duration Tables Sup #2'!J105</f>
        <v>3.5290480564530999</v>
      </c>
      <c r="K105" s="1">
        <f ca="1">'Total Duration Tables Sup #2'!K105</f>
        <v>3.5195455686862891</v>
      </c>
    </row>
    <row r="106" spans="1:11" x14ac:dyDescent="0.25">
      <c r="A106" t="str">
        <f ca="1">OFFSET(Nelson_Reference,14,2)</f>
        <v>Light Vehicle Driver</v>
      </c>
      <c r="B106" s="4">
        <f ca="1">'Total Duration Tables Sup #2'!B106</f>
        <v>23.635435057999999</v>
      </c>
      <c r="C106" s="4">
        <f ca="1">'Total Duration Tables Sup #2'!C106*(1-'Other Assumptions'!G15)</f>
        <v>25.188375828486368</v>
      </c>
      <c r="D106" s="4">
        <f ca="1">'Total Duration Tables Sup #2'!D106*(1-'Other Assumptions'!H15)</f>
        <v>25.731337268852364</v>
      </c>
      <c r="E106" s="4">
        <f ca="1">'Total Duration Tables Sup #2'!E106*(1-'Other Assumptions'!I15)</f>
        <v>23.55734779224068</v>
      </c>
      <c r="F106" s="4">
        <f ca="1">'Total Duration Tables Sup #2'!F106*(1-'Other Assumptions'!J15)</f>
        <v>21.171016571910101</v>
      </c>
      <c r="G106" s="4">
        <f ca="1">'Total Duration Tables Sup #2'!G106*(1-'Other Assumptions'!K15)</f>
        <v>18.509404498444852</v>
      </c>
      <c r="H106" s="4">
        <f ca="1">'Total Duration Tables Sup #2'!H106*(1-'Other Assumptions'!L15)</f>
        <v>15.73955670653746</v>
      </c>
      <c r="I106" s="1">
        <f ca="1">'Total Duration Tables Sup #2'!I106*(1-'Other Assumptions'!M15)</f>
        <v>13.07898527568595</v>
      </c>
      <c r="J106" s="1">
        <f ca="1">'Total Duration Tables Sup #2'!J106*(1-'Other Assumptions'!N15)</f>
        <v>10.400815414265153</v>
      </c>
      <c r="K106" s="1">
        <f ca="1">'Total Duration Tables Sup #2'!K106*(1-'Other Assumptions'!O15)</f>
        <v>10.31719853724096</v>
      </c>
    </row>
    <row r="107" spans="1:11" x14ac:dyDescent="0.25">
      <c r="A107" t="str">
        <f ca="1">OFFSET(Nelson_Reference,21,2)</f>
        <v>Light Vehicle Passenger</v>
      </c>
      <c r="B107" s="4">
        <f ca="1">'Total Duration Tables Sup #2'!B107</f>
        <v>11.910351560000001</v>
      </c>
      <c r="C107" s="4">
        <f ca="1">'Total Duration Tables Sup #2'!C107*(1-'Other Assumptions'!G15)</f>
        <v>12.164367269709162</v>
      </c>
      <c r="D107" s="4">
        <f ca="1">'Total Duration Tables Sup #2'!D107*(1-'Other Assumptions'!H15)</f>
        <v>12.017163146296291</v>
      </c>
      <c r="E107" s="4">
        <f ca="1">'Total Duration Tables Sup #2'!E107*(1-'Other Assumptions'!I15)</f>
        <v>10.635941373904311</v>
      </c>
      <c r="F107" s="4">
        <f ca="1">'Total Duration Tables Sup #2'!F107*(1-'Other Assumptions'!J15)</f>
        <v>9.225326008753461</v>
      </c>
      <c r="G107" s="4">
        <f ca="1">'Total Duration Tables Sup #2'!G107*(1-'Other Assumptions'!K15)</f>
        <v>7.8087867195932636</v>
      </c>
      <c r="H107" s="4">
        <f ca="1">'Total Duration Tables Sup #2'!H107*(1-'Other Assumptions'!L15)</f>
        <v>6.4214343116248509</v>
      </c>
      <c r="I107" s="1">
        <f ca="1">'Total Duration Tables Sup #2'!I107*(1-'Other Assumptions'!M15)</f>
        <v>5.3408485796418486</v>
      </c>
      <c r="J107" s="1">
        <f ca="1">'Total Duration Tables Sup #2'!J107*(1-'Other Assumptions'!N15)</f>
        <v>4.2510582734221511</v>
      </c>
      <c r="K107" s="1">
        <f ca="1">'Total Duration Tables Sup #2'!K107*(1-'Other Assumptions'!O15)</f>
        <v>4.2206710881945151</v>
      </c>
    </row>
    <row r="108" spans="1:11" x14ac:dyDescent="0.25">
      <c r="A108" t="str">
        <f ca="1">OFFSET(Nelson_Reference,28,2)</f>
        <v>Taxi/Vehicle Share</v>
      </c>
      <c r="B108" s="4">
        <f ca="1">'Total Duration Tables Sup #2'!B108</f>
        <v>8.1526233300000001E-2</v>
      </c>
      <c r="C108" s="4">
        <f ca="1">'Total Duration Tables Sup #2'!C108+((C106+C107)*'Other Assumptions'!G15/(1-'Other Assumptions'!G15))</f>
        <v>9.0294965661373072E-2</v>
      </c>
      <c r="D108" s="4">
        <f ca="1">'Total Duration Tables Sup #2'!D108+((D106+D107)*'Other Assumptions'!H15/(1-'Other Assumptions'!H15))</f>
        <v>9.6949988394896741E-2</v>
      </c>
      <c r="E108" s="4">
        <f ca="1">'Total Duration Tables Sup #2'!E108+((E106+E107)*'Other Assumptions'!I15/(1-'Other Assumptions'!I15))</f>
        <v>3.9015805764432172</v>
      </c>
      <c r="F108" s="4">
        <f ca="1">'Total Duration Tables Sup #2'!F108+((F106+F107)*'Other Assumptions'!J15/(1-'Other Assumptions'!J15))</f>
        <v>7.7054862901075216</v>
      </c>
      <c r="G108" s="4">
        <f ca="1">'Total Duration Tables Sup #2'!G108+((G106+G107)*'Other Assumptions'!K15/(1-'Other Assumptions'!K15))</f>
        <v>11.387547762658439</v>
      </c>
      <c r="H108" s="4">
        <f ca="1">'Total Duration Tables Sup #2'!H108+((H106+H107)*'Other Assumptions'!L15/(1-'Other Assumptions'!L15))</f>
        <v>14.883471729285215</v>
      </c>
      <c r="I108" s="1">
        <f ca="1">'Total Duration Tables Sup #2'!I108+((I106+I107)*'Other Assumptions'!M15/(1-'Other Assumptions'!M15))</f>
        <v>18.528819774028296</v>
      </c>
      <c r="J108" s="1">
        <f ca="1">'Total Duration Tables Sup #2'!J108+((J106+J107)*'Other Assumptions'!N15/(1-'Other Assumptions'!N15))</f>
        <v>22.085968063318496</v>
      </c>
      <c r="K108" s="1">
        <f ca="1">'Total Duration Tables Sup #2'!K108+((K106+K107)*'Other Assumptions'!O15/(1-'Other Assumptions'!O15))</f>
        <v>21.913915876254485</v>
      </c>
    </row>
    <row r="109" spans="1:11" x14ac:dyDescent="0.25">
      <c r="A109" t="str">
        <f ca="1">OFFSET(Nelson_Reference,35,2)</f>
        <v>Motorcyclist</v>
      </c>
      <c r="B109" s="4">
        <f ca="1">'Total Duration Tables Sup #2'!B109</f>
        <v>0.60769230029999999</v>
      </c>
      <c r="C109" s="4">
        <f ca="1">'Total Duration Tables Sup #2'!C109</f>
        <v>0.64160317041880888</v>
      </c>
      <c r="D109" s="4">
        <f ca="1">'Total Duration Tables Sup #2'!D109</f>
        <v>0.65680850769362498</v>
      </c>
      <c r="E109" s="4">
        <f ca="1">'Total Duration Tables Sup #2'!E109</f>
        <v>0.66500891396912998</v>
      </c>
      <c r="F109" s="4">
        <f ca="1">'Total Duration Tables Sup #2'!F109</f>
        <v>0.66930201977426285</v>
      </c>
      <c r="G109" s="4">
        <f ca="1">'Total Duration Tables Sup #2'!G109</f>
        <v>0.66282399849584206</v>
      </c>
      <c r="H109" s="4">
        <f ca="1">'Total Duration Tables Sup #2'!H109</f>
        <v>0.65134650050739251</v>
      </c>
      <c r="I109" s="1">
        <f ca="1">'Total Duration Tables Sup #2'!I109</f>
        <v>0.6529256575084077</v>
      </c>
      <c r="J109" s="1">
        <f ca="1">'Total Duration Tables Sup #2'!J109</f>
        <v>0.65246005076350089</v>
      </c>
      <c r="K109" s="1">
        <f ca="1">'Total Duration Tables Sup #2'!K109</f>
        <v>0.65062676652026008</v>
      </c>
    </row>
    <row r="110" spans="1:11" x14ac:dyDescent="0.25">
      <c r="A110" t="str">
        <f ca="1">OFFSET(Nelson_Reference,42,2)</f>
        <v>Local Train</v>
      </c>
      <c r="B110" s="4">
        <f ca="1">'Total Duration Tables Sup #2'!B110</f>
        <v>0</v>
      </c>
      <c r="C110" s="4">
        <f ca="1">'Total Duration Tables Sup #2'!C110</f>
        <v>0</v>
      </c>
      <c r="D110" s="4">
        <f ca="1">'Total Duration Tables Sup #2'!D110</f>
        <v>0</v>
      </c>
      <c r="E110" s="4">
        <f ca="1">'Total Duration Tables Sup #2'!E110</f>
        <v>0</v>
      </c>
      <c r="F110" s="4">
        <f ca="1">'Total Duration Tables Sup #2'!F110</f>
        <v>0</v>
      </c>
      <c r="G110" s="4">
        <f ca="1">'Total Duration Tables Sup #2'!G110</f>
        <v>0</v>
      </c>
      <c r="H110" s="4">
        <f ca="1">'Total Duration Tables Sup #2'!H110</f>
        <v>0</v>
      </c>
      <c r="I110" s="1">
        <f ca="1">'Total Duration Tables Sup #2'!I110</f>
        <v>0</v>
      </c>
      <c r="J110" s="1">
        <f ca="1">'Total Duration Tables Sup #2'!J110</f>
        <v>0</v>
      </c>
      <c r="K110" s="1">
        <f ca="1">'Total Duration Tables Sup #2'!K110</f>
        <v>0</v>
      </c>
    </row>
    <row r="111" spans="1:11" x14ac:dyDescent="0.25">
      <c r="A111" t="str">
        <f ca="1">OFFSET(Nelson_Reference,49,2)</f>
        <v>Local Bus</v>
      </c>
      <c r="B111" s="4">
        <f ca="1">'Total Duration Tables Sup #2'!B111</f>
        <v>0.94491203199999996</v>
      </c>
      <c r="C111" s="4">
        <f ca="1">'Total Duration Tables Sup #2'!C111</f>
        <v>0.9066060746691339</v>
      </c>
      <c r="D111" s="4">
        <f ca="1">'Total Duration Tables Sup #2'!D111</f>
        <v>0.8763201561271251</v>
      </c>
      <c r="E111" s="4">
        <f ca="1">'Total Duration Tables Sup #2'!E111</f>
        <v>0.85585846315466085</v>
      </c>
      <c r="F111" s="4">
        <f ca="1">'Total Duration Tables Sup #2'!F111</f>
        <v>0.82474080827279805</v>
      </c>
      <c r="G111" s="4">
        <f ca="1">'Total Duration Tables Sup #2'!G111</f>
        <v>0.79859539737562169</v>
      </c>
      <c r="H111" s="4">
        <f ca="1">'Total Duration Tables Sup #2'!H111</f>
        <v>0.76840796251369636</v>
      </c>
      <c r="I111" s="1">
        <f ca="1">'Total Duration Tables Sup #2'!I111</f>
        <v>0.76811064928089856</v>
      </c>
      <c r="J111" s="1">
        <f ca="1">'Total Duration Tables Sup #2'!J111</f>
        <v>0.76540901204458478</v>
      </c>
      <c r="K111" s="1">
        <f ca="1">'Total Duration Tables Sup #2'!K111</f>
        <v>0.76111707604448808</v>
      </c>
    </row>
    <row r="112" spans="1:11" x14ac:dyDescent="0.25">
      <c r="A112" t="str">
        <f ca="1">OFFSET(Wellington_Reference,56,2)</f>
        <v>Local Ferry</v>
      </c>
      <c r="B112" s="4">
        <f ca="1">'Total Duration Tables Sup #2'!B112</f>
        <v>0</v>
      </c>
      <c r="C112" s="4">
        <f ca="1">'Total Duration Tables Sup #2'!C112</f>
        <v>0</v>
      </c>
      <c r="D112" s="4">
        <f ca="1">'Total Duration Tables Sup #2'!D112</f>
        <v>0</v>
      </c>
      <c r="E112" s="4">
        <f ca="1">'Total Duration Tables Sup #2'!E112</f>
        <v>0</v>
      </c>
      <c r="F112" s="4">
        <f ca="1">'Total Duration Tables Sup #2'!F112</f>
        <v>0</v>
      </c>
      <c r="G112" s="4">
        <f ca="1">'Total Duration Tables Sup #2'!G112</f>
        <v>0</v>
      </c>
      <c r="H112" s="4">
        <f ca="1">'Total Duration Tables Sup #2'!H112</f>
        <v>0</v>
      </c>
      <c r="I112" s="1">
        <f ca="1">'Total Duration Tables Sup #2'!I112</f>
        <v>0</v>
      </c>
      <c r="J112" s="1">
        <f ca="1">'Total Duration Tables Sup #2'!J112</f>
        <v>0</v>
      </c>
      <c r="K112" s="1">
        <f ca="1">'Total Duration Tables Sup #2'!K112</f>
        <v>0</v>
      </c>
    </row>
    <row r="113" spans="1:11" x14ac:dyDescent="0.25">
      <c r="A113" t="str">
        <f ca="1">OFFSET(Nelson_Reference,56,2)</f>
        <v>Other Household Travel</v>
      </c>
      <c r="B113" s="4">
        <f ca="1">'Total Duration Tables Sup #2'!B113</f>
        <v>0.51346004550000002</v>
      </c>
      <c r="C113" s="4">
        <f ca="1">'Total Duration Tables Sup #2'!C113</f>
        <v>0.54427000974417128</v>
      </c>
      <c r="D113" s="4">
        <f ca="1">'Total Duration Tables Sup #2'!D113</f>
        <v>0.56368043694476144</v>
      </c>
      <c r="E113" s="4">
        <f ca="1">'Total Duration Tables Sup #2'!E113</f>
        <v>0.56967623043248672</v>
      </c>
      <c r="F113" s="4">
        <f ca="1">'Total Duration Tables Sup #2'!F113</f>
        <v>0.57046856418550207</v>
      </c>
      <c r="G113" s="4">
        <f ca="1">'Total Duration Tables Sup #2'!G113</f>
        <v>0.57228580969209741</v>
      </c>
      <c r="H113" s="4">
        <f ca="1">'Total Duration Tables Sup #2'!H113</f>
        <v>0.56869041183028113</v>
      </c>
      <c r="I113" s="1">
        <f ca="1">'Total Duration Tables Sup #2'!I113</f>
        <v>0.56532711915030676</v>
      </c>
      <c r="J113" s="1">
        <f ca="1">'Total Duration Tables Sup #2'!J113</f>
        <v>0.56025157672243109</v>
      </c>
      <c r="K113" s="1">
        <f ca="1">'Total Duration Tables Sup #2'!K113</f>
        <v>0.55408509926925531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'Total Duration Tables Sup #2'!B115</f>
        <v>1.1518220776999999</v>
      </c>
      <c r="C115" s="4">
        <f ca="1">'Total Duration Tables Sup #2'!C115</f>
        <v>1.1147984782158102</v>
      </c>
      <c r="D115" s="4">
        <f ca="1">'Total Duration Tables Sup #2'!D115</f>
        <v>1.1591167380336684</v>
      </c>
      <c r="E115" s="4">
        <f ca="1">'Total Duration Tables Sup #2'!E115</f>
        <v>1.188422572344622</v>
      </c>
      <c r="F115" s="4">
        <f ca="1">'Total Duration Tables Sup #2'!F115</f>
        <v>1.2027330857713712</v>
      </c>
      <c r="G115" s="4">
        <f ca="1">'Total Duration Tables Sup #2'!G115</f>
        <v>1.2083003577704521</v>
      </c>
      <c r="H115" s="4">
        <f ca="1">'Total Duration Tables Sup #2'!H115</f>
        <v>1.2071696804495207</v>
      </c>
      <c r="I115" s="1">
        <f ca="1">'Total Duration Tables Sup #2'!I115</f>
        <v>1.1751940904500726</v>
      </c>
      <c r="J115" s="1">
        <f ca="1">'Total Duration Tables Sup #2'!J115</f>
        <v>1.1404353015118849</v>
      </c>
      <c r="K115" s="1">
        <f ca="1">'Total Duration Tables Sup #2'!K115</f>
        <v>1.1043372014894395</v>
      </c>
    </row>
    <row r="116" spans="1:11" x14ac:dyDescent="0.25">
      <c r="A116" t="str">
        <f ca="1">OFFSET(West_Coast_Reference,7,2)</f>
        <v>Cyclist</v>
      </c>
      <c r="B116" s="4">
        <f ca="1">'Total Duration Tables Sup #2'!B116</f>
        <v>0.17528853950000001</v>
      </c>
      <c r="C116" s="4">
        <f ca="1">'Total Duration Tables Sup #2'!C116</f>
        <v>0.17404464062387595</v>
      </c>
      <c r="D116" s="4">
        <f ca="1">'Total Duration Tables Sup #2'!D116</f>
        <v>0.24145072337472145</v>
      </c>
      <c r="E116" s="4">
        <f ca="1">'Total Duration Tables Sup #2'!E116</f>
        <v>0.3026791780476758</v>
      </c>
      <c r="F116" s="4">
        <f ca="1">'Total Duration Tables Sup #2'!F116</f>
        <v>0.36308043191363371</v>
      </c>
      <c r="G116" s="4">
        <f ca="1">'Total Duration Tables Sup #2'!G116</f>
        <v>0.42483054234836853</v>
      </c>
      <c r="H116" s="4">
        <f ca="1">'Total Duration Tables Sup #2'!H116</f>
        <v>0.48547049647996332</v>
      </c>
      <c r="I116" s="1">
        <f ca="1">'Total Duration Tables Sup #2'!I116</f>
        <v>0.47486272789910033</v>
      </c>
      <c r="J116" s="1">
        <f ca="1">'Total Duration Tables Sup #2'!J116</f>
        <v>0.46303428259222057</v>
      </c>
      <c r="K116" s="1">
        <f ca="1">'Total Duration Tables Sup #2'!K116</f>
        <v>0.4505549319858424</v>
      </c>
    </row>
    <row r="117" spans="1:11" x14ac:dyDescent="0.25">
      <c r="A117" t="str">
        <f ca="1">OFFSET(West_Coast_Reference,14,2)</f>
        <v>Light Vehicle Driver</v>
      </c>
      <c r="B117" s="4">
        <f ca="1">'Total Duration Tables Sup #2'!B117</f>
        <v>5.0852916584000001</v>
      </c>
      <c r="C117" s="4">
        <f ca="1">'Total Duration Tables Sup #2'!C117*(1-'Other Assumptions'!G16)</f>
        <v>5.0903049886514982</v>
      </c>
      <c r="D117" s="4">
        <f ca="1">'Total Duration Tables Sup #2'!D117*(1-'Other Assumptions'!H16)</f>
        <v>5.0583466530339249</v>
      </c>
      <c r="E117" s="4">
        <f ca="1">'Total Duration Tables Sup #2'!E117*(1-'Other Assumptions'!I16)</f>
        <v>4.5119770249205438</v>
      </c>
      <c r="F117" s="4">
        <f ca="1">'Total Duration Tables Sup #2'!F117*(1-'Other Assumptions'!J16)</f>
        <v>3.9522275067346571</v>
      </c>
      <c r="G117" s="4">
        <f ca="1">'Total Duration Tables Sup #2'!G117*(1-'Other Assumptions'!K16)</f>
        <v>3.3697576019017457</v>
      </c>
      <c r="H117" s="4">
        <f ca="1">'Total Duration Tables Sup #2'!H117*(1-'Other Assumptions'!L16)</f>
        <v>2.801926576332137</v>
      </c>
      <c r="I117" s="1">
        <f ca="1">'Total Duration Tables Sup #2'!I117*(1-'Other Assumptions'!M16)</f>
        <v>2.2719421173619421</v>
      </c>
      <c r="J117" s="1">
        <f ca="1">'Total Duration Tables Sup #2'!J117*(1-'Other Assumptions'!N16)</f>
        <v>1.7629062167878033</v>
      </c>
      <c r="K117" s="1">
        <f ca="1">'Total Duration Tables Sup #2'!K117*(1-'Other Assumptions'!O16)</f>
        <v>1.7062467696665771</v>
      </c>
    </row>
    <row r="118" spans="1:11" x14ac:dyDescent="0.25">
      <c r="A118" t="str">
        <f ca="1">OFFSET(West_Coast_Reference,21,2)</f>
        <v>Light Vehicle Passenger</v>
      </c>
      <c r="B118" s="4">
        <f ca="1">'Total Duration Tables Sup #2'!B118</f>
        <v>3.4140139011000001</v>
      </c>
      <c r="C118" s="4">
        <f ca="1">'Total Duration Tables Sup #2'!C118*(1-'Other Assumptions'!G16)</f>
        <v>3.2750776579887306</v>
      </c>
      <c r="D118" s="4">
        <f ca="1">'Total Duration Tables Sup #2'!D118*(1-'Other Assumptions'!H16)</f>
        <v>3.166038155370575</v>
      </c>
      <c r="E118" s="4">
        <f ca="1">'Total Duration Tables Sup #2'!E118*(1-'Other Assumptions'!I16)</f>
        <v>2.7471795967628512</v>
      </c>
      <c r="F118" s="4">
        <f ca="1">'Total Duration Tables Sup #2'!F118*(1-'Other Assumptions'!J16)</f>
        <v>2.3378995422593314</v>
      </c>
      <c r="G118" s="4">
        <f ca="1">'Total Duration Tables Sup #2'!G118*(1-'Other Assumptions'!K16)</f>
        <v>1.9438600550884222</v>
      </c>
      <c r="H118" s="4">
        <f ca="1">'Total Duration Tables Sup #2'!H118*(1-'Other Assumptions'!L16)</f>
        <v>1.5753927098209823</v>
      </c>
      <c r="I118" s="1">
        <f ca="1">'Total Duration Tables Sup #2'!I118*(1-'Other Assumptions'!M16)</f>
        <v>1.2786491438430472</v>
      </c>
      <c r="J118" s="1">
        <f ca="1">'Total Duration Tables Sup #2'!J118*(1-'Other Assumptions'!N16)</f>
        <v>0.9931223732491985</v>
      </c>
      <c r="K118" s="1">
        <f ca="1">'Total Duration Tables Sup #2'!K118*(1-'Other Assumptions'!O16)</f>
        <v>0.96212613021089322</v>
      </c>
    </row>
    <row r="119" spans="1:11" x14ac:dyDescent="0.25">
      <c r="A119" t="str">
        <f ca="1">OFFSET(West_Coast_Reference,28,2)</f>
        <v>Taxi/Vehicle Share</v>
      </c>
      <c r="B119" s="4">
        <f ca="1">'Total Duration Tables Sup #2'!B119</f>
        <v>6.5507808299999998E-2</v>
      </c>
      <c r="C119" s="4">
        <f ca="1">'Total Duration Tables Sup #2'!C119+((C117+C118)*'Other Assumptions'!G16/(1-'Other Assumptions'!G16))</f>
        <v>6.8147605913670264E-2</v>
      </c>
      <c r="D119" s="4">
        <f ca="1">'Total Duration Tables Sup #2'!D119+((D117+D118)*'Other Assumptions'!H16/(1-'Other Assumptions'!H16))</f>
        <v>7.1026637539926524E-2</v>
      </c>
      <c r="E119" s="4">
        <f ca="1">'Total Duration Tables Sup #2'!E119+((E117+E118)*'Other Assumptions'!I16/(1-'Other Assumptions'!I16))</f>
        <v>0.87946349827961678</v>
      </c>
      <c r="F119" s="4">
        <f ca="1">'Total Duration Tables Sup #2'!F119+((F117+F118)*'Other Assumptions'!J16/(1-'Other Assumptions'!J16))</f>
        <v>1.6462590020328334</v>
      </c>
      <c r="G119" s="4">
        <f ca="1">'Total Duration Tables Sup #2'!G119+((G117+G118)*'Other Assumptions'!K16/(1-'Other Assumptions'!K16))</f>
        <v>2.350316406941988</v>
      </c>
      <c r="H119" s="4">
        <f ca="1">'Total Duration Tables Sup #2'!H119+((H117+H118)*'Other Assumptions'!L16/(1-'Other Assumptions'!L16))</f>
        <v>2.9902576560934784</v>
      </c>
      <c r="I119" s="1">
        <f ca="1">'Total Duration Tables Sup #2'!I119+((I117+I118)*'Other Assumptions'!M16/(1-'Other Assumptions'!M16))</f>
        <v>3.6205744775998232</v>
      </c>
      <c r="J119" s="1">
        <f ca="1">'Total Duration Tables Sup #2'!J119+((J117+J118)*'Other Assumptions'!N16/(1-'Other Assumptions'!N16))</f>
        <v>4.2018080318871691</v>
      </c>
      <c r="K119" s="1">
        <f ca="1">'Total Duration Tables Sup #2'!K119+((K117+K118)*'Other Assumptions'!O16/(1-'Other Assumptions'!O16))</f>
        <v>4.0680366926853582</v>
      </c>
    </row>
    <row r="120" spans="1:11" x14ac:dyDescent="0.25">
      <c r="A120" t="str">
        <f ca="1">OFFSET(West_Coast_Reference,35,2)</f>
        <v>Motorcyclist</v>
      </c>
      <c r="B120" s="4">
        <f ca="1">'Total Duration Tables Sup #2'!B120</f>
        <v>9.7989774000000005E-3</v>
      </c>
      <c r="C120" s="4">
        <f ca="1">'Total Duration Tables Sup #2'!C120</f>
        <v>9.7175077949302451E-3</v>
      </c>
      <c r="D120" s="4">
        <f ca="1">'Total Duration Tables Sup #2'!D120</f>
        <v>9.6563632317229042E-3</v>
      </c>
      <c r="E120" s="4">
        <f ca="1">'Total Duration Tables Sup #2'!E120</f>
        <v>9.506332830718207E-3</v>
      </c>
      <c r="F120" s="4">
        <f ca="1">'Total Duration Tables Sup #2'!F120</f>
        <v>9.3069457072279243E-3</v>
      </c>
      <c r="G120" s="4">
        <f ca="1">'Total Duration Tables Sup #2'!G120</f>
        <v>8.9703494936559901E-3</v>
      </c>
      <c r="H120" s="4">
        <f ca="1">'Total Duration Tables Sup #2'!H120</f>
        <v>8.6018192689943651E-3</v>
      </c>
      <c r="I120" s="1">
        <f ca="1">'Total Duration Tables Sup #2'!I120</f>
        <v>8.4137300626237598E-3</v>
      </c>
      <c r="J120" s="1">
        <f ca="1">'Total Duration Tables Sup #2'!J120</f>
        <v>8.2036074654334087E-3</v>
      </c>
      <c r="K120" s="1">
        <f ca="1">'Total Duration Tables Sup #2'!K120</f>
        <v>7.9815723187535905E-3</v>
      </c>
    </row>
    <row r="121" spans="1:11" x14ac:dyDescent="0.25">
      <c r="A121" t="str">
        <f ca="1">OFFSET(Nelson_Reference,42,2)</f>
        <v>Local Train</v>
      </c>
      <c r="B121" s="4">
        <f ca="1">'Total Duration Tables Sup #2'!B121</f>
        <v>0</v>
      </c>
      <c r="C121" s="4">
        <f ca="1">'Total Duration Tables Sup #2'!C121</f>
        <v>0</v>
      </c>
      <c r="D121" s="4">
        <f ca="1">'Total Duration Tables Sup #2'!D121</f>
        <v>0</v>
      </c>
      <c r="E121" s="4">
        <f ca="1">'Total Duration Tables Sup #2'!E121</f>
        <v>0</v>
      </c>
      <c r="F121" s="4">
        <f ca="1">'Total Duration Tables Sup #2'!F121</f>
        <v>0</v>
      </c>
      <c r="G121" s="4">
        <f ca="1">'Total Duration Tables Sup #2'!G121</f>
        <v>0</v>
      </c>
      <c r="H121" s="4">
        <f ca="1">'Total Duration Tables Sup #2'!H121</f>
        <v>0</v>
      </c>
      <c r="I121" s="1">
        <f ca="1">'Total Duration Tables Sup #2'!I121</f>
        <v>0</v>
      </c>
      <c r="J121" s="1">
        <f ca="1">'Total Duration Tables Sup #2'!J121</f>
        <v>0</v>
      </c>
      <c r="K121" s="1">
        <f ca="1">'Total Duration Tables Sup #2'!K121</f>
        <v>0</v>
      </c>
    </row>
    <row r="122" spans="1:11" x14ac:dyDescent="0.25">
      <c r="A122" t="str">
        <f ca="1">OFFSET(West_Coast_Reference,42,2)</f>
        <v>Local Bus</v>
      </c>
      <c r="B122" s="4">
        <f ca="1">'Total Duration Tables Sup #2'!B122</f>
        <v>0.18249519829999999</v>
      </c>
      <c r="C122" s="4">
        <f ca="1">'Total Duration Tables Sup #2'!C122</f>
        <v>0.16446370196488638</v>
      </c>
      <c r="D122" s="4">
        <f ca="1">'Total Duration Tables Sup #2'!D122</f>
        <v>0.15431234310722411</v>
      </c>
      <c r="E122" s="4">
        <f ca="1">'Total Duration Tables Sup #2'!E122</f>
        <v>0.1465380941719204</v>
      </c>
      <c r="F122" s="4">
        <f ca="1">'Total Duration Tables Sup #2'!F122</f>
        <v>0.13736167231204494</v>
      </c>
      <c r="G122" s="4">
        <f ca="1">'Total Duration Tables Sup #2'!G122</f>
        <v>0.12944968057155101</v>
      </c>
      <c r="H122" s="4">
        <f ca="1">'Total Duration Tables Sup #2'!H122</f>
        <v>0.12154388850730344</v>
      </c>
      <c r="I122" s="1">
        <f ca="1">'Total Duration Tables Sup #2'!I122</f>
        <v>0.11855275923356694</v>
      </c>
      <c r="J122" s="1">
        <f ca="1">'Total Duration Tables Sup #2'!J122</f>
        <v>0.11526768156295678</v>
      </c>
      <c r="K122" s="1">
        <f ca="1">'Total Duration Tables Sup #2'!K122</f>
        <v>0.11183327243807761</v>
      </c>
    </row>
    <row r="123" spans="1:11" x14ac:dyDescent="0.25">
      <c r="A123" t="str">
        <f ca="1">OFFSET(Wellington_Reference,56,2)</f>
        <v>Local Ferry</v>
      </c>
      <c r="B123" s="4">
        <f ca="1">'Total Duration Tables Sup #2'!B123</f>
        <v>0</v>
      </c>
      <c r="C123" s="4">
        <f ca="1">'Total Duration Tables Sup #2'!C123</f>
        <v>0</v>
      </c>
      <c r="D123" s="4">
        <f ca="1">'Total Duration Tables Sup #2'!D123</f>
        <v>0</v>
      </c>
      <c r="E123" s="4">
        <f ca="1">'Total Duration Tables Sup #2'!E123</f>
        <v>0</v>
      </c>
      <c r="F123" s="4">
        <f ca="1">'Total Duration Tables Sup #2'!F123</f>
        <v>0</v>
      </c>
      <c r="G123" s="4">
        <f ca="1">'Total Duration Tables Sup #2'!G123</f>
        <v>0</v>
      </c>
      <c r="H123" s="4">
        <f ca="1">'Total Duration Tables Sup #2'!H123</f>
        <v>0</v>
      </c>
      <c r="I123" s="1">
        <f ca="1">'Total Duration Tables Sup #2'!I123</f>
        <v>0</v>
      </c>
      <c r="J123" s="1">
        <f ca="1">'Total Duration Tables Sup #2'!J123</f>
        <v>0</v>
      </c>
      <c r="K123" s="1">
        <f ca="1">'Total Duration Tables Sup #2'!K123</f>
        <v>0</v>
      </c>
    </row>
    <row r="124" spans="1:11" x14ac:dyDescent="0.25">
      <c r="A124" t="str">
        <f ca="1">OFFSET(West_Coast_Reference,49,2)</f>
        <v>Other Household Travel</v>
      </c>
      <c r="B124" s="4">
        <f ca="1">'Total Duration Tables Sup #2'!B124</f>
        <v>3.6766106000000001E-3</v>
      </c>
      <c r="C124" s="4">
        <f ca="1">'Total Duration Tables Sup #2'!C124</f>
        <v>3.6605535005115163E-3</v>
      </c>
      <c r="D124" s="4">
        <f ca="1">'Total Duration Tables Sup #2'!D124</f>
        <v>3.6800332640379266E-3</v>
      </c>
      <c r="E124" s="4">
        <f ca="1">'Total Duration Tables Sup #2'!E124</f>
        <v>3.616242995816366E-3</v>
      </c>
      <c r="F124" s="4">
        <f ca="1">'Total Duration Tables Sup #2'!F124</f>
        <v>3.5225788242620347E-3</v>
      </c>
      <c r="G124" s="4">
        <f ca="1">'Total Duration Tables Sup #2'!G124</f>
        <v>3.4392842799550226E-3</v>
      </c>
      <c r="H124" s="4">
        <f ca="1">'Total Duration Tables Sup #2'!H124</f>
        <v>3.335017314950616E-3</v>
      </c>
      <c r="I124" s="1">
        <f ca="1">'Total Duration Tables Sup #2'!I124</f>
        <v>3.2349577760067256E-3</v>
      </c>
      <c r="J124" s="1">
        <f ca="1">'Total Duration Tables Sup #2'!J124</f>
        <v>3.1280810060676993E-3</v>
      </c>
      <c r="K124" s="1">
        <f ca="1">'Total Duration Tables Sup #2'!K124</f>
        <v>3.0184011367502209E-3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'Total Duration Tables Sup #2'!B126</f>
        <v>27.07651954</v>
      </c>
      <c r="C126" s="4">
        <f ca="1">'Total Duration Tables Sup #2'!C126+'Total Duration Tables Sup #2'!C128*'Other Assumptions'!G88*'Other Assumptions'!G95+'Total Duration Tables Sup #2'!C129*'Other Assumptions'!G88*'Other Assumptions'!G95</f>
        <v>29.459853451666518</v>
      </c>
      <c r="D126" s="4">
        <f ca="1">'Total Duration Tables Sup #2'!D126+'Total Duration Tables Sup #2'!D128*'Other Assumptions'!H88*'Other Assumptions'!H95+'Total Duration Tables Sup #2'!D129*'Other Assumptions'!H88*'Other Assumptions'!H95</f>
        <v>32.646213668499321</v>
      </c>
      <c r="E126" s="4">
        <f ca="1">'Total Duration Tables Sup #2'!E126+'Total Duration Tables Sup #2'!E128*'Other Assumptions'!I88*'Other Assumptions'!I95+'Total Duration Tables Sup #2'!E129*'Other Assumptions'!I88*'Other Assumptions'!I95</f>
        <v>35.205106799647332</v>
      </c>
      <c r="F126" s="4">
        <f ca="1">'Total Duration Tables Sup #2'!F126+'Total Duration Tables Sup #2'!F128*'Other Assumptions'!J88*'Other Assumptions'!J95+'Total Duration Tables Sup #2'!F129*'Other Assumptions'!J88*'Other Assumptions'!J95</f>
        <v>37.499494338851328</v>
      </c>
      <c r="G126" s="4">
        <f ca="1">'Total Duration Tables Sup #2'!G126+'Total Duration Tables Sup #2'!G128*'Other Assumptions'!K88*'Other Assumptions'!K95+'Total Duration Tables Sup #2'!G129*'Other Assumptions'!K88*'Other Assumptions'!K95</f>
        <v>39.677388217104159</v>
      </c>
      <c r="H126" s="4">
        <f ca="1">'Total Duration Tables Sup #2'!H126+'Total Duration Tables Sup #2'!H128*'Other Assumptions'!L88*'Other Assumptions'!L95+'Total Duration Tables Sup #2'!H129*'Other Assumptions'!L88*'Other Assumptions'!L95</f>
        <v>41.715958045782124</v>
      </c>
      <c r="I126" s="1">
        <f ca="1">'Total Duration Tables Sup #2'!I126+'Total Duration Tables Sup #2'!I128*'Other Assumptions'!M88*'Other Assumptions'!M95+'Total Duration Tables Sup #2'!I129*'Other Assumptions'!M88*'Other Assumptions'!M95</f>
        <v>42.737511640339115</v>
      </c>
      <c r="J126" s="1">
        <f ca="1">'Total Duration Tables Sup #2'!J126+'Total Duration Tables Sup #2'!J128*'Other Assumptions'!N88*'Other Assumptions'!N95+'Total Duration Tables Sup #2'!J129*'Other Assumptions'!N88*'Other Assumptions'!N95</f>
        <v>43.645152531276473</v>
      </c>
      <c r="K126" s="1">
        <f ca="1">'Total Duration Tables Sup #2'!K126+'Total Duration Tables Sup #2'!K128*'Other Assumptions'!O88*'Other Assumptions'!O95+'Total Duration Tables Sup #2'!K129*'Other Assumptions'!O88*'Other Assumptions'!O95</f>
        <v>44.476724501256641</v>
      </c>
    </row>
    <row r="127" spans="1:11" x14ac:dyDescent="0.25">
      <c r="A127" t="str">
        <f ca="1">OFFSET(Canterbury_Reference,7,2)</f>
        <v>Cyclist</v>
      </c>
      <c r="B127" s="4">
        <f ca="1">'Total Duration Tables Sup #2'!B127</f>
        <v>7.2445897615000003</v>
      </c>
      <c r="C127" s="4">
        <f ca="1">'Total Duration Tables Sup #2'!C127+'Total Duration Tables Sup #2'!C128*'Other Assumptions'!G88*'Other Assumptions'!G94+'Total Duration Tables Sup #2'!C129*'Other Assumptions'!G88*'Other Assumptions'!G94</f>
        <v>8.0862600646876057</v>
      </c>
      <c r="D127" s="4">
        <f ca="1">'Total Duration Tables Sup #2'!D127+'Total Duration Tables Sup #2'!D128*'Other Assumptions'!H88*'Other Assumptions'!H94+'Total Duration Tables Sup #2'!D129*'Other Assumptions'!H88*'Other Assumptions'!H94</f>
        <v>11.956029766446884</v>
      </c>
      <c r="E127" s="4">
        <f ca="1">'Total Duration Tables Sup #2'!E127+'Total Duration Tables Sup #2'!E128*'Other Assumptions'!I88*'Other Assumptions'!I94+'Total Duration Tables Sup #2'!E129*'Other Assumptions'!I88*'Other Assumptions'!I94</f>
        <v>15.764135360381323</v>
      </c>
      <c r="F127" s="4">
        <f ca="1">'Total Duration Tables Sup #2'!F127+'Total Duration Tables Sup #2'!F128*'Other Assumptions'!J88*'Other Assumptions'!J94+'Total Duration Tables Sup #2'!F129*'Other Assumptions'!J88*'Other Assumptions'!J94</f>
        <v>19.902692453109019</v>
      </c>
      <c r="G127" s="4">
        <f ca="1">'Total Duration Tables Sup #2'!G127+'Total Duration Tables Sup #2'!G128*'Other Assumptions'!K88*'Other Assumptions'!K94+'Total Duration Tables Sup #2'!G129*'Other Assumptions'!K88*'Other Assumptions'!K94</f>
        <v>24.526565639539783</v>
      </c>
      <c r="H127" s="4">
        <f ca="1">'Total Duration Tables Sup #2'!H127+'Total Duration Tables Sup #2'!H128*'Other Assumptions'!L88*'Other Assumptions'!L94+'Total Duration Tables Sup #2'!H129*'Other Assumptions'!L88*'Other Assumptions'!L94</f>
        <v>29.495080093948815</v>
      </c>
      <c r="I127" s="1">
        <f ca="1">'Total Duration Tables Sup #2'!I127+'Total Duration Tables Sup #2'!I128*'Other Assumptions'!M88*'Other Assumptions'!M94+'Total Duration Tables Sup #2'!I129*'Other Assumptions'!M88*'Other Assumptions'!M94</f>
        <v>30.361313168153742</v>
      </c>
      <c r="J127" s="1">
        <f ca="1">'Total Duration Tables Sup #2'!J127+'Total Duration Tables Sup #2'!J128*'Other Assumptions'!N88*'Other Assumptions'!N94+'Total Duration Tables Sup #2'!J129*'Other Assumptions'!N88*'Other Assumptions'!N94</f>
        <v>31.155257537796874</v>
      </c>
      <c r="K127" s="1">
        <f ca="1">'Total Duration Tables Sup #2'!K127+'Total Duration Tables Sup #2'!K128*'Other Assumptions'!O88*'Other Assumptions'!O94+'Total Duration Tables Sup #2'!K129*'Other Assumptions'!O88*'Other Assumptions'!O94</f>
        <v>31.903011244583006</v>
      </c>
    </row>
    <row r="128" spans="1:11" x14ac:dyDescent="0.25">
      <c r="A128" t="str">
        <f ca="1">OFFSET(Canterbury_Reference,14,2)</f>
        <v>Light Vehicle Driver</v>
      </c>
      <c r="B128" s="4">
        <f ca="1">'Total Duration Tables Sup #2'!B128</f>
        <v>111.06814274</v>
      </c>
      <c r="C128" s="4">
        <f ca="1">'Total Duration Tables Sup #2'!C128*(1-'Other Assumptions'!G17)*(1-'Other Assumptions'!G88)</f>
        <v>124.98106542252064</v>
      </c>
      <c r="D128" s="4">
        <f ca="1">'Total Duration Tables Sup #2'!D128*(1-'Other Assumptions'!H17)*(1-'Other Assumptions'!H88)</f>
        <v>131.93177050672924</v>
      </c>
      <c r="E128" s="4">
        <f ca="1">'Total Duration Tables Sup #2'!E128*(1-'Other Assumptions'!I17)*(1-'Other Assumptions'!I88)</f>
        <v>123.38112743169674</v>
      </c>
      <c r="F128" s="4">
        <f ca="1">'Total Duration Tables Sup #2'!F128*(1-'Other Assumptions'!J17)*(1-'Other Assumptions'!J88)</f>
        <v>113.38423025285336</v>
      </c>
      <c r="G128" s="4">
        <f ca="1">'Total Duration Tables Sup #2'!G128*(1-'Other Assumptions'!K17)*(1-'Other Assumptions'!K88)</f>
        <v>101.46869276218773</v>
      </c>
      <c r="H128" s="4">
        <f ca="1">'Total Duration Tables Sup #2'!H128*(1-'Other Assumptions'!L17)*(1-'Other Assumptions'!L88)</f>
        <v>88.468359423815627</v>
      </c>
      <c r="I128" s="1">
        <f ca="1">'Total Duration Tables Sup #2'!I128*(1-'Other Assumptions'!M17)*(1-'Other Assumptions'!M88)</f>
        <v>75.484532093851072</v>
      </c>
      <c r="J128" s="1">
        <f ca="1">'Total Duration Tables Sup #2'!J128*(1-'Other Assumptions'!N17)*(1-'Other Assumptions'!N88)</f>
        <v>61.633792426958109</v>
      </c>
      <c r="K128" s="1">
        <f ca="1">'Total Duration Tables Sup #2'!K128*(1-'Other Assumptions'!O17)*(1-'Other Assumptions'!O88)</f>
        <v>62.771138217396711</v>
      </c>
    </row>
    <row r="129" spans="1:11" x14ac:dyDescent="0.25">
      <c r="A129" t="str">
        <f ca="1">OFFSET(Canterbury_Reference,21,2)</f>
        <v>Light Vehicle Passenger</v>
      </c>
      <c r="B129" s="4">
        <f ca="1">'Total Duration Tables Sup #2'!B129</f>
        <v>53.544276449999998</v>
      </c>
      <c r="C129" s="4">
        <f ca="1">'Total Duration Tables Sup #2'!C129*(1-'Other Assumptions'!G17)*(1-'Other Assumptions'!G88+'Other Assumptions'!G88*'Other Assumptions'!G91)+'Total Duration Tables Sup #2'!C128*(1-'Other Assumptions'!G17)*'Other Assumptions'!G88*'Other Assumptions'!G91</f>
        <v>57.742574904782217</v>
      </c>
      <c r="D129" s="4">
        <f ca="1">'Total Duration Tables Sup #2'!D129*(1-'Other Assumptions'!H17)*(1-'Other Assumptions'!H88+'Other Assumptions'!H88*'Other Assumptions'!H91)+'Total Duration Tables Sup #2'!D128*(1-'Other Assumptions'!H17)*'Other Assumptions'!H88*'Other Assumptions'!H91</f>
        <v>58.80880294791389</v>
      </c>
      <c r="E129" s="4">
        <f ca="1">'Total Duration Tables Sup #2'!E129*(1-'Other Assumptions'!I17)*(1-'Other Assumptions'!I88+'Other Assumptions'!I88*'Other Assumptions'!I91)+'Total Duration Tables Sup #2'!E128*(1-'Other Assumptions'!I17)*'Other Assumptions'!I88*'Other Assumptions'!I91</f>
        <v>53.034625736941237</v>
      </c>
      <c r="F129" s="4">
        <f ca="1">'Total Duration Tables Sup #2'!F129*(1-'Other Assumptions'!J17)*(1-'Other Assumptions'!J88+'Other Assumptions'!J88*'Other Assumptions'!J91)+'Total Duration Tables Sup #2'!F128*(1-'Other Assumptions'!J17)*'Other Assumptions'!J88*'Other Assumptions'!J91</f>
        <v>46.903976529463094</v>
      </c>
      <c r="G129" s="4">
        <f ca="1">'Total Duration Tables Sup #2'!G129*(1-'Other Assumptions'!K17)*(1-'Other Assumptions'!K88+'Other Assumptions'!K88*'Other Assumptions'!K91)+'Total Duration Tables Sup #2'!G128*(1-'Other Assumptions'!K17)*'Other Assumptions'!K88*'Other Assumptions'!K91</f>
        <v>40.500369018103768</v>
      </c>
      <c r="H129" s="4">
        <f ca="1">'Total Duration Tables Sup #2'!H129*(1-'Other Assumptions'!L17)*(1-'Other Assumptions'!L88+'Other Assumptions'!L88*'Other Assumptions'!L91)+'Total Duration Tables Sup #2'!H128*(1-'Other Assumptions'!L17)*'Other Assumptions'!L88*'Other Assumptions'!L91</f>
        <v>34.010605443731755</v>
      </c>
      <c r="I129" s="1">
        <f ca="1">'Total Duration Tables Sup #2'!I129*(1-'Other Assumptions'!M17)*(1-'Other Assumptions'!M88+'Other Assumptions'!M88*'Other Assumptions'!M91)+'Total Duration Tables Sup #2'!I128*(1-'Other Assumptions'!M17)*'Other Assumptions'!M88*'Other Assumptions'!M91</f>
        <v>29.043243699350604</v>
      </c>
      <c r="J129" s="1">
        <f ca="1">'Total Duration Tables Sup #2'!J129*(1-'Other Assumptions'!N17)*(1-'Other Assumptions'!N88+'Other Assumptions'!N88*'Other Assumptions'!N91)+'Total Duration Tables Sup #2'!J128*(1-'Other Assumptions'!N17)*'Other Assumptions'!N88*'Other Assumptions'!N91</f>
        <v>23.73356588441851</v>
      </c>
      <c r="K129" s="1">
        <f ca="1">'Total Duration Tables Sup #2'!K129*(1-'Other Assumptions'!O17)*(1-'Other Assumptions'!O88+'Other Assumptions'!O88*'Other Assumptions'!O91)+'Total Duration Tables Sup #2'!K128*(1-'Other Assumptions'!O17)*'Other Assumptions'!O88*'Other Assumptions'!O91</f>
        <v>24.191180344989125</v>
      </c>
    </row>
    <row r="130" spans="1:11" x14ac:dyDescent="0.25">
      <c r="A130" t="str">
        <f ca="1">OFFSET(Canterbury_Reference,28,2)</f>
        <v>Taxi/Vehicle Share</v>
      </c>
      <c r="B130" s="4">
        <f ca="1">'Total Duration Tables Sup #2'!B130</f>
        <v>0.86554787379999998</v>
      </c>
      <c r="C130" s="4">
        <f ca="1">'Total Duration Tables Sup #2'!C130+((C128+C129)*'Other Assumptions'!G17/(1-'Other Assumptions'!G17))</f>
        <v>1.0122211386275664</v>
      </c>
      <c r="D130" s="4">
        <f ca="1">'Total Duration Tables Sup #2'!D130+((D128+D129)*'Other Assumptions'!H17/(1-'Other Assumptions'!H17))</f>
        <v>1.1243913120125442</v>
      </c>
      <c r="E130" s="4">
        <f ca="1">'Total Duration Tables Sup #2'!E130+((E128+E129)*'Other Assumptions'!I17/(1-'Other Assumptions'!I17))</f>
        <v>20.815408925370871</v>
      </c>
      <c r="F130" s="4">
        <f ca="1">'Total Duration Tables Sup #2'!F130+((F128+F129)*'Other Assumptions'!J17/(1-'Other Assumptions'!J17))</f>
        <v>41.364087988059403</v>
      </c>
      <c r="G130" s="4">
        <f ca="1">'Total Duration Tables Sup #2'!G130+((G128+G129)*'Other Assumptions'!K17/(1-'Other Assumptions'!K17))</f>
        <v>62.192191476392132</v>
      </c>
      <c r="H130" s="4">
        <f ca="1">'Total Duration Tables Sup #2'!H130+((H128+H129)*'Other Assumptions'!L17/(1-'Other Assumptions'!L17))</f>
        <v>83.051995717100809</v>
      </c>
      <c r="I130" s="1">
        <f ca="1">'Total Duration Tables Sup #2'!I130+((I128+I129)*'Other Assumptions'!M17/(1-'Other Assumptions'!M17))</f>
        <v>105.9582634546129</v>
      </c>
      <c r="J130" s="1">
        <f ca="1">'Total Duration Tables Sup #2'!J130+((J128+J129)*'Other Assumptions'!N17/(1-'Other Assumptions'!N17))</f>
        <v>129.50871792492262</v>
      </c>
      <c r="K130" s="1">
        <f ca="1">'Total Duration Tables Sup #2'!K130+((K128+K129)*'Other Assumptions'!O17/(1-'Other Assumptions'!O17))</f>
        <v>131.92569803500666</v>
      </c>
    </row>
    <row r="131" spans="1:11" x14ac:dyDescent="0.25">
      <c r="A131" t="str">
        <f ca="1">OFFSET(Canterbury_Reference,35,2)</f>
        <v>Motorcyclist</v>
      </c>
      <c r="B131" s="4">
        <f ca="1">'Total Duration Tables Sup #2'!B131</f>
        <v>0.39288238580000001</v>
      </c>
      <c r="C131" s="4">
        <f ca="1">'Total Duration Tables Sup #2'!C131</f>
        <v>0.43798927383990477</v>
      </c>
      <c r="D131" s="4">
        <f ca="1">'Total Duration Tables Sup #2'!D131</f>
        <v>0.4638671283520307</v>
      </c>
      <c r="E131" s="4">
        <f ca="1">'Total Duration Tables Sup #2'!E131</f>
        <v>0.48031057879404859</v>
      </c>
      <c r="F131" s="4">
        <f ca="1">'Total Duration Tables Sup #2'!F131</f>
        <v>0.49492306781791234</v>
      </c>
      <c r="G131" s="4">
        <f ca="1">'Total Duration Tables Sup #2'!G131</f>
        <v>0.50240262397559743</v>
      </c>
      <c r="H131" s="4">
        <f ca="1">'Total Duration Tables Sup #2'!H131</f>
        <v>0.50698904913921772</v>
      </c>
      <c r="I131" s="1">
        <f ca="1">'Total Duration Tables Sup #2'!I131</f>
        <v>0.52187028612087039</v>
      </c>
      <c r="J131" s="1">
        <f ca="1">'Total Duration Tables Sup #2'!J131</f>
        <v>0.535481655548809</v>
      </c>
      <c r="K131" s="1">
        <f ca="1">'Total Duration Tables Sup #2'!K131</f>
        <v>0.5482692754348677</v>
      </c>
    </row>
    <row r="132" spans="1:11" x14ac:dyDescent="0.25">
      <c r="A132" t="str">
        <f ca="1">OFFSET(Canterbury_Reference,42,2)</f>
        <v>Local Train</v>
      </c>
      <c r="B132" s="4">
        <f ca="1">'Total Duration Tables Sup #2'!B132</f>
        <v>7.3004144E-3</v>
      </c>
      <c r="C132" s="4">
        <f ca="1">'Total Duration Tables Sup #2'!C132+'Total Duration Tables Sup #2'!C128*'Other Assumptions'!G88*'Other Assumptions'!G93+'Total Duration Tables Sup #2'!C129*'Other Assumptions'!G88*'Other Assumptions'!G93</f>
        <v>7.4878837610523642E-3</v>
      </c>
      <c r="D132" s="4">
        <f ca="1">'Total Duration Tables Sup #2'!D132+'Total Duration Tables Sup #2'!D128*'Other Assumptions'!H88*'Other Assumptions'!H93+'Total Duration Tables Sup #2'!D129*'Other Assumptions'!H88*'Other Assumptions'!H93</f>
        <v>6.395159146266244E-3</v>
      </c>
      <c r="E132" s="4">
        <f ca="1">'Total Duration Tables Sup #2'!E132+'Total Duration Tables Sup #2'!E128*'Other Assumptions'!I88*'Other Assumptions'!I93+'Total Duration Tables Sup #2'!E129*'Other Assumptions'!I88*'Other Assumptions'!I93</f>
        <v>5.9228255864376524E-3</v>
      </c>
      <c r="F132" s="4">
        <f ca="1">'Total Duration Tables Sup #2'!F132+'Total Duration Tables Sup #2'!F128*'Other Assumptions'!J88*'Other Assumptions'!J93+'Total Duration Tables Sup #2'!F129*'Other Assumptions'!J88*'Other Assumptions'!J93</f>
        <v>5.5872883342438038E-3</v>
      </c>
      <c r="G132" s="4">
        <f ca="1">'Total Duration Tables Sup #2'!G132+'Total Duration Tables Sup #2'!G128*'Other Assumptions'!K88*'Other Assumptions'!K93+'Total Duration Tables Sup #2'!G129*'Other Assumptions'!K88*'Other Assumptions'!K93</f>
        <v>4.6817585753901004E-3</v>
      </c>
      <c r="H132" s="4">
        <f ca="1">'Total Duration Tables Sup #2'!H132+'Total Duration Tables Sup #2'!H128*'Other Assumptions'!L88*'Other Assumptions'!L93+'Total Duration Tables Sup #2'!H129*'Other Assumptions'!L88*'Other Assumptions'!L93</f>
        <v>3.8455598719585723E-3</v>
      </c>
      <c r="I132" s="1">
        <f ca="1">'Total Duration Tables Sup #2'!I132+'Total Duration Tables Sup #2'!I128*'Other Assumptions'!M88*'Other Assumptions'!M93+'Total Duration Tables Sup #2'!I129*'Other Assumptions'!M88*'Other Assumptions'!M93</f>
        <v>3.8424676304484821E-3</v>
      </c>
      <c r="J132" s="1">
        <f ca="1">'Total Duration Tables Sup #2'!J132+'Total Duration Tables Sup #2'!J128*'Other Assumptions'!N88*'Other Assumptions'!N93+'Total Duration Tables Sup #2'!J129*'Other Assumptions'!N88*'Other Assumptions'!N93</f>
        <v>3.8394146355901861E-3</v>
      </c>
      <c r="K132" s="1">
        <f ca="1">'Total Duration Tables Sup #2'!K132+'Total Duration Tables Sup #2'!K128*'Other Assumptions'!O88*'Other Assumptions'!O93+'Total Duration Tables Sup #2'!K129*'Other Assumptions'!O88*'Other Assumptions'!O93</f>
        <v>3.8363909497731228E-3</v>
      </c>
    </row>
    <row r="133" spans="1:11" x14ac:dyDescent="0.25">
      <c r="A133" t="str">
        <f ca="1">OFFSET(Canterbury_Reference,49,2)</f>
        <v>Local Bus</v>
      </c>
      <c r="B133" s="4">
        <f ca="1">'Total Duration Tables Sup #2'!B133</f>
        <v>7.9805750329</v>
      </c>
      <c r="C133" s="4">
        <f ca="1">'Total Duration Tables Sup #2'!C133+'Total Duration Tables Sup #2'!C128*'Other Assumptions'!G88*'Other Assumptions'!G92+'Total Duration Tables Sup #2'!C129*'Other Assumptions'!G88*'Other Assumptions'!G92</f>
        <v>8.0130594146000007</v>
      </c>
      <c r="D133" s="4">
        <f ca="1">'Total Duration Tables Sup #2'!D133+'Total Duration Tables Sup #2'!D128*'Other Assumptions'!H88*'Other Assumptions'!H92+'Total Duration Tables Sup #2'!D129*'Other Assumptions'!H88*'Other Assumptions'!H92</f>
        <v>7.8205246438999998</v>
      </c>
      <c r="E133" s="4">
        <f ca="1">'Total Duration Tables Sup #2'!E133+'Total Duration Tables Sup #2'!E128*'Other Assumptions'!I88*'Other Assumptions'!I92+'Total Duration Tables Sup #2'!E129*'Other Assumptions'!I88*'Other Assumptions'!I92</f>
        <v>7.6642940755</v>
      </c>
      <c r="F133" s="4">
        <f ca="1">'Total Duration Tables Sup #2'!F133+'Total Duration Tables Sup #2'!F128*'Other Assumptions'!J88*'Other Assumptions'!J92+'Total Duration Tables Sup #2'!F129*'Other Assumptions'!J88*'Other Assumptions'!J92</f>
        <v>7.3520729450999998</v>
      </c>
      <c r="G133" s="4">
        <f ca="1">'Total Duration Tables Sup #2'!G133+'Total Duration Tables Sup #2'!G128*'Other Assumptions'!K88*'Other Assumptions'!K92+'Total Duration Tables Sup #2'!G129*'Other Assumptions'!K88*'Other Assumptions'!K92</f>
        <v>7.0564301036000003</v>
      </c>
      <c r="H133" s="4">
        <f ca="1">'Total Duration Tables Sup #2'!H133+'Total Duration Tables Sup #2'!H128*'Other Assumptions'!L88*'Other Assumptions'!L92+'Total Duration Tables Sup #2'!H129*'Other Assumptions'!L88*'Other Assumptions'!L92</f>
        <v>6.7467374597000003</v>
      </c>
      <c r="I133" s="1">
        <f ca="1">'Total Duration Tables Sup #2'!I133+'Total Duration Tables Sup #2'!I128*'Other Assumptions'!M88*'Other Assumptions'!M92+'Total Duration Tables Sup #2'!I129*'Other Assumptions'!M88*'Other Assumptions'!M92</f>
        <v>6.7467374597000003</v>
      </c>
      <c r="J133" s="1">
        <f ca="1">'Total Duration Tables Sup #2'!J133+'Total Duration Tables Sup #2'!J128*'Other Assumptions'!N88*'Other Assumptions'!N92+'Total Duration Tables Sup #2'!J129*'Other Assumptions'!N88*'Other Assumptions'!N92</f>
        <v>6.7467374597000003</v>
      </c>
      <c r="K133" s="1">
        <f ca="1">'Total Duration Tables Sup #2'!K133+'Total Duration Tables Sup #2'!K128*'Other Assumptions'!O88*'Other Assumptions'!O92+'Total Duration Tables Sup #2'!K129*'Other Assumptions'!O88*'Other Assumptions'!O92</f>
        <v>6.7467374597000003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f ca="1">'Total Duration Tables Sup #2'!C134</f>
        <v>0</v>
      </c>
      <c r="D134" s="4">
        <f ca="1">'Total Duration Tables Sup #2'!D134</f>
        <v>0</v>
      </c>
      <c r="E134" s="4">
        <f ca="1">'Total Duration Tables Sup #2'!E134</f>
        <v>0</v>
      </c>
      <c r="F134" s="4">
        <f ca="1">'Total Duration Tables Sup #2'!F134</f>
        <v>0</v>
      </c>
      <c r="G134" s="4">
        <f ca="1">'Total Duration Tables Sup #2'!G134</f>
        <v>0</v>
      </c>
      <c r="H134" s="4">
        <f ca="1">'Total Duration Tables Sup #2'!H134</f>
        <v>0</v>
      </c>
      <c r="I134" s="1">
        <f ca="1">'Total Duration Tables Sup #2'!I134</f>
        <v>0</v>
      </c>
      <c r="J134" s="1">
        <f ca="1">'Total Duration Tables Sup #2'!J134</f>
        <v>0</v>
      </c>
      <c r="K134" s="1">
        <f ca="1">'Total Duration Tables Sup #2'!K134</f>
        <v>0</v>
      </c>
    </row>
    <row r="135" spans="1:11" x14ac:dyDescent="0.25">
      <c r="A135" t="str">
        <f ca="1">OFFSET(Canterbury_Reference,56,2)</f>
        <v>Other Household Travel</v>
      </c>
      <c r="B135" s="4">
        <f ca="1">'Total Duration Tables Sup #2'!B135</f>
        <v>0.91635513570000005</v>
      </c>
      <c r="C135" s="4">
        <f ca="1">'Total Duration Tables Sup #2'!C135</f>
        <v>1.0256276410957557</v>
      </c>
      <c r="D135" s="4">
        <f ca="1">'Total Duration Tables Sup #2'!D135</f>
        <v>1.0989201304240452</v>
      </c>
      <c r="E135" s="4">
        <f ca="1">'Total Duration Tables Sup #2'!E135</f>
        <v>1.1357980607724572</v>
      </c>
      <c r="F135" s="4">
        <f ca="1">'Total Duration Tables Sup #2'!F135</f>
        <v>1.1644627936178855</v>
      </c>
      <c r="G135" s="4">
        <f ca="1">'Total Duration Tables Sup #2'!G135</f>
        <v>1.1974158170335241</v>
      </c>
      <c r="H135" s="4">
        <f ca="1">'Total Duration Tables Sup #2'!H135</f>
        <v>1.2219142770657563</v>
      </c>
      <c r="I135" s="1">
        <f ca="1">'Total Duration Tables Sup #2'!I135</f>
        <v>1.2473174346948435</v>
      </c>
      <c r="J135" s="1">
        <f ca="1">'Total Duration Tables Sup #2'!J135</f>
        <v>1.26926439589095</v>
      </c>
      <c r="K135" s="1">
        <f ca="1">'Total Duration Tables Sup #2'!K135</f>
        <v>1.2888927851072256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'Total Duration Tables Sup #2'!B137</f>
        <v>11.651603939999999</v>
      </c>
      <c r="C137" s="4">
        <f ca="1">'Total Duration Tables Sup #2'!C137</f>
        <v>12.382852631283553</v>
      </c>
      <c r="D137" s="4">
        <f ca="1">'Total Duration Tables Sup #2'!D137</f>
        <v>13.456731274786089</v>
      </c>
      <c r="E137" s="4">
        <f ca="1">'Total Duration Tables Sup #2'!E137</f>
        <v>14.276505158608034</v>
      </c>
      <c r="F137" s="4">
        <f ca="1">'Total Duration Tables Sup #2'!F137</f>
        <v>14.967148070065475</v>
      </c>
      <c r="G137" s="4">
        <f ca="1">'Total Duration Tables Sup #2'!G137</f>
        <v>15.596227768991994</v>
      </c>
      <c r="H137" s="4">
        <f ca="1">'Total Duration Tables Sup #2'!H137</f>
        <v>16.152517924378142</v>
      </c>
      <c r="I137" s="1">
        <f ca="1">'Total Duration Tables Sup #2'!I137</f>
        <v>16.300794000353971</v>
      </c>
      <c r="J137" s="1">
        <f ca="1">'Total Duration Tables Sup #2'!J137</f>
        <v>16.398233265951376</v>
      </c>
      <c r="K137" s="1">
        <f ca="1">'Total Duration Tables Sup #2'!K137</f>
        <v>16.460967512465231</v>
      </c>
    </row>
    <row r="138" spans="1:11" x14ac:dyDescent="0.25">
      <c r="A138" t="str">
        <f ca="1">OFFSET(Otago_Reference,7,2)</f>
        <v>Cyclist</v>
      </c>
      <c r="B138" s="4">
        <f ca="1">'Total Duration Tables Sup #2'!B138</f>
        <v>1.6089304994</v>
      </c>
      <c r="C138" s="4">
        <f ca="1">'Total Duration Tables Sup #2'!C138</f>
        <v>1.7541569100152643</v>
      </c>
      <c r="D138" s="4">
        <f ca="1">'Total Duration Tables Sup #2'!D138</f>
        <v>2.5434567685591287</v>
      </c>
      <c r="E138" s="4">
        <f ca="1">'Total Duration Tables Sup #2'!E138</f>
        <v>3.2992635374078447</v>
      </c>
      <c r="F138" s="4">
        <f ca="1">'Total Duration Tables Sup #2'!F138</f>
        <v>4.0997378486099398</v>
      </c>
      <c r="G138" s="4">
        <f ca="1">'Total Duration Tables Sup #2'!G138</f>
        <v>4.9755814925942259</v>
      </c>
      <c r="H138" s="4">
        <f ca="1">'Total Duration Tables Sup #2'!H138</f>
        <v>5.8941095162777497</v>
      </c>
      <c r="I138" s="1">
        <f ca="1">'Total Duration Tables Sup #2'!I138</f>
        <v>5.9765518285558805</v>
      </c>
      <c r="J138" s="1">
        <f ca="1">'Total Duration Tables Sup #2'!J138</f>
        <v>6.0411970488445963</v>
      </c>
      <c r="K138" s="1">
        <f ca="1">'Total Duration Tables Sup #2'!K138</f>
        <v>6.0937530482771454</v>
      </c>
    </row>
    <row r="139" spans="1:11" x14ac:dyDescent="0.25">
      <c r="A139" t="str">
        <f ca="1">OFFSET(Otago_Reference,14,2)</f>
        <v>Light Vehicle Driver</v>
      </c>
      <c r="B139" s="4">
        <f ca="1">'Total Duration Tables Sup #2'!B139</f>
        <v>32.522387277</v>
      </c>
      <c r="C139" s="4">
        <f ca="1">'Total Duration Tables Sup #2'!C139*(1-'Other Assumptions'!G18)</f>
        <v>35.746570083037476</v>
      </c>
      <c r="D139" s="4">
        <f ca="1">'Total Duration Tables Sup #2'!D139*(1-'Other Assumptions'!H18)</f>
        <v>37.001648464050099</v>
      </c>
      <c r="E139" s="4">
        <f ca="1">'Total Duration Tables Sup #2'!E139*(1-'Other Assumptions'!I18)</f>
        <v>34.041009440782027</v>
      </c>
      <c r="F139" s="4">
        <f ca="1">'Total Duration Tables Sup #2'!F139*(1-'Other Assumptions'!J18)</f>
        <v>30.790537028267018</v>
      </c>
      <c r="G139" s="4">
        <f ca="1">'Total Duration Tables Sup #2'!G139*(1-'Other Assumptions'!K18)</f>
        <v>27.141764576835303</v>
      </c>
      <c r="H139" s="4">
        <f ca="1">'Total Duration Tables Sup #2'!H139*(1-'Other Assumptions'!L18)</f>
        <v>23.318170369900432</v>
      </c>
      <c r="I139" s="1">
        <f ca="1">'Total Duration Tables Sup #2'!I139*(1-'Other Assumptions'!M18)</f>
        <v>19.599398579405566</v>
      </c>
      <c r="J139" s="1">
        <f ca="1">'Total Duration Tables Sup #2'!J139*(1-'Other Assumptions'!N18)</f>
        <v>15.76457296189146</v>
      </c>
      <c r="K139" s="1">
        <f ca="1">'Total Duration Tables Sup #2'!K139*(1-'Other Assumptions'!O18)</f>
        <v>15.816199177732651</v>
      </c>
    </row>
    <row r="140" spans="1:11" x14ac:dyDescent="0.25">
      <c r="A140" t="str">
        <f ca="1">OFFSET(Otago_Reference,21,2)</f>
        <v>Light Vehicle Passenger</v>
      </c>
      <c r="B140" s="4">
        <f ca="1">'Total Duration Tables Sup #2'!B140</f>
        <v>19.901766343999999</v>
      </c>
      <c r="C140" s="4">
        <f ca="1">'Total Duration Tables Sup #2'!C140*(1-'Other Assumptions'!G18)</f>
        <v>20.963894356524975</v>
      </c>
      <c r="D140" s="4">
        <f ca="1">'Total Duration Tables Sup #2'!D140*(1-'Other Assumptions'!H18)</f>
        <v>21.034413293568164</v>
      </c>
      <c r="E140" s="4">
        <f ca="1">'Total Duration Tables Sup #2'!E140*(1-'Other Assumptions'!I18)</f>
        <v>18.751743766494908</v>
      </c>
      <c r="F140" s="4">
        <f ca="1">'Total Duration Tables Sup #2'!F140*(1-'Other Assumptions'!J18)</f>
        <v>16.409014319187705</v>
      </c>
      <c r="G140" s="4">
        <f ca="1">'Total Duration Tables Sup #2'!G140*(1-'Other Assumptions'!K18)</f>
        <v>14.039550293720028</v>
      </c>
      <c r="H140" s="4">
        <f ca="1">'Total Duration Tables Sup #2'!H140*(1-'Other Assumptions'!L18)</f>
        <v>11.695502114595376</v>
      </c>
      <c r="I140" s="1">
        <f ca="1">'Total Duration Tables Sup #2'!I140*(1-'Other Assumptions'!M18)</f>
        <v>9.8396233917598526</v>
      </c>
      <c r="J140" s="1">
        <f ca="1">'Total Duration Tables Sup #2'!J140*(1-'Other Assumptions'!N18)</f>
        <v>7.9218439897172743</v>
      </c>
      <c r="K140" s="1">
        <f ca="1">'Total Duration Tables Sup #2'!K140*(1-'Other Assumptions'!O18)</f>
        <v>7.9552047432130228</v>
      </c>
    </row>
    <row r="141" spans="1:11" x14ac:dyDescent="0.25">
      <c r="A141" t="str">
        <f ca="1">OFFSET(Otago_Reference,28,2)</f>
        <v>Taxi/Vehicle Share</v>
      </c>
      <c r="B141" s="4">
        <f ca="1">'Total Duration Tables Sup #2'!B141</f>
        <v>0.23496676969999999</v>
      </c>
      <c r="C141" s="4">
        <f ca="1">'Total Duration Tables Sup #2'!C141+((C139+C140)*'Other Assumptions'!G18/(1-'Other Assumptions'!G18))</f>
        <v>0.26840339340161767</v>
      </c>
      <c r="D141" s="4">
        <f ca="1">'Total Duration Tables Sup #2'!D141+((D139+D140)*'Other Assumptions'!H18/(1-'Other Assumptions'!H18))</f>
        <v>0.29237936575643536</v>
      </c>
      <c r="E141" s="4">
        <f ca="1">'Total Duration Tables Sup #2'!E141+((E139+E140)*'Other Assumptions'!I18/(1-'Other Assumptions'!I18))</f>
        <v>6.1763426228978533</v>
      </c>
      <c r="F141" s="4">
        <f ca="1">'Total Duration Tables Sup #2'!F141+((F139+F140)*'Other Assumptions'!J18/(1-'Other Assumptions'!J18))</f>
        <v>12.125207889490195</v>
      </c>
      <c r="G141" s="4">
        <f ca="1">'Total Duration Tables Sup #2'!G141+((G139+G140)*'Other Assumptions'!K18/(1-'Other Assumptions'!K18))</f>
        <v>17.983474710927357</v>
      </c>
      <c r="H141" s="4">
        <f ca="1">'Total Duration Tables Sup #2'!H141+((H139+H140)*'Other Assumptions'!L18/(1-'Other Assumptions'!L18))</f>
        <v>23.684260559835998</v>
      </c>
      <c r="I141" s="1">
        <f ca="1">'Total Duration Tables Sup #2'!I141+((I139+I140)*'Other Assumptions'!M18/(1-'Other Assumptions'!M18))</f>
        <v>29.783218210191734</v>
      </c>
      <c r="J141" s="1">
        <f ca="1">'Total Duration Tables Sup #2'!J141+((J139+J140)*'Other Assumptions'!N18/(1-'Other Assumptions'!N18))</f>
        <v>35.875123678471972</v>
      </c>
      <c r="K141" s="1">
        <f ca="1">'Total Duration Tables Sup #2'!K141+((K139+K140)*'Other Assumptions'!O18/(1-'Other Assumptions'!O18))</f>
        <v>36.003170949943858</v>
      </c>
    </row>
    <row r="142" spans="1:11" x14ac:dyDescent="0.25">
      <c r="A142" t="str">
        <f ca="1">OFFSET(Otago_Reference,35,2)</f>
        <v>Motorcyclist</v>
      </c>
      <c r="B142" s="4">
        <f ca="1">'Total Duration Tables Sup #2'!B142</f>
        <v>0.42545310469999997</v>
      </c>
      <c r="C142" s="4">
        <f ca="1">'Total Duration Tables Sup #2'!C142</f>
        <v>0.46328673023029682</v>
      </c>
      <c r="D142" s="4">
        <f ca="1">'Total Duration Tables Sup #2'!D142</f>
        <v>0.4811678731600762</v>
      </c>
      <c r="E142" s="4">
        <f ca="1">'Total Duration Tables Sup #2'!E142</f>
        <v>0.49015637589194583</v>
      </c>
      <c r="F142" s="4">
        <f ca="1">'Total Duration Tables Sup #2'!F142</f>
        <v>0.49710439594983652</v>
      </c>
      <c r="G142" s="4">
        <f ca="1">'Total Duration Tables Sup #2'!G142</f>
        <v>0.49696368576040795</v>
      </c>
      <c r="H142" s="4">
        <f ca="1">'Total Duration Tables Sup #2'!H142</f>
        <v>0.4940067148574307</v>
      </c>
      <c r="I142" s="1">
        <f ca="1">'Total Duration Tables Sup #2'!I142</f>
        <v>0.50090845320352073</v>
      </c>
      <c r="J142" s="1">
        <f ca="1">'Total Duration Tables Sup #2'!J142</f>
        <v>0.50629297983927524</v>
      </c>
      <c r="K142" s="1">
        <f ca="1">'Total Duration Tables Sup #2'!K142</f>
        <v>0.51063753456390804</v>
      </c>
    </row>
    <row r="143" spans="1:11" x14ac:dyDescent="0.25">
      <c r="A143" t="str">
        <f ca="1">OFFSET(Canterbury_Reference,42,2)</f>
        <v>Local Train</v>
      </c>
      <c r="B143" s="4">
        <f ca="1">'Total Duration Tables Sup #2'!B143</f>
        <v>0</v>
      </c>
      <c r="C143" s="4">
        <f ca="1">'Total Duration Tables Sup #2'!C143</f>
        <v>0</v>
      </c>
      <c r="D143" s="4">
        <f ca="1">'Total Duration Tables Sup #2'!D143</f>
        <v>0</v>
      </c>
      <c r="E143" s="4">
        <f ca="1">'Total Duration Tables Sup #2'!E143</f>
        <v>0</v>
      </c>
      <c r="F143" s="4">
        <f ca="1">'Total Duration Tables Sup #2'!F143</f>
        <v>0</v>
      </c>
      <c r="G143" s="4">
        <f ca="1">'Total Duration Tables Sup #2'!G143</f>
        <v>0</v>
      </c>
      <c r="H143" s="4">
        <f ca="1">'Total Duration Tables Sup #2'!H143</f>
        <v>0</v>
      </c>
      <c r="I143" s="1">
        <f ca="1">'Total Duration Tables Sup #2'!I143</f>
        <v>0</v>
      </c>
      <c r="J143" s="1">
        <f ca="1">'Total Duration Tables Sup #2'!J143</f>
        <v>0</v>
      </c>
      <c r="K143" s="1">
        <f ca="1">'Total Duration Tables Sup #2'!K143</f>
        <v>0</v>
      </c>
    </row>
    <row r="144" spans="1:11" x14ac:dyDescent="0.25">
      <c r="A144" t="str">
        <f ca="1">OFFSET(Otago_Reference,42,2)</f>
        <v>Local Bus</v>
      </c>
      <c r="B144" s="4">
        <f ca="1">'Total Duration Tables Sup #2'!B144</f>
        <v>1.347401772</v>
      </c>
      <c r="C144" s="4">
        <f ca="1">'Total Duration Tables Sup #2'!C144</f>
        <v>1.3333364629001003</v>
      </c>
      <c r="D144" s="4">
        <f ca="1">'Total Duration Tables Sup #2'!D144</f>
        <v>1.3075503622772189</v>
      </c>
      <c r="E144" s="4">
        <f ca="1">'Total Duration Tables Sup #2'!E144</f>
        <v>1.2848336744864657</v>
      </c>
      <c r="F144" s="4">
        <f ca="1">'Total Duration Tables Sup #2'!F144</f>
        <v>1.2476153908476662</v>
      </c>
      <c r="G144" s="4">
        <f ca="1">'Total Duration Tables Sup #2'!G144</f>
        <v>1.2195258352866711</v>
      </c>
      <c r="H144" s="4">
        <f ca="1">'Total Duration Tables Sup #2'!H144</f>
        <v>1.1869991175762022</v>
      </c>
      <c r="I144" s="1">
        <f ca="1">'Total Duration Tables Sup #2'!I144</f>
        <v>1.2002070779601732</v>
      </c>
      <c r="J144" s="1">
        <f ca="1">'Total Duration Tables Sup #2'!J144</f>
        <v>1.2097045744986108</v>
      </c>
      <c r="K144" s="1">
        <f ca="1">'Total Duration Tables Sup #2'!K144</f>
        <v>1.2166622853109228</v>
      </c>
    </row>
    <row r="145" spans="1:11" x14ac:dyDescent="0.25">
      <c r="A145" t="str">
        <f ca="1">OFFSET(Wellington_Reference,56,2)</f>
        <v>Local Ferry</v>
      </c>
      <c r="B145" s="4">
        <f ca="1">'Total Duration Tables Sup #2'!B145</f>
        <v>0</v>
      </c>
      <c r="C145" s="4">
        <f ca="1">'Total Duration Tables Sup #2'!C145</f>
        <v>0</v>
      </c>
      <c r="D145" s="4">
        <f ca="1">'Total Duration Tables Sup #2'!D145</f>
        <v>0</v>
      </c>
      <c r="E145" s="4">
        <f ca="1">'Total Duration Tables Sup #2'!E145</f>
        <v>0</v>
      </c>
      <c r="F145" s="4">
        <f ca="1">'Total Duration Tables Sup #2'!F145</f>
        <v>0</v>
      </c>
      <c r="G145" s="4">
        <f ca="1">'Total Duration Tables Sup #2'!G145</f>
        <v>0</v>
      </c>
      <c r="H145" s="4">
        <f ca="1">'Total Duration Tables Sup #2'!H145</f>
        <v>0</v>
      </c>
      <c r="I145" s="1">
        <f ca="1">'Total Duration Tables Sup #2'!I145</f>
        <v>0</v>
      </c>
      <c r="J145" s="1">
        <f ca="1">'Total Duration Tables Sup #2'!J145</f>
        <v>0</v>
      </c>
      <c r="K145" s="1">
        <f ca="1">'Total Duration Tables Sup #2'!K145</f>
        <v>0</v>
      </c>
    </row>
    <row r="146" spans="1:11" x14ac:dyDescent="0.25">
      <c r="A146" t="str">
        <f ca="1">OFFSET(Otago_Reference,49,2)</f>
        <v>Other Household Travel</v>
      </c>
      <c r="B146" s="4">
        <f ca="1">'Total Duration Tables Sup #2'!B146</f>
        <v>0.25154479130000001</v>
      </c>
      <c r="C146" s="4">
        <f ca="1">'Total Duration Tables Sup #2'!C146</f>
        <v>0.27500366053292674</v>
      </c>
      <c r="D146" s="4">
        <f ca="1">'Total Duration Tables Sup #2'!D146</f>
        <v>0.28895587291255392</v>
      </c>
      <c r="E146" s="4">
        <f ca="1">'Total Duration Tables Sup #2'!E146</f>
        <v>0.29381637681155925</v>
      </c>
      <c r="F146" s="4">
        <f ca="1">'Total Duration Tables Sup #2'!F146</f>
        <v>0.29648170259750217</v>
      </c>
      <c r="G146" s="4">
        <f ca="1">'Total Duration Tables Sup #2'!G146</f>
        <v>0.30024799676069125</v>
      </c>
      <c r="H146" s="4">
        <f ca="1">'Total Duration Tables Sup #2'!H146</f>
        <v>0.30181261241204488</v>
      </c>
      <c r="I146" s="1">
        <f ca="1">'Total Duration Tables Sup #2'!I146</f>
        <v>0.3034835499491646</v>
      </c>
      <c r="J146" s="1">
        <f ca="1">'Total Duration Tables Sup #2'!J146</f>
        <v>0.30420880344666051</v>
      </c>
      <c r="K146" s="1">
        <f ca="1">'Total Duration Tables Sup #2'!K146</f>
        <v>0.30429722370607254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'Total Duration Tables Sup #2'!B148</f>
        <v>2.2528617661000001</v>
      </c>
      <c r="C148" s="4">
        <f ca="1">'Total Duration Tables Sup #2'!C148</f>
        <v>2.2877919688681216</v>
      </c>
      <c r="D148" s="4">
        <f ca="1">'Total Duration Tables Sup #2'!D148</f>
        <v>2.4003233309697869</v>
      </c>
      <c r="E148" s="4">
        <f ca="1">'Total Duration Tables Sup #2'!E148</f>
        <v>2.488617799970767</v>
      </c>
      <c r="F148" s="4">
        <f ca="1">'Total Duration Tables Sup #2'!F148</f>
        <v>2.5501657488084453</v>
      </c>
      <c r="G148" s="4">
        <f ca="1">'Total Duration Tables Sup #2'!G148</f>
        <v>2.5955082835052106</v>
      </c>
      <c r="H148" s="4">
        <f ca="1">'Total Duration Tables Sup #2'!H148</f>
        <v>2.6258743437423777</v>
      </c>
      <c r="I148" s="1">
        <f ca="1">'Total Duration Tables Sup #2'!I148</f>
        <v>2.5886499407395598</v>
      </c>
      <c r="J148" s="1">
        <f ca="1">'Total Duration Tables Sup #2'!J148</f>
        <v>2.5438557702312825</v>
      </c>
      <c r="K148" s="1">
        <f ca="1">'Total Duration Tables Sup #2'!K148</f>
        <v>2.494489270157914</v>
      </c>
    </row>
    <row r="149" spans="1:11" x14ac:dyDescent="0.25">
      <c r="A149" t="str">
        <f ca="1">OFFSET(Southland_Reference,7,2)</f>
        <v>Cyclist</v>
      </c>
      <c r="B149" s="4">
        <f ca="1">'Total Duration Tables Sup #2'!B149</f>
        <v>0.50294231479999996</v>
      </c>
      <c r="C149" s="4">
        <f ca="1">'Total Duration Tables Sup #2'!C149</f>
        <v>0.5239578197903374</v>
      </c>
      <c r="D149" s="4">
        <f ca="1">'Total Duration Tables Sup #2'!D149</f>
        <v>0.73347714860454194</v>
      </c>
      <c r="E149" s="4">
        <f ca="1">'Total Duration Tables Sup #2'!E149</f>
        <v>0.92979105754680424</v>
      </c>
      <c r="F149" s="4">
        <f ca="1">'Total Duration Tables Sup #2'!F149</f>
        <v>1.1293212539744713</v>
      </c>
      <c r="G149" s="4">
        <f ca="1">'Total Duration Tables Sup #2'!G149</f>
        <v>1.3386861031612132</v>
      </c>
      <c r="H149" s="4">
        <f ca="1">'Total Duration Tables Sup #2'!H149</f>
        <v>1.549116109981141</v>
      </c>
      <c r="I149" s="1">
        <f ca="1">'Total Duration Tables Sup #2'!I149</f>
        <v>1.5344308357283323</v>
      </c>
      <c r="J149" s="1">
        <f ca="1">'Total Duration Tables Sup #2'!J149</f>
        <v>1.5151320568594799</v>
      </c>
      <c r="K149" s="1">
        <f ca="1">'Total Duration Tables Sup #2'!K149</f>
        <v>1.492942886337834</v>
      </c>
    </row>
    <row r="150" spans="1:11" x14ac:dyDescent="0.25">
      <c r="A150" t="str">
        <f ca="1">OFFSET(Southland_Reference,14,2)</f>
        <v>Light Vehicle Driver</v>
      </c>
      <c r="B150" s="4">
        <f ca="1">'Total Duration Tables Sup #2'!B150</f>
        <v>14.603785903</v>
      </c>
      <c r="C150" s="4">
        <f ca="1">'Total Duration Tables Sup #2'!C150*(1-'Other Assumptions'!G19)</f>
        <v>15.337847427761009</v>
      </c>
      <c r="D150" s="4">
        <f ca="1">'Total Duration Tables Sup #2'!D150*(1-'Other Assumptions'!H19)</f>
        <v>15.395783892277587</v>
      </c>
      <c r="E150" s="4">
        <f ca="1">'Total Duration Tables Sup #2'!E150*(1-'Other Assumptions'!I19)</f>
        <v>13.900671361989767</v>
      </c>
      <c r="F150" s="4">
        <f ca="1">'Total Duration Tables Sup #2'!F150*(1-'Other Assumptions'!J19)</f>
        <v>12.340404277053144</v>
      </c>
      <c r="G150" s="4">
        <f ca="1">'Total Duration Tables Sup #2'!G150*(1-'Other Assumptions'!K19)</f>
        <v>10.669172451397822</v>
      </c>
      <c r="H150" s="4">
        <f ca="1">'Total Duration Tables Sup #2'!H150*(1-'Other Assumptions'!L19)</f>
        <v>8.9914584815119554</v>
      </c>
      <c r="I150" s="1">
        <f ca="1">'Total Duration Tables Sup #2'!I150*(1-'Other Assumptions'!M19)</f>
        <v>7.3829484375991496</v>
      </c>
      <c r="J150" s="1">
        <f ca="1">'Total Duration Tables Sup #2'!J150*(1-'Other Assumptions'!N19)</f>
        <v>5.8012417128872666</v>
      </c>
      <c r="K150" s="1">
        <f ca="1">'Total Duration Tables Sup #2'!K150*(1-'Other Assumptions'!O19)</f>
        <v>5.685815599947901</v>
      </c>
    </row>
    <row r="151" spans="1:11" x14ac:dyDescent="0.25">
      <c r="A151" t="str">
        <f ca="1">OFFSET(Southland_Reference,21,2)</f>
        <v>Light Vehicle Passenger</v>
      </c>
      <c r="B151" s="4">
        <f ca="1">'Total Duration Tables Sup #2'!B151</f>
        <v>7.5859087797999996</v>
      </c>
      <c r="C151" s="4">
        <f ca="1">'Total Duration Tables Sup #2'!C151*(1-'Other Assumptions'!G19)</f>
        <v>7.6354555152538417</v>
      </c>
      <c r="D151" s="4">
        <f ca="1">'Total Duration Tables Sup #2'!D151*(1-'Other Assumptions'!H19)</f>
        <v>7.4410122569486497</v>
      </c>
      <c r="E151" s="4">
        <f ca="1">'Total Duration Tables Sup #2'!E151*(1-'Other Assumptions'!I19)</f>
        <v>6.5225177977032116</v>
      </c>
      <c r="F151" s="4">
        <f ca="1">'Total Duration Tables Sup #2'!F151*(1-'Other Assumptions'!J19)</f>
        <v>5.6142165389432499</v>
      </c>
      <c r="G151" s="4">
        <f ca="1">'Total Duration Tables Sup #2'!G151*(1-'Other Assumptions'!K19)</f>
        <v>4.7230129463073629</v>
      </c>
      <c r="H151" s="4">
        <f ca="1">'Total Duration Tables Sup #2'!H151*(1-'Other Assumptions'!L19)</f>
        <v>3.870449672949337</v>
      </c>
      <c r="I151" s="1">
        <f ca="1">'Total Duration Tables Sup #2'!I151*(1-'Other Assumptions'!M19)</f>
        <v>3.1810068311354831</v>
      </c>
      <c r="J151" s="1">
        <f ca="1">'Total Duration Tables Sup #2'!J151*(1-'Other Assumptions'!N19)</f>
        <v>2.5018215170586995</v>
      </c>
      <c r="K151" s="1">
        <f ca="1">'Total Duration Tables Sup #2'!K151*(1-'Other Assumptions'!O19)</f>
        <v>2.4542887057733482</v>
      </c>
    </row>
    <row r="152" spans="1:11" x14ac:dyDescent="0.25">
      <c r="A152" t="str">
        <f ca="1">OFFSET(Southland_Reference,28,2)</f>
        <v>Taxi/Vehicle Share</v>
      </c>
      <c r="B152" s="4">
        <f ca="1">'Total Duration Tables Sup #2'!B152</f>
        <v>6.6688903300000005E-2</v>
      </c>
      <c r="C152" s="4">
        <f ca="1">'Total Duration Tables Sup #2'!C152+((C150+C151)*'Other Assumptions'!G19/(1-'Other Assumptions'!G19))</f>
        <v>7.2791744450034154E-2</v>
      </c>
      <c r="D152" s="4">
        <f ca="1">'Total Duration Tables Sup #2'!D152+((D150+D151)*'Other Assumptions'!H19/(1-'Other Assumptions'!H19))</f>
        <v>7.6555286244838205E-2</v>
      </c>
      <c r="E152" s="4">
        <f ca="1">'Total Duration Tables Sup #2'!E152+((E150+E151)*'Other Assumptions'!I19/(1-'Other Assumptions'!I19))</f>
        <v>2.3486888384071363</v>
      </c>
      <c r="F152" s="4">
        <f ca="1">'Total Duration Tables Sup #2'!F152+((F150+F151)*'Other Assumptions'!J19/(1-'Other Assumptions'!J19))</f>
        <v>4.5700203645159432</v>
      </c>
      <c r="G152" s="4">
        <f ca="1">'Total Duration Tables Sup #2'!G152+((G150+G151)*'Other Assumptions'!K19/(1-'Other Assumptions'!K19))</f>
        <v>6.6783258922770541</v>
      </c>
      <c r="H152" s="4">
        <f ca="1">'Total Duration Tables Sup #2'!H152+((H150+H151)*'Other Assumptions'!L19/(1-'Other Assumptions'!L19))</f>
        <v>8.6561733985933156</v>
      </c>
      <c r="I152" s="1">
        <f ca="1">'Total Duration Tables Sup #2'!I152+((I150+I151)*'Other Assumptions'!M19/(1-'Other Assumptions'!M19))</f>
        <v>10.644191216180154</v>
      </c>
      <c r="J152" s="1">
        <f ca="1">'Total Duration Tables Sup #2'!J152+((J150+J151)*'Other Assumptions'!N19/(1-'Other Assumptions'!N19))</f>
        <v>12.533270356581697</v>
      </c>
      <c r="K152" s="1">
        <f ca="1">'Total Duration Tables Sup #2'!K152+((K150+K151)*'Other Assumptions'!O19/(1-'Other Assumptions'!O19))</f>
        <v>12.287137245280643</v>
      </c>
    </row>
    <row r="153" spans="1:11" x14ac:dyDescent="0.25">
      <c r="A153" t="str">
        <f ca="1">OFFSET(Southland_Reference,35,2)</f>
        <v>Motorcyclist</v>
      </c>
      <c r="B153" s="4">
        <f ca="1">'Total Duration Tables Sup #2'!B153</f>
        <v>0.2609239458</v>
      </c>
      <c r="C153" s="4">
        <f ca="1">'Total Duration Tables Sup #2'!C153</f>
        <v>0.27149328796246108</v>
      </c>
      <c r="D153" s="4">
        <f ca="1">'Total Duration Tables Sup #2'!D153</f>
        <v>0.27223264233607747</v>
      </c>
      <c r="E153" s="4">
        <f ca="1">'Total Duration Tables Sup #2'!E153</f>
        <v>0.27100940467545048</v>
      </c>
      <c r="F153" s="4">
        <f ca="1">'Total Duration Tables Sup #2'!F153</f>
        <v>0.26865217835919497</v>
      </c>
      <c r="G153" s="4">
        <f ca="1">'Total Duration Tables Sup #2'!G153</f>
        <v>0.26232574484012233</v>
      </c>
      <c r="H153" s="4">
        <f ca="1">'Total Duration Tables Sup #2'!H153</f>
        <v>0.25472992624358365</v>
      </c>
      <c r="I153" s="1">
        <f ca="1">'Total Duration Tables Sup #2'!I153</f>
        <v>0.25231108810885161</v>
      </c>
      <c r="J153" s="1">
        <f ca="1">'Total Duration Tables Sup #2'!J153</f>
        <v>0.24912122992273616</v>
      </c>
      <c r="K153" s="1">
        <f ca="1">'Total Duration Tables Sup #2'!K153</f>
        <v>0.24544400361084306</v>
      </c>
    </row>
    <row r="154" spans="1:11" x14ac:dyDescent="0.25">
      <c r="A154" t="str">
        <f ca="1">OFFSET(Canterbury_Reference,42,2)</f>
        <v>Local Train</v>
      </c>
      <c r="B154" s="4">
        <f ca="1">'Total Duration Tables Sup #2'!B154</f>
        <v>0</v>
      </c>
      <c r="C154" s="4">
        <f ca="1">'Total Duration Tables Sup #2'!C154</f>
        <v>0</v>
      </c>
      <c r="D154" s="4">
        <f ca="1">'Total Duration Tables Sup #2'!D154</f>
        <v>0</v>
      </c>
      <c r="E154" s="4">
        <f ca="1">'Total Duration Tables Sup #2'!E154</f>
        <v>0</v>
      </c>
      <c r="F154" s="4">
        <f ca="1">'Total Duration Tables Sup #2'!F154</f>
        <v>0</v>
      </c>
      <c r="G154" s="4">
        <f ca="1">'Total Duration Tables Sup #2'!G154</f>
        <v>0</v>
      </c>
      <c r="H154" s="4">
        <f ca="1">'Total Duration Tables Sup #2'!H154</f>
        <v>0</v>
      </c>
      <c r="I154" s="1">
        <f ca="1">'Total Duration Tables Sup #2'!I154</f>
        <v>0</v>
      </c>
      <c r="J154" s="1">
        <f ca="1">'Total Duration Tables Sup #2'!J154</f>
        <v>0</v>
      </c>
      <c r="K154" s="1">
        <f ca="1">'Total Duration Tables Sup #2'!K154</f>
        <v>0</v>
      </c>
    </row>
    <row r="155" spans="1:11" x14ac:dyDescent="0.25">
      <c r="A155" t="str">
        <f ca="1">OFFSET(Southland_Reference,42,2)</f>
        <v>Local Bus</v>
      </c>
      <c r="B155" s="4">
        <f ca="1">'Total Duration Tables Sup #2'!B155</f>
        <v>1.2152660816</v>
      </c>
      <c r="C155" s="4">
        <f ca="1">'Total Duration Tables Sup #2'!C155</f>
        <v>1.1491084399491214</v>
      </c>
      <c r="D155" s="4">
        <f ca="1">'Total Duration Tables Sup #2'!D155</f>
        <v>1.0879627442108371</v>
      </c>
      <c r="E155" s="4">
        <f ca="1">'Total Duration Tables Sup #2'!E155</f>
        <v>1.0447410008223201</v>
      </c>
      <c r="F155" s="4">
        <f ca="1">'Total Duration Tables Sup #2'!F155</f>
        <v>0.99159769542653031</v>
      </c>
      <c r="G155" s="4">
        <f ca="1">'Total Duration Tables Sup #2'!G155</f>
        <v>0.94671506299444863</v>
      </c>
      <c r="H155" s="4">
        <f ca="1">'Total Duration Tables Sup #2'!H155</f>
        <v>0.90013891194638995</v>
      </c>
      <c r="I155" s="1">
        <f ca="1">'Total Duration Tables Sup #2'!I155</f>
        <v>0.88909093378852244</v>
      </c>
      <c r="J155" s="1">
        <f ca="1">'Total Duration Tables Sup #2'!J155</f>
        <v>0.87538717391320431</v>
      </c>
      <c r="K155" s="1">
        <f ca="1">'Total Duration Tables Sup #2'!K155</f>
        <v>0.86004615775179016</v>
      </c>
    </row>
    <row r="156" spans="1:11" x14ac:dyDescent="0.25">
      <c r="A156" t="str">
        <f ca="1">OFFSET(Wellington_Reference,56,2)</f>
        <v>Local Ferry</v>
      </c>
      <c r="B156" s="4">
        <f ca="1">'Total Duration Tables Sup #2'!B156</f>
        <v>0</v>
      </c>
      <c r="C156" s="4">
        <f ca="1">'Total Duration Tables Sup #2'!C156</f>
        <v>0</v>
      </c>
      <c r="D156" s="4">
        <f ca="1">'Total Duration Tables Sup #2'!D156</f>
        <v>0</v>
      </c>
      <c r="E156" s="4">
        <f ca="1">'Total Duration Tables Sup #2'!E156</f>
        <v>0</v>
      </c>
      <c r="F156" s="4">
        <f ca="1">'Total Duration Tables Sup #2'!F156</f>
        <v>0</v>
      </c>
      <c r="G156" s="4">
        <f ca="1">'Total Duration Tables Sup #2'!G156</f>
        <v>0</v>
      </c>
      <c r="H156" s="4">
        <f ca="1">'Total Duration Tables Sup #2'!H156</f>
        <v>0</v>
      </c>
      <c r="I156" s="1">
        <f ca="1">'Total Duration Tables Sup #2'!I156</f>
        <v>0</v>
      </c>
      <c r="J156" s="1">
        <f ca="1">'Total Duration Tables Sup #2'!J156</f>
        <v>0</v>
      </c>
      <c r="K156" s="1">
        <f ca="1">'Total Duration Tables Sup #2'!K156</f>
        <v>0</v>
      </c>
    </row>
    <row r="157" spans="1:11" x14ac:dyDescent="0.25">
      <c r="A157" t="str">
        <f ca="1">OFFSET(Southland_Reference,49,2)</f>
        <v>Other Household Travel</v>
      </c>
      <c r="B157" s="4">
        <f ca="1">'Total Duration Tables Sup #2'!B157</f>
        <v>8.5162673699999997E-2</v>
      </c>
      <c r="C157" s="4">
        <f ca="1">'Total Duration Tables Sup #2'!C157</f>
        <v>8.8965050459982958E-2</v>
      </c>
      <c r="D157" s="4">
        <f ca="1">'Total Duration Tables Sup #2'!D157</f>
        <v>9.0249918921123801E-2</v>
      </c>
      <c r="E157" s="4">
        <f ca="1">'Total Duration Tables Sup #2'!E157</f>
        <v>8.9680376628196806E-2</v>
      </c>
      <c r="F157" s="4">
        <f ca="1">'Total Duration Tables Sup #2'!F157</f>
        <v>8.845296133240671E-2</v>
      </c>
      <c r="G157" s="4">
        <f ca="1">'Total Duration Tables Sup #2'!G157</f>
        <v>8.7491950127891197E-2</v>
      </c>
      <c r="H157" s="4">
        <f ca="1">'Total Duration Tables Sup #2'!H157</f>
        <v>8.591247306964489E-2</v>
      </c>
      <c r="I157" s="1">
        <f ca="1">'Total Duration Tables Sup #2'!I157</f>
        <v>8.4388807487831494E-2</v>
      </c>
      <c r="J157" s="1">
        <f ca="1">'Total Duration Tables Sup #2'!J157</f>
        <v>8.2632773598963732E-2</v>
      </c>
      <c r="K157" s="1">
        <f ca="1">'Total Duration Tables Sup #2'!K157</f>
        <v>8.0743840149869642E-2</v>
      </c>
    </row>
    <row r="158" spans="1:11" x14ac:dyDescent="0.25">
      <c r="A158" t="s">
        <v>103</v>
      </c>
      <c r="B158" s="1">
        <f ca="1">SUM(B159:B168)</f>
        <v>1563.2845741693284</v>
      </c>
      <c r="C158" s="1">
        <f t="shared" ref="C158:H158" ca="1" si="0">SUM(C159:C168)</f>
        <v>1712.9096607705092</v>
      </c>
      <c r="D158" s="1">
        <f t="shared" ca="1" si="0"/>
        <v>1802.8464996232738</v>
      </c>
      <c r="E158" s="1">
        <f t="shared" ca="1" si="0"/>
        <v>1870.3531053435067</v>
      </c>
      <c r="F158" s="1">
        <f t="shared" ca="1" si="0"/>
        <v>1921.8584251339053</v>
      </c>
      <c r="G158" s="1">
        <f t="shared" ca="1" si="0"/>
        <v>1957.1147524907274</v>
      </c>
      <c r="H158" s="1">
        <f t="shared" ca="1" si="0"/>
        <v>1981.9837461180623</v>
      </c>
      <c r="I158" s="1">
        <f t="shared" ref="I158:K158" ca="1" si="1">SUM(I159:I168)</f>
        <v>2008.4439284475216</v>
      </c>
      <c r="J158" s="1">
        <f t="shared" ca="1" si="1"/>
        <v>2028.7395911929061</v>
      </c>
      <c r="K158" s="1">
        <f t="shared" ca="1" si="1"/>
        <v>2044.8319142066243</v>
      </c>
    </row>
    <row r="159" spans="1:11" x14ac:dyDescent="0.25">
      <c r="A159" t="str">
        <f t="shared" ref="A159:A165" ca="1" si="2">A5</f>
        <v>Pedestrian</v>
      </c>
      <c r="B159" s="4">
        <f t="shared" ref="B159:H168" ca="1" si="3">B5+B16+B27+B38+B49+B60+B71+B82+B93+B104+B115+B126+B137+B148</f>
        <v>205.0143830817</v>
      </c>
      <c r="C159" s="4">
        <f t="shared" ca="1" si="3"/>
        <v>220.84916806008309</v>
      </c>
      <c r="D159" s="4">
        <f t="shared" ca="1" si="3"/>
        <v>245.22276731674009</v>
      </c>
      <c r="E159" s="4">
        <f t="shared" ca="1" si="3"/>
        <v>262.11612811560173</v>
      </c>
      <c r="F159" s="4">
        <f t="shared" ca="1" si="3"/>
        <v>276.47741163025177</v>
      </c>
      <c r="G159" s="4">
        <f t="shared" ca="1" si="3"/>
        <v>289.09019601233422</v>
      </c>
      <c r="H159" s="4">
        <f t="shared" ca="1" si="3"/>
        <v>300.15841006746172</v>
      </c>
      <c r="I159" s="1">
        <f t="shared" ref="I159:K159" ca="1" si="4">I5+I16+I27+I38+I49+I60+I71+I82+I93+I104+I115+I126+I137+I148</f>
        <v>303.9241871195826</v>
      </c>
      <c r="J159" s="1">
        <f t="shared" ca="1" si="4"/>
        <v>306.64191673236485</v>
      </c>
      <c r="K159" s="1">
        <f t="shared" ca="1" si="4"/>
        <v>308.56177916009949</v>
      </c>
    </row>
    <row r="160" spans="1:11" x14ac:dyDescent="0.25">
      <c r="A160" t="str">
        <f t="shared" ca="1" si="2"/>
        <v>Cyclist</v>
      </c>
      <c r="B160" s="4">
        <f t="shared" ca="1" si="3"/>
        <v>24.928098629399997</v>
      </c>
      <c r="C160" s="4">
        <f t="shared" ca="1" si="3"/>
        <v>27.348873876271078</v>
      </c>
      <c r="D160" s="4">
        <f t="shared" ca="1" si="3"/>
        <v>42.553267120646957</v>
      </c>
      <c r="E160" s="4">
        <f t="shared" ca="1" si="3"/>
        <v>55.136688668772472</v>
      </c>
      <c r="F160" s="4">
        <f t="shared" ca="1" si="3"/>
        <v>68.419518500786594</v>
      </c>
      <c r="G160" s="4">
        <f t="shared" ca="1" si="3"/>
        <v>82.737183857981051</v>
      </c>
      <c r="H160" s="4">
        <f t="shared" ca="1" si="3"/>
        <v>97.739527185184599</v>
      </c>
      <c r="I160" s="1">
        <f t="shared" ref="I160:K160" ca="1" si="5">I6+I17+I28+I39+I50+I61+I72+I83+I94+I105+I116+I127+I138+I149</f>
        <v>99.571802923062265</v>
      </c>
      <c r="J160" s="1">
        <f t="shared" ca="1" si="5"/>
        <v>101.06866590810468</v>
      </c>
      <c r="K160" s="1">
        <f t="shared" ca="1" si="5"/>
        <v>102.30012914055031</v>
      </c>
    </row>
    <row r="161" spans="1:11" x14ac:dyDescent="0.25">
      <c r="A161" t="str">
        <f t="shared" ca="1" si="2"/>
        <v>Light Vehicle Driver</v>
      </c>
      <c r="B161" s="4">
        <f t="shared" ca="1" si="3"/>
        <v>820.39837236829999</v>
      </c>
      <c r="C161" s="4">
        <f t="shared" ca="1" si="3"/>
        <v>913.82159952684037</v>
      </c>
      <c r="D161" s="4">
        <f t="shared" ca="1" si="3"/>
        <v>855.41928220001421</v>
      </c>
      <c r="E161" s="4">
        <f t="shared" ca="1" si="3"/>
        <v>778.02734802323494</v>
      </c>
      <c r="F161" s="4">
        <f t="shared" ca="1" si="3"/>
        <v>698.59607967174952</v>
      </c>
      <c r="G161" s="4">
        <f t="shared" ca="1" si="3"/>
        <v>614.03347686154291</v>
      </c>
      <c r="H161" s="4">
        <f t="shared" ca="1" si="3"/>
        <v>526.20574183073279</v>
      </c>
      <c r="I161" s="1">
        <f t="shared" ref="I161:K161" ca="1" si="6">I7+I18+I29+I40+I51+I62+I73+I84+I95+I106+I117+I128+I139+I150</f>
        <v>439.37114861156601</v>
      </c>
      <c r="J161" s="1">
        <f t="shared" ca="1" si="6"/>
        <v>351.73251719898826</v>
      </c>
      <c r="K161" s="1">
        <f t="shared" ca="1" si="6"/>
        <v>352.13332113370825</v>
      </c>
    </row>
    <row r="162" spans="1:11" x14ac:dyDescent="0.25">
      <c r="A162" t="str">
        <f t="shared" ca="1" si="2"/>
        <v>Light Vehicle Passenger</v>
      </c>
      <c r="B162" s="4">
        <f t="shared" ca="1" si="3"/>
        <v>430.09037615619997</v>
      </c>
      <c r="C162" s="4">
        <f t="shared" ca="1" si="3"/>
        <v>457.55420009769944</v>
      </c>
      <c r="D162" s="4">
        <f t="shared" ca="1" si="3"/>
        <v>476.67385343672868</v>
      </c>
      <c r="E162" s="4">
        <f t="shared" ca="1" si="3"/>
        <v>429.19910405233117</v>
      </c>
      <c r="F162" s="4">
        <f t="shared" ca="1" si="3"/>
        <v>380.81006709947252</v>
      </c>
      <c r="G162" s="4">
        <f t="shared" ca="1" si="3"/>
        <v>329.13624127768878</v>
      </c>
      <c r="H162" s="4">
        <f t="shared" ca="1" si="3"/>
        <v>276.84076405226841</v>
      </c>
      <c r="I162" s="1">
        <f t="shared" ref="I162:K162" ca="1" si="7">I8+I19+I30+I41+I52+I63+I74+I85+I96+I107+I118+I129+I140+I151</f>
        <v>233.54594253047932</v>
      </c>
      <c r="J162" s="1">
        <f t="shared" ca="1" si="7"/>
        <v>188.30177804070044</v>
      </c>
      <c r="K162" s="1">
        <f t="shared" ca="1" si="7"/>
        <v>189.02099508667786</v>
      </c>
    </row>
    <row r="163" spans="1:11" x14ac:dyDescent="0.25">
      <c r="A163" t="str">
        <f t="shared" ca="1" si="2"/>
        <v>Taxi/Vehicle Share</v>
      </c>
      <c r="B163" s="4">
        <f t="shared" ca="1" si="3"/>
        <v>4.6704390591000005</v>
      </c>
      <c r="C163" s="4">
        <f t="shared" ca="1" si="3"/>
        <v>5.428191595777534</v>
      </c>
      <c r="D163" s="4">
        <f t="shared" ca="1" si="3"/>
        <v>5.9624586353486864</v>
      </c>
      <c r="E163" s="4">
        <f t="shared" ca="1" si="3"/>
        <v>140.52085202574989</v>
      </c>
      <c r="F163" s="4">
        <f t="shared" ca="1" si="3"/>
        <v>276.58543959326971</v>
      </c>
      <c r="G163" s="4">
        <f t="shared" ca="1" si="3"/>
        <v>411.16955559908763</v>
      </c>
      <c r="H163" s="4">
        <f t="shared" ca="1" si="3"/>
        <v>542.50224717016147</v>
      </c>
      <c r="I163" s="1">
        <f t="shared" ref="I163:K163" ca="1" si="8">I9+I20+I31+I42+I53+I64+I75+I86+I97+I108+I119+I130+I141+I152</f>
        <v>680.13297462272749</v>
      </c>
      <c r="J163" s="1">
        <f t="shared" ca="1" si="8"/>
        <v>817.32225966065516</v>
      </c>
      <c r="K163" s="1">
        <f t="shared" ca="1" si="8"/>
        <v>819.0411159235008</v>
      </c>
    </row>
    <row r="164" spans="1:11" x14ac:dyDescent="0.25">
      <c r="A164" t="str">
        <f t="shared" ca="1" si="2"/>
        <v>Motorcyclist</v>
      </c>
      <c r="B164" s="4">
        <f t="shared" ca="1" si="3"/>
        <v>6.0136150244</v>
      </c>
      <c r="C164" s="4">
        <f t="shared" ca="1" si="3"/>
        <v>6.584288567398036</v>
      </c>
      <c r="D164" s="4">
        <f t="shared" ca="1" si="3"/>
        <v>6.8530100181553264</v>
      </c>
      <c r="E164" s="4">
        <f t="shared" ca="1" si="3"/>
        <v>7.0143833319065898</v>
      </c>
      <c r="F164" s="4">
        <f t="shared" ca="1" si="3"/>
        <v>7.1365317326093525</v>
      </c>
      <c r="G164" s="4">
        <f t="shared" ca="1" si="3"/>
        <v>7.1460206853983212</v>
      </c>
      <c r="H164" s="4">
        <f t="shared" ca="1" si="3"/>
        <v>7.1102836084786682</v>
      </c>
      <c r="I164" s="1">
        <f t="shared" ref="I164:K164" ca="1" si="9">I10+I21+I32+I43+I54+I65+I76+I87+I98+I109+I120+I131+I142+I153</f>
        <v>7.2163609866150846</v>
      </c>
      <c r="J164" s="1">
        <f t="shared" ca="1" si="9"/>
        <v>7.3005258660511236</v>
      </c>
      <c r="K164" s="1">
        <f t="shared" ca="1" si="9"/>
        <v>7.3695133525201282</v>
      </c>
    </row>
    <row r="165" spans="1:11" x14ac:dyDescent="0.25">
      <c r="A165" t="str">
        <f t="shared" ca="1" si="2"/>
        <v>Local Train</v>
      </c>
      <c r="B165" s="4">
        <f t="shared" ca="1" si="3"/>
        <v>11.945939429511251</v>
      </c>
      <c r="C165" s="4">
        <f t="shared" ca="1" si="3"/>
        <v>18.037662891459696</v>
      </c>
      <c r="D165" s="4">
        <f t="shared" ca="1" si="3"/>
        <v>43.232017521632606</v>
      </c>
      <c r="E165" s="4">
        <f t="shared" ca="1" si="3"/>
        <v>55.762361737116898</v>
      </c>
      <c r="F165" s="4">
        <f t="shared" ca="1" si="3"/>
        <v>61.767917360488461</v>
      </c>
      <c r="G165" s="4">
        <f t="shared" ca="1" si="3"/>
        <v>66.411457906606643</v>
      </c>
      <c r="H165" s="4">
        <f t="shared" ca="1" si="3"/>
        <v>70.348462196662879</v>
      </c>
      <c r="I165" s="1">
        <f t="shared" ref="I165:K165" ca="1" si="10">I11+I22+I33+I44+I55+I66+I77+I88+I99+I110+I121+I132+I143+I154</f>
        <v>75.608555949492796</v>
      </c>
      <c r="J165" s="1">
        <f t="shared" ca="1" si="10"/>
        <v>80.638912579673473</v>
      </c>
      <c r="K165" s="1">
        <f t="shared" ca="1" si="10"/>
        <v>85.554797443394477</v>
      </c>
    </row>
    <row r="166" spans="1:11" x14ac:dyDescent="0.25">
      <c r="A166" t="s">
        <v>20</v>
      </c>
      <c r="B166" s="4">
        <f t="shared" ca="1" si="3"/>
        <v>52.97039647611355</v>
      </c>
      <c r="C166" s="4">
        <f t="shared" ca="1" si="3"/>
        <v>55.097242924955658</v>
      </c>
      <c r="D166" s="4">
        <f t="shared" ca="1" si="3"/>
        <v>118.1857786074178</v>
      </c>
      <c r="E166" s="4">
        <f t="shared" ca="1" si="3"/>
        <v>133.55070755411711</v>
      </c>
      <c r="F166" s="4">
        <f t="shared" ca="1" si="3"/>
        <v>142.85585060280252</v>
      </c>
      <c r="G166" s="4">
        <f t="shared" ca="1" si="3"/>
        <v>147.9548380216637</v>
      </c>
      <c r="H166" s="4">
        <f t="shared" ca="1" si="3"/>
        <v>151.49794807273449</v>
      </c>
      <c r="I166" s="1">
        <f t="shared" ref="I166:K166" ca="1" si="11">I12+I23+I34+I45+I56+I67+I78+I89+I100+I111+I122+I133+I144+I155</f>
        <v>159.4023249365687</v>
      </c>
      <c r="J166" s="1">
        <f t="shared" ca="1" si="11"/>
        <v>166.00335851045219</v>
      </c>
      <c r="K166" s="1">
        <f t="shared" ca="1" si="11"/>
        <v>171.08343417517278</v>
      </c>
    </row>
    <row r="167" spans="1:11" x14ac:dyDescent="0.25">
      <c r="A167" t="str">
        <f ca="1">A13</f>
        <v>Local Ferry</v>
      </c>
      <c r="B167" s="4">
        <f t="shared" ca="1" si="3"/>
        <v>1.5789294523033413</v>
      </c>
      <c r="C167" s="4">
        <f t="shared" ca="1" si="3"/>
        <v>1.8489742916155887</v>
      </c>
      <c r="D167" s="4">
        <f t="shared" ca="1" si="3"/>
        <v>2.004423091767086</v>
      </c>
      <c r="E167" s="4">
        <f t="shared" ca="1" si="3"/>
        <v>2.0958505089542196</v>
      </c>
      <c r="F167" s="4">
        <f t="shared" ca="1" si="3"/>
        <v>2.1534006131026322</v>
      </c>
      <c r="G167" s="4">
        <f t="shared" ca="1" si="3"/>
        <v>2.2394783884258698</v>
      </c>
      <c r="H167" s="4">
        <f t="shared" ca="1" si="3"/>
        <v>2.3025170553996608</v>
      </c>
      <c r="I167" s="1">
        <f t="shared" ref="I167:K167" ca="1" si="12">I13+I24+I35+I46+I57+I68+I79+I90+I101+I112+I123+I134+I145+I156</f>
        <v>2.3088988545627758</v>
      </c>
      <c r="J167" s="1">
        <f t="shared" ca="1" si="12"/>
        <v>2.3074470392706559</v>
      </c>
      <c r="K167" s="1">
        <f t="shared" ca="1" si="12"/>
        <v>2.300506833634095</v>
      </c>
    </row>
    <row r="168" spans="1:11" x14ac:dyDescent="0.25">
      <c r="A168" t="str">
        <f ca="1">A14</f>
        <v>Other Household Travel</v>
      </c>
      <c r="B168" s="4">
        <f t="shared" ca="1" si="3"/>
        <v>5.6740244923000009</v>
      </c>
      <c r="C168" s="4">
        <f t="shared" ca="1" si="3"/>
        <v>6.3394589384087316</v>
      </c>
      <c r="D168" s="4">
        <f t="shared" ca="1" si="3"/>
        <v>6.7396416748221997</v>
      </c>
      <c r="E168" s="4">
        <f t="shared" ca="1" si="3"/>
        <v>6.9296813257214165</v>
      </c>
      <c r="F168" s="4">
        <f t="shared" ca="1" si="3"/>
        <v>7.0562083293724198</v>
      </c>
      <c r="G168" s="4">
        <f t="shared" ca="1" si="3"/>
        <v>7.1963038799984638</v>
      </c>
      <c r="H168" s="4">
        <f t="shared" ca="1" si="3"/>
        <v>7.2778448789771701</v>
      </c>
      <c r="I168" s="1">
        <f t="shared" ref="I168:K168" ca="1" si="13">I14+I25+I36+I47+I58+I69+I80+I91+I102+I113+I124+I135+I146+I157</f>
        <v>7.3617319128648928</v>
      </c>
      <c r="J168" s="1">
        <f t="shared" ca="1" si="13"/>
        <v>7.422209656645208</v>
      </c>
      <c r="K168" s="1">
        <f t="shared" ca="1" si="13"/>
        <v>7.4663219573661461</v>
      </c>
    </row>
    <row r="169" spans="1:11" x14ac:dyDescent="0.25">
      <c r="A169" t="s">
        <v>108</v>
      </c>
      <c r="I169" s="1"/>
      <c r="J169" s="1"/>
      <c r="K169" s="1"/>
    </row>
    <row r="170" spans="1:11" x14ac:dyDescent="0.25">
      <c r="A170" t="s">
        <v>103</v>
      </c>
      <c r="B170" s="1">
        <f ca="1">SUM(B171:B177)</f>
        <v>1563.2845741693282</v>
      </c>
      <c r="C170" s="1">
        <f t="shared" ref="C170:H170" ca="1" si="14">SUM(C171:C177)</f>
        <v>1712.9096607705092</v>
      </c>
      <c r="D170" s="1">
        <f t="shared" ca="1" si="14"/>
        <v>1802.8464996232738</v>
      </c>
      <c r="E170" s="1">
        <f t="shared" ca="1" si="14"/>
        <v>1870.3531053435065</v>
      </c>
      <c r="F170" s="1">
        <f t="shared" ca="1" si="14"/>
        <v>1921.8584251339053</v>
      </c>
      <c r="G170" s="1">
        <f t="shared" ca="1" si="14"/>
        <v>1957.1147524907278</v>
      </c>
      <c r="H170" s="1">
        <f t="shared" ca="1" si="14"/>
        <v>1981.9837461180616</v>
      </c>
      <c r="I170" s="1">
        <f t="shared" ref="I170:K170" ca="1" si="15">SUM(I171:I177)</f>
        <v>2008.4439284475222</v>
      </c>
      <c r="J170" s="1">
        <f t="shared" ca="1" si="15"/>
        <v>2028.7395911929061</v>
      </c>
      <c r="K170" s="1">
        <f t="shared" ca="1" si="15"/>
        <v>2044.8319142066241</v>
      </c>
    </row>
    <row r="171" spans="1:11" x14ac:dyDescent="0.25">
      <c r="A171" t="s">
        <v>62</v>
      </c>
      <c r="B171" s="1">
        <f ca="1">B159</f>
        <v>205.0143830817</v>
      </c>
      <c r="C171" s="1">
        <f t="shared" ref="C171:H172" ca="1" si="16">C159</f>
        <v>220.84916806008309</v>
      </c>
      <c r="D171" s="1">
        <f t="shared" ca="1" si="16"/>
        <v>245.22276731674009</v>
      </c>
      <c r="E171" s="1">
        <f t="shared" ca="1" si="16"/>
        <v>262.11612811560173</v>
      </c>
      <c r="F171" s="1">
        <f t="shared" ca="1" si="16"/>
        <v>276.47741163025177</v>
      </c>
      <c r="G171" s="1">
        <f t="shared" ca="1" si="16"/>
        <v>289.09019601233422</v>
      </c>
      <c r="H171" s="1">
        <f t="shared" ca="1" si="16"/>
        <v>300.15841006746172</v>
      </c>
      <c r="I171" s="1">
        <f t="shared" ref="I171:K171" ca="1" si="17">I159</f>
        <v>303.9241871195826</v>
      </c>
      <c r="J171" s="1">
        <f t="shared" ca="1" si="17"/>
        <v>306.64191673236485</v>
      </c>
      <c r="K171" s="1">
        <f t="shared" ca="1" si="17"/>
        <v>308.56177916009949</v>
      </c>
    </row>
    <row r="172" spans="1:11" x14ac:dyDescent="0.25">
      <c r="A172" t="s">
        <v>63</v>
      </c>
      <c r="B172" s="1">
        <f ca="1">B160</f>
        <v>24.928098629399997</v>
      </c>
      <c r="C172" s="1">
        <f t="shared" ca="1" si="16"/>
        <v>27.348873876271078</v>
      </c>
      <c r="D172" s="1">
        <f t="shared" ca="1" si="16"/>
        <v>42.553267120646957</v>
      </c>
      <c r="E172" s="1">
        <f t="shared" ca="1" si="16"/>
        <v>55.136688668772472</v>
      </c>
      <c r="F172" s="1">
        <f t="shared" ca="1" si="16"/>
        <v>68.419518500786594</v>
      </c>
      <c r="G172" s="1">
        <f t="shared" ca="1" si="16"/>
        <v>82.737183857981051</v>
      </c>
      <c r="H172" s="1">
        <f t="shared" ca="1" si="16"/>
        <v>97.739527185184599</v>
      </c>
      <c r="I172" s="1">
        <f t="shared" ref="I172:K172" ca="1" si="18">I160</f>
        <v>99.571802923062265</v>
      </c>
      <c r="J172" s="1">
        <f t="shared" ca="1" si="18"/>
        <v>101.06866590810468</v>
      </c>
      <c r="K172" s="1">
        <f t="shared" ca="1" si="18"/>
        <v>102.30012914055031</v>
      </c>
    </row>
    <row r="173" spans="1:11" x14ac:dyDescent="0.25">
      <c r="A173" t="s">
        <v>104</v>
      </c>
      <c r="B173" s="1">
        <f ca="1">B165</f>
        <v>11.945939429511251</v>
      </c>
      <c r="C173" s="1">
        <f t="shared" ref="C173:H174" ca="1" si="19">C165</f>
        <v>18.037662891459696</v>
      </c>
      <c r="D173" s="1">
        <f t="shared" ca="1" si="19"/>
        <v>43.232017521632606</v>
      </c>
      <c r="E173" s="1">
        <f t="shared" ca="1" si="19"/>
        <v>55.762361737116898</v>
      </c>
      <c r="F173" s="1">
        <f t="shared" ca="1" si="19"/>
        <v>61.767917360488461</v>
      </c>
      <c r="G173" s="1">
        <f t="shared" ca="1" si="19"/>
        <v>66.411457906606643</v>
      </c>
      <c r="H173" s="1">
        <f t="shared" ca="1" si="19"/>
        <v>70.348462196662879</v>
      </c>
      <c r="I173" s="1">
        <f t="shared" ref="I173:K173" ca="1" si="20">I165</f>
        <v>75.608555949492796</v>
      </c>
      <c r="J173" s="1">
        <f t="shared" ca="1" si="20"/>
        <v>80.638912579673473</v>
      </c>
      <c r="K173" s="1">
        <f t="shared" ca="1" si="20"/>
        <v>85.554797443394477</v>
      </c>
    </row>
    <row r="174" spans="1:11" x14ac:dyDescent="0.25">
      <c r="A174" t="s">
        <v>20</v>
      </c>
      <c r="B174" s="1">
        <f ca="1">B166</f>
        <v>52.97039647611355</v>
      </c>
      <c r="C174" s="1">
        <f t="shared" ca="1" si="19"/>
        <v>55.097242924955658</v>
      </c>
      <c r="D174" s="1">
        <f t="shared" ca="1" si="19"/>
        <v>118.1857786074178</v>
      </c>
      <c r="E174" s="1">
        <f t="shared" ca="1" si="19"/>
        <v>133.55070755411711</v>
      </c>
      <c r="F174" s="1">
        <f t="shared" ca="1" si="19"/>
        <v>142.85585060280252</v>
      </c>
      <c r="G174" s="1">
        <f t="shared" ca="1" si="19"/>
        <v>147.9548380216637</v>
      </c>
      <c r="H174" s="1">
        <f t="shared" ca="1" si="19"/>
        <v>151.49794807273449</v>
      </c>
      <c r="I174" s="1">
        <f t="shared" ref="I174:K174" ca="1" si="21">I166</f>
        <v>159.4023249365687</v>
      </c>
      <c r="J174" s="1">
        <f t="shared" ca="1" si="21"/>
        <v>166.00335851045219</v>
      </c>
      <c r="K174" s="1">
        <f t="shared" ca="1" si="21"/>
        <v>171.08343417517278</v>
      </c>
    </row>
    <row r="175" spans="1:11" x14ac:dyDescent="0.25">
      <c r="A175" t="s">
        <v>105</v>
      </c>
      <c r="B175" s="1">
        <f ca="1">'Total Duration Tables Sup #2'!B9+'Total Duration Tables Sup #2'!B20+'Total Duration Tables Sup #2'!B31+'Total Duration Tables Sup #2'!B42+'Total Duration Tables Sup #2'!B53+'Total Duration Tables Sup #2'!B64+'Total Duration Tables Sup #2'!B75+'Total Duration Tables Sup #2'!B86+'Total Duration Tables Sup #2'!B97+'Total Duration Tables Sup #2'!B108+'Total Duration Tables Sup #2'!B119+'Total Duration Tables Sup #2'!B130+'Total Duration Tables Sup #2'!B141+'Total Duration Tables Sup #2'!B152+B164+B167+B168</f>
        <v>17.937008028103342</v>
      </c>
      <c r="C175" s="1">
        <f ca="1">'Total Duration Tables Sup #2'!C9+'Total Duration Tables Sup #2'!C20+'Total Duration Tables Sup #2'!C31+'Total Duration Tables Sup #2'!C42+'Total Duration Tables Sup #2'!C53+'Total Duration Tables Sup #2'!C64+'Total Duration Tables Sup #2'!C75+'Total Duration Tables Sup #2'!C86+'Total Duration Tables Sup #2'!C97+'Total Duration Tables Sup #2'!C108+'Total Duration Tables Sup #2'!C119+'Total Duration Tables Sup #2'!C130+'Total Duration Tables Sup #2'!C141+'Total Duration Tables Sup #2'!C152+C164+C167+C168</f>
        <v>20.20091339319989</v>
      </c>
      <c r="D175" s="1">
        <f ca="1">'Total Duration Tables Sup #2'!D9+'Total Duration Tables Sup #2'!D20+'Total Duration Tables Sup #2'!D31+'Total Duration Tables Sup #2'!D42+'Total Duration Tables Sup #2'!D53+'Total Duration Tables Sup #2'!D64+'Total Duration Tables Sup #2'!D75+'Total Duration Tables Sup #2'!D86+'Total Duration Tables Sup #2'!D97+'Total Duration Tables Sup #2'!D108+'Total Duration Tables Sup #2'!D119+'Total Duration Tables Sup #2'!D130+'Total Duration Tables Sup #2'!D141+'Total Duration Tables Sup #2'!D152+D164+D167+D168</f>
        <v>21.559533420093299</v>
      </c>
      <c r="E175" s="1">
        <f ca="1">'Total Duration Tables Sup #2'!E9+'Total Duration Tables Sup #2'!E20+'Total Duration Tables Sup #2'!E31+'Total Duration Tables Sup #2'!E42+'Total Duration Tables Sup #2'!E53+'Total Duration Tables Sup #2'!E64+'Total Duration Tables Sup #2'!E75+'Total Duration Tables Sup #2'!E86+'Total Duration Tables Sup #2'!E97+'Total Duration Tables Sup #2'!E108+'Total Duration Tables Sup #2'!E119+'Total Duration Tables Sup #2'!E130+'Total Duration Tables Sup #2'!E141+'Total Duration Tables Sup #2'!E152+E164+E167+E168</f>
        <v>22.424494739491408</v>
      </c>
      <c r="F175" s="1">
        <f ca="1">'Total Duration Tables Sup #2'!F9+'Total Duration Tables Sup #2'!F20+'Total Duration Tables Sup #2'!F31+'Total Duration Tables Sup #2'!F42+'Total Duration Tables Sup #2'!F53+'Total Duration Tables Sup #2'!F64+'Total Duration Tables Sup #2'!F75+'Total Duration Tables Sup #2'!F86+'Total Duration Tables Sup #2'!F97+'Total Duration Tables Sup #2'!F108+'Total Duration Tables Sup #2'!F119+'Total Duration Tables Sup #2'!F130+'Total Duration Tables Sup #2'!F141+'Total Duration Tables Sup #2'!F152+F164+F167+F168</f>
        <v>23.080043575548654</v>
      </c>
      <c r="G175" s="1">
        <f ca="1">'Total Duration Tables Sup #2'!G9+'Total Duration Tables Sup #2'!G20+'Total Duration Tables Sup #2'!G31+'Total Duration Tables Sup #2'!G42+'Total Duration Tables Sup #2'!G53+'Total Duration Tables Sup #2'!G64+'Total Duration Tables Sup #2'!G75+'Total Duration Tables Sup #2'!G86+'Total Duration Tables Sup #2'!G97+'Total Duration Tables Sup #2'!G108+'Total Duration Tables Sup #2'!G119+'Total Duration Tables Sup #2'!G130+'Total Duration Tables Sup #2'!G141+'Total Duration Tables Sup #2'!G152+G164+G167+G168</f>
        <v>23.535765064668205</v>
      </c>
      <c r="H175" s="1">
        <f ca="1">'Total Duration Tables Sup #2'!H9+'Total Duration Tables Sup #2'!H20+'Total Duration Tables Sup #2'!H31+'Total Duration Tables Sup #2'!H42+'Total Duration Tables Sup #2'!H53+'Total Duration Tables Sup #2'!H64+'Total Duration Tables Sup #2'!H75+'Total Duration Tables Sup #2'!H86+'Total Duration Tables Sup #2'!H97+'Total Duration Tables Sup #2'!H108+'Total Duration Tables Sup #2'!H119+'Total Duration Tables Sup #2'!H130+'Total Duration Tables Sup #2'!H141+'Total Duration Tables Sup #2'!H152+H164+H167+H168</f>
        <v>23.828555457682928</v>
      </c>
      <c r="I175" s="1">
        <f ca="1">'Total Duration Tables Sup #2'!I9+'Total Duration Tables Sup #2'!I20+'Total Duration Tables Sup #2'!I31+'Total Duration Tables Sup #2'!I42+'Total Duration Tables Sup #2'!I53+'Total Duration Tables Sup #2'!I64+'Total Duration Tables Sup #2'!I75+'Total Duration Tables Sup #2'!I86+'Total Duration Tables Sup #2'!I97+'Total Duration Tables Sup #2'!I108+'Total Duration Tables Sup #2'!I119+'Total Duration Tables Sup #2'!I130+'Total Duration Tables Sup #2'!I141+'Total Duration Tables Sup #2'!I152+I164+I167+I168</f>
        <v>24.102875234725119</v>
      </c>
      <c r="J175" s="1">
        <f ca="1">'Total Duration Tables Sup #2'!J9+'Total Duration Tables Sup #2'!J20+'Total Duration Tables Sup #2'!J31+'Total Duration Tables Sup #2'!J42+'Total Duration Tables Sup #2'!J53+'Total Duration Tables Sup #2'!J64+'Total Duration Tables Sup #2'!J75+'Total Duration Tables Sup #2'!J86+'Total Duration Tables Sup #2'!J97+'Total Duration Tables Sup #2'!J108+'Total Duration Tables Sup #2'!J119+'Total Duration Tables Sup #2'!J130+'Total Duration Tables Sup #2'!J141+'Total Duration Tables Sup #2'!J152+J164+J167+J168</f>
        <v>24.300999363089183</v>
      </c>
      <c r="K175" s="1">
        <f ca="1">'Total Duration Tables Sup #2'!K9+'Total Duration Tables Sup #2'!K20+'Total Duration Tables Sup #2'!K31+'Total Duration Tables Sup #2'!K42+'Total Duration Tables Sup #2'!K53+'Total Duration Tables Sup #2'!K64+'Total Duration Tables Sup #2'!K75+'Total Duration Tables Sup #2'!K86+'Total Duration Tables Sup #2'!K97+'Total Duration Tables Sup #2'!K108+'Total Duration Tables Sup #2'!K119+'Total Duration Tables Sup #2'!K130+'Total Duration Tables Sup #2'!K141+'Total Duration Tables Sup #2'!K152+K164+K167+K168</f>
        <v>24.445983736441946</v>
      </c>
    </row>
    <row r="176" spans="1:11" x14ac:dyDescent="0.25">
      <c r="A176" t="s">
        <v>106</v>
      </c>
      <c r="B176" s="1">
        <f ca="1">B7+B18+B29+B40+B51+B62+B73+B84+B95+B106+B117+B128+B139+B150</f>
        <v>820.39837236829999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913.82159952684037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855.41928220001421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864.47483113692783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873.24509958968667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877.19068123077568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877.00956971788787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878.74229722313203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879.33129299747054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880.33330283427051</v>
      </c>
    </row>
    <row r="177" spans="1:11" x14ac:dyDescent="0.25">
      <c r="A177" t="s">
        <v>107</v>
      </c>
      <c r="B177" s="1">
        <f ca="1">B8+B19+B30+B41+B52+B63+B74+B85+B96+B107+B118+B129+B140+B151</f>
        <v>430.09037615619997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457.55420009769944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476.67385343672868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476.88789339147911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476.01258387434058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470.1946303966983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461.4012734204473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467.09188506095865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470.75444510175106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472.55248771669466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02"/>
  <sheetViews>
    <sheetView topLeftCell="A64" workbookViewId="0">
      <selection activeCell="H148" sqref="H148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17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B159*'Total Trip Tables Sup #1'!B5</f>
        <v>23.706864376999999</v>
      </c>
      <c r="C5" s="4">
        <f ca="1">C159*'Total Trip Tables Sup #1'!C5*(1+'Active Mode Assumptions'!C7)</f>
        <v>24.974818942746342</v>
      </c>
      <c r="D5" s="4">
        <f ca="1">D159*'Total Trip Tables Sup #1'!D5*(1+'Active Mode Assumptions'!D7)</f>
        <v>27.10555267083047</v>
      </c>
      <c r="E5" s="4">
        <f ca="1">E159*'Total Trip Tables Sup #1'!E5*(1+'Active Mode Assumptions'!E7)</f>
        <v>28.825568650913265</v>
      </c>
      <c r="F5" s="4">
        <f ca="1">F159*'Total Trip Tables Sup #1'!F5*(1+'Active Mode Assumptions'!F7)</f>
        <v>30.204406062588138</v>
      </c>
      <c r="G5" s="4">
        <f ca="1">G159*'Total Trip Tables Sup #1'!G5*(1+'Active Mode Assumptions'!G7)</f>
        <v>31.360314613920323</v>
      </c>
      <c r="H5" s="4">
        <f ca="1">H159*'Total Trip Tables Sup #1'!H5*(1+'Active Mode Assumptions'!H7)</f>
        <v>32.319883015524113</v>
      </c>
      <c r="I5" s="1">
        <f ca="1">I159*'Total Trip Tables Sup #1'!I5*(1+'Active Mode Assumptions'!I7)</f>
        <v>32.480252064112172</v>
      </c>
      <c r="J5" s="1">
        <f ca="1">J159*'Total Trip Tables Sup #1'!J5*(1+'Active Mode Assumptions'!J7)</f>
        <v>32.53791848629686</v>
      </c>
      <c r="K5" s="1">
        <f ca="1">K159*'Total Trip Tables Sup #1'!K5*(1+'Active Mode Assumptions'!K7)</f>
        <v>32.526016293259879</v>
      </c>
    </row>
    <row r="6" spans="1:11" x14ac:dyDescent="0.25">
      <c r="A6" t="str">
        <f ca="1">OFFSET(Northland_Reference,7,2)</f>
        <v>Cyclist</v>
      </c>
      <c r="B6" s="4">
        <f ca="1">B160*'Total Trip Tables Sup #1'!B6</f>
        <v>0.66592947719999995</v>
      </c>
      <c r="C6" s="4">
        <f ca="1">C160*'Total Trip Tables Sup #1'!C6*(1+'Active Mode Assumptions'!C16)</f>
        <v>0.69993258446790674</v>
      </c>
      <c r="D6" s="4">
        <f ca="1">D160*'Total Trip Tables Sup #1'!D6*(1+'Active Mode Assumptions'!D16)</f>
        <v>0.99475554178811243</v>
      </c>
      <c r="E6" s="4">
        <f ca="1">E160*'Total Trip Tables Sup #1'!E6*(1+'Active Mode Assumptions'!E16)</f>
        <v>1.2748954192847379</v>
      </c>
      <c r="F6" s="4">
        <f ca="1">F160*'Total Trip Tables Sup #1'!F6*(1+'Active Mode Assumptions'!F16)</f>
        <v>1.5474545929281804</v>
      </c>
      <c r="G6" s="4">
        <f ca="1">G160*'Total Trip Tables Sup #1'!G6*(1+'Active Mode Assumptions'!G16)</f>
        <v>1.8118663253059866</v>
      </c>
      <c r="H6" s="4">
        <f ca="1">H160*'Total Trip Tables Sup #1'!H6*(1+'Active Mode Assumptions'!H16)</f>
        <v>2.0672905181622419</v>
      </c>
      <c r="I6" s="1">
        <f ca="1">I160*'Total Trip Tables Sup #1'!I6*(1+'Active Mode Assumptions'!I16)</f>
        <v>2.0893938754364951</v>
      </c>
      <c r="J6" s="1">
        <f ca="1">J160*'Total Trip Tables Sup #1'!J6*(1+'Active Mode Assumptions'!J16)</f>
        <v>2.1052236246084637</v>
      </c>
      <c r="K6" s="1">
        <f ca="1">K160*'Total Trip Tables Sup #1'!K6*(1+'Active Mode Assumptions'!K16)</f>
        <v>2.1168250196639997</v>
      </c>
    </row>
    <row r="7" spans="1:11" x14ac:dyDescent="0.25">
      <c r="A7" t="str">
        <f ca="1">OFFSET(Northland_Reference,14,2)</f>
        <v>Light Vehicle Driver</v>
      </c>
      <c r="B7" s="4">
        <f ca="1">B161*'Total Trip Tables Sup #1'!B7</f>
        <v>86.333691700000003</v>
      </c>
      <c r="C7" s="4">
        <f ca="1">C161*'Total Trip Tables Sup #1'!C7-(C5*'Active Mode Assumptions'!C7*'Active Mode Assumptions'!C14/(1+'Active Mode Assumptions'!C7))-(C6*'Active Mode Assumptions'!C16*'Active Mode Assumptions'!C23/(1+'Active Mode Assumptions'!C16))</f>
        <v>93.320029439693656</v>
      </c>
      <c r="D7" s="4">
        <f ca="1">D161*'Total Trip Tables Sup #1'!D7-(D5*'Active Mode Assumptions'!D7*'Active Mode Assumptions'!D14/(1+'Active Mode Assumptions'!D7))-(D6*'Active Mode Assumptions'!D16*'Active Mode Assumptions'!D23/(1+'Active Mode Assumptions'!D16))</f>
        <v>96.617496619580535</v>
      </c>
      <c r="E7" s="4">
        <f ca="1">E161*'Total Trip Tables Sup #1'!E7-(E5*'Active Mode Assumptions'!E7*'Active Mode Assumptions'!E14/(1+'Active Mode Assumptions'!E7))-(E6*'Active Mode Assumptions'!E16*'Active Mode Assumptions'!E23/(1+'Active Mode Assumptions'!E16))</f>
        <v>99.326722445463759</v>
      </c>
      <c r="F7" s="4">
        <f ca="1">F161*'Total Trip Tables Sup #1'!F7-(F5*'Active Mode Assumptions'!F7*'Active Mode Assumptions'!F14/(1+'Active Mode Assumptions'!F7))-(F6*'Active Mode Assumptions'!F16*'Active Mode Assumptions'!F23/(1+'Active Mode Assumptions'!F16))</f>
        <v>101.27809777804197</v>
      </c>
      <c r="G7" s="4">
        <f ca="1">G161*'Total Trip Tables Sup #1'!G7-(G5*'Active Mode Assumptions'!G7*'Active Mode Assumptions'!G14/(1+'Active Mode Assumptions'!G7))-(G6*'Active Mode Assumptions'!G16*'Active Mode Assumptions'!G23/(1+'Active Mode Assumptions'!G16))</f>
        <v>101.9720270520928</v>
      </c>
      <c r="H7" s="4">
        <f ca="1">H161*'Total Trip Tables Sup #1'!H7-(H5*'Active Mode Assumptions'!H7*'Active Mode Assumptions'!H14/(1+'Active Mode Assumptions'!H7))-(H6*'Active Mode Assumptions'!H16*'Active Mode Assumptions'!H23/(1+'Active Mode Assumptions'!H16))</f>
        <v>102.06963551132949</v>
      </c>
      <c r="I7" s="1">
        <f ca="1">I161*'Total Trip Tables Sup #1'!I7-(I5*'Active Mode Assumptions'!I7*'Active Mode Assumptions'!I14/(1+'Active Mode Assumptions'!I7))-(I6*'Active Mode Assumptions'!I16*'Active Mode Assumptions'!I23/(1+'Active Mode Assumptions'!I16))</f>
        <v>102.61159511279774</v>
      </c>
      <c r="J7" s="1">
        <f ca="1">J161*'Total Trip Tables Sup #1'!J7-(J5*'Active Mode Assumptions'!J7*'Active Mode Assumptions'!J14/(1+'Active Mode Assumptions'!J7))-(J6*'Active Mode Assumptions'!J16*'Active Mode Assumptions'!J23/(1+'Active Mode Assumptions'!J16))</f>
        <v>102.82830260925768</v>
      </c>
      <c r="K7" s="1">
        <f ca="1">K161*'Total Trip Tables Sup #1'!K7-(K5*'Active Mode Assumptions'!K7*'Active Mode Assumptions'!K14/(1+'Active Mode Assumptions'!K7))-(K6*'Active Mode Assumptions'!K16*'Active Mode Assumptions'!K23/(1+'Active Mode Assumptions'!K16))</f>
        <v>102.8242201666543</v>
      </c>
    </row>
    <row r="8" spans="1:11" x14ac:dyDescent="0.25">
      <c r="A8" t="str">
        <f ca="1">OFFSET(Northland_Reference,21,2)</f>
        <v>Light Vehicle Passenger</v>
      </c>
      <c r="B8" s="4">
        <f ca="1">B162*'Total Trip Tables Sup #1'!B8</f>
        <v>50.299563868000014</v>
      </c>
      <c r="C8" s="4">
        <f ca="1">C162*'Total Trip Tables Sup #1'!C8-(C5*'Active Mode Assumptions'!C7*'Active Mode Assumptions'!C15/(1+'Active Mode Assumptions'!C7))-(C6*'Active Mode Assumptions'!C16*'Active Mode Assumptions'!C24/(1+'Active Mode Assumptions'!C16))</f>
        <v>51.826843378551047</v>
      </c>
      <c r="D8" s="4">
        <f ca="1">D162*'Total Trip Tables Sup #1'!D8-(D5*'Active Mode Assumptions'!D7*'Active Mode Assumptions'!D15/(1+'Active Mode Assumptions'!D7))-(D6*'Active Mode Assumptions'!D16*'Active Mode Assumptions'!D24/(1+'Active Mode Assumptions'!D16))</f>
        <v>51.931223716119483</v>
      </c>
      <c r="E8" s="4">
        <f ca="1">E162*'Total Trip Tables Sup #1'!E8-(E5*'Active Mode Assumptions'!E7*'Active Mode Assumptions'!E15/(1+'Active Mode Assumptions'!E7))-(E6*'Active Mode Assumptions'!E16*'Active Mode Assumptions'!E24/(1+'Active Mode Assumptions'!E16))</f>
        <v>51.618284130631508</v>
      </c>
      <c r="F8" s="4">
        <f ca="1">F162*'Total Trip Tables Sup #1'!F8-(F5*'Active Mode Assumptions'!F7*'Active Mode Assumptions'!F15/(1+'Active Mode Assumptions'!F7))-(F6*'Active Mode Assumptions'!F16*'Active Mode Assumptions'!F24/(1+'Active Mode Assumptions'!F16))</f>
        <v>51.026033527585646</v>
      </c>
      <c r="G8" s="4">
        <f ca="1">G162*'Total Trip Tables Sup #1'!G8-(G5*'Active Mode Assumptions'!G7*'Active Mode Assumptions'!G15/(1+'Active Mode Assumptions'!G7))-(G6*'Active Mode Assumptions'!G16*'Active Mode Assumptions'!G24/(1+'Active Mode Assumptions'!G16))</f>
        <v>50.04698106624479</v>
      </c>
      <c r="H8" s="4">
        <f ca="1">H162*'Total Trip Tables Sup #1'!H8-(H5*'Active Mode Assumptions'!H7*'Active Mode Assumptions'!H15/(1+'Active Mode Assumptions'!H7))-(H6*'Active Mode Assumptions'!H16*'Active Mode Assumptions'!H24/(1+'Active Mode Assumptions'!H16))</f>
        <v>48.780970094862496</v>
      </c>
      <c r="I8" s="1">
        <f ca="1">I162*'Total Trip Tables Sup #1'!I8-(I5*'Active Mode Assumptions'!I7*'Active Mode Assumptions'!I15/(1+'Active Mode Assumptions'!I7))-(I6*'Active Mode Assumptions'!I16*'Active Mode Assumptions'!I24/(1+'Active Mode Assumptions'!I16))</f>
        <v>49.039779870136186</v>
      </c>
      <c r="J8" s="1">
        <f ca="1">J162*'Total Trip Tables Sup #1'!J8-(J5*'Active Mode Assumptions'!J7*'Active Mode Assumptions'!J15/(1+'Active Mode Assumptions'!J7))-(J6*'Active Mode Assumptions'!J16*'Active Mode Assumptions'!J24/(1+'Active Mode Assumptions'!J16))</f>
        <v>49.142907350916005</v>
      </c>
      <c r="K8" s="1">
        <f ca="1">K162*'Total Trip Tables Sup #1'!K8-(K5*'Active Mode Assumptions'!K7*'Active Mode Assumptions'!K15/(1+'Active Mode Assumptions'!K7))-(K6*'Active Mode Assumptions'!K16*'Active Mode Assumptions'!K24/(1+'Active Mode Assumptions'!K16))</f>
        <v>49.140277315911533</v>
      </c>
    </row>
    <row r="9" spans="1:11" x14ac:dyDescent="0.25">
      <c r="A9" t="str">
        <f ca="1">OFFSET(Northland_Reference,28,2)</f>
        <v>Taxi/Vehicle Share</v>
      </c>
      <c r="B9" s="4">
        <f ca="1">B163*'Total Trip Tables Sup #1'!B9</f>
        <v>0.18126348840000001</v>
      </c>
      <c r="C9" s="4">
        <f ca="1">C163*'Total Trip Tables Sup #1'!C9</f>
        <v>0.20478485668957155</v>
      </c>
      <c r="D9" s="4">
        <f ca="1">D163*'Total Trip Tables Sup #1'!D9</f>
        <v>0.22112064469642531</v>
      </c>
      <c r="E9" s="4">
        <f ca="1">E163*'Total Trip Tables Sup #1'!E9</f>
        <v>0.23256864586066214</v>
      </c>
      <c r="F9" s="4">
        <f ca="1">F163*'Total Trip Tables Sup #1'!F9</f>
        <v>0.24079483885681119</v>
      </c>
      <c r="G9" s="4">
        <f ca="1">G163*'Total Trip Tables Sup #1'!G9</f>
        <v>0.24495967653215803</v>
      </c>
      <c r="H9" s="4">
        <f ca="1">H163*'Total Trip Tables Sup #1'!H9</f>
        <v>0.24803564622688129</v>
      </c>
      <c r="I9" s="1">
        <f ca="1">I163*'Total Trip Tables Sup #1'!I9</f>
        <v>0.24895399433453227</v>
      </c>
      <c r="J9" s="1">
        <f ca="1">J163*'Total Trip Tables Sup #1'!J9</f>
        <v>0.24907155905659323</v>
      </c>
      <c r="K9" s="1">
        <f ca="1">K163*'Total Trip Tables Sup #1'!K9</f>
        <v>0.24864530000409962</v>
      </c>
    </row>
    <row r="10" spans="1:11" x14ac:dyDescent="0.25">
      <c r="A10" t="str">
        <f ca="1">OFFSET(Northland_Reference,35,2)</f>
        <v>Motorcyclist</v>
      </c>
      <c r="B10" s="4">
        <f ca="1">B164*'Total Trip Tables Sup #1'!B10</f>
        <v>1.4141085707000001</v>
      </c>
      <c r="C10" s="4">
        <f ca="1">C164*'Total Trip Tables Sup #1'!C10</f>
        <v>1.4984036727621242</v>
      </c>
      <c r="D10" s="4">
        <f ca="1">D164*'Total Trip Tables Sup #1'!D10</f>
        <v>1.5317188817685374</v>
      </c>
      <c r="E10" s="4">
        <f ca="1">E164*'Total Trip Tables Sup #1'!E10</f>
        <v>1.5513655819529766</v>
      </c>
      <c r="F10" s="4">
        <f ca="1">F164*'Total Trip Tables Sup #1'!F10</f>
        <v>1.5573054572708129</v>
      </c>
      <c r="G10" s="4">
        <f ca="1">G164*'Total Trip Tables Sup #1'!G10</f>
        <v>1.5331027390180896</v>
      </c>
      <c r="H10" s="4">
        <f ca="1">H164*'Total Trip Tables Sup #1'!H10</f>
        <v>1.4977908998678986</v>
      </c>
      <c r="I10" s="1">
        <f ca="1">I164*'Total Trip Tables Sup #1'!I10</f>
        <v>1.5136953891038032</v>
      </c>
      <c r="J10" s="1">
        <f ca="1">J164*'Total Trip Tables Sup #1'!J10</f>
        <v>1.5249270170748244</v>
      </c>
      <c r="K10" s="1">
        <f ca="1">K164*'Total Trip Tables Sup #1'!K10</f>
        <v>1.5329632488025884</v>
      </c>
    </row>
    <row r="11" spans="1:11" x14ac:dyDescent="0.25">
      <c r="A11" t="str">
        <f ca="1">OFFSET(Auckland_Reference,42,2)</f>
        <v>Local Train</v>
      </c>
      <c r="B11" s="4">
        <f ca="1">B165*'Total Trip Tables Sup #1'!B11</f>
        <v>0</v>
      </c>
      <c r="C11" s="4">
        <f ca="1">C165*'Total Trip Tables Sup #1'!C11</f>
        <v>0</v>
      </c>
      <c r="D11" s="4">
        <f ca="1">D165*'Total Trip Tables Sup #1'!D11</f>
        <v>0</v>
      </c>
      <c r="E11" s="4">
        <f ca="1">E165*'Total Trip Tables Sup #1'!E11</f>
        <v>0</v>
      </c>
      <c r="F11" s="4">
        <f ca="1">F165*'Total Trip Tables Sup #1'!F11</f>
        <v>0</v>
      </c>
      <c r="G11" s="4">
        <f ca="1">G165*'Total Trip Tables Sup #1'!G11</f>
        <v>0</v>
      </c>
      <c r="H11" s="4">
        <f ca="1">H165*'Total Trip Tables Sup #1'!H11</f>
        <v>0</v>
      </c>
      <c r="I11" s="1">
        <f ca="1">I165*'Total Trip Tables Sup #1'!I11</f>
        <v>0</v>
      </c>
      <c r="J11" s="1">
        <f ca="1">J165*'Total Trip Tables Sup #1'!J11</f>
        <v>0</v>
      </c>
      <c r="K11" s="1">
        <f ca="1">K165*'Total Trip Tables Sup #1'!K11</f>
        <v>0</v>
      </c>
    </row>
    <row r="12" spans="1:11" x14ac:dyDescent="0.25">
      <c r="A12" t="str">
        <f ca="1">OFFSET(Northland_Reference,42,2)</f>
        <v>Local Bus</v>
      </c>
      <c r="B12" s="4">
        <f ca="1">B166*'Total Trip Tables Sup #1'!B12</f>
        <v>3.6339219343</v>
      </c>
      <c r="C12" s="4">
        <f ca="1">C166*'Total Trip Tables Sup #1'!C12</f>
        <v>3.5859763932292972</v>
      </c>
      <c r="D12" s="4">
        <f ca="1">D166*'Total Trip Tables Sup #1'!D12</f>
        <v>3.5167069081268014</v>
      </c>
      <c r="E12" s="4">
        <f ca="1">E166*'Total Trip Tables Sup #1'!E12</f>
        <v>3.4789797606205419</v>
      </c>
      <c r="F12" s="4">
        <f ca="1">F166*'Total Trip Tables Sup #1'!F12</f>
        <v>3.3915722963531594</v>
      </c>
      <c r="G12" s="4">
        <f ca="1">G166*'Total Trip Tables Sup #1'!G12</f>
        <v>3.3194963068344294</v>
      </c>
      <c r="H12" s="4">
        <f ca="1">H166*'Total Trip Tables Sup #1'!H12</f>
        <v>3.2283463008547431</v>
      </c>
      <c r="I12" s="1">
        <f ca="1">I166*'Total Trip Tables Sup #1'!I12</f>
        <v>3.2479265533636075</v>
      </c>
      <c r="J12" s="1">
        <f ca="1">J166*'Total Trip Tables Sup #1'!J12</f>
        <v>3.2572438243741435</v>
      </c>
      <c r="K12" s="1">
        <f ca="1">K166*'Total Trip Tables Sup #1'!K12</f>
        <v>3.2595865940241238</v>
      </c>
    </row>
    <row r="13" spans="1:11" x14ac:dyDescent="0.25">
      <c r="A13" t="str">
        <f ca="1">OFFSET(Northland_Reference,49,2)</f>
        <v>Local Ferry</v>
      </c>
      <c r="B13" s="4">
        <f ca="1">B167*'Total Trip Tables Sup #1'!B13</f>
        <v>4.69171767E-2</v>
      </c>
      <c r="C13" s="4">
        <f ca="1">C167*'Total Trip Tables Sup #1'!C13</f>
        <v>5.1689332076252675E-2</v>
      </c>
      <c r="D13" s="4">
        <f ca="1">D167*'Total Trip Tables Sup #1'!D13</f>
        <v>5.4875060938372341E-2</v>
      </c>
      <c r="E13" s="4">
        <f ca="1">E167*'Total Trip Tables Sup #1'!E13</f>
        <v>5.6270550167348117E-2</v>
      </c>
      <c r="F13" s="4">
        <f ca="1">F167*'Total Trip Tables Sup #1'!F13</f>
        <v>5.666112750333005E-2</v>
      </c>
      <c r="G13" s="4">
        <f ca="1">G167*'Total Trip Tables Sup #1'!G13</f>
        <v>5.8024556066389475E-2</v>
      </c>
      <c r="H13" s="4">
        <f ca="1">H167*'Total Trip Tables Sup #1'!H13</f>
        <v>5.8758348527586594E-2</v>
      </c>
      <c r="I13" s="1">
        <f ca="1">I167*'Total Trip Tables Sup #1'!I13</f>
        <v>5.8118284399395766E-2</v>
      </c>
      <c r="J13" s="1">
        <f ca="1">J167*'Total Trip Tables Sup #1'!J13</f>
        <v>5.7314817648102229E-2</v>
      </c>
      <c r="K13" s="1">
        <f ca="1">K167*'Total Trip Tables Sup #1'!K13</f>
        <v>5.6413448548801426E-2</v>
      </c>
    </row>
    <row r="14" spans="1:11" x14ac:dyDescent="0.25">
      <c r="A14" t="str">
        <f ca="1">OFFSET(Northland_Reference,56,2)</f>
        <v>Other Household Travel</v>
      </c>
      <c r="B14" s="4">
        <f ca="1">B168*'Total Trip Tables Sup #1'!B14</f>
        <v>0.1184310407</v>
      </c>
      <c r="C14" s="4">
        <f ca="1">C168*'Total Trip Tables Sup #1'!C14</f>
        <v>0.12648132784852439</v>
      </c>
      <c r="D14" s="4">
        <f ca="1">D168*'Total Trip Tables Sup #1'!D14</f>
        <v>0.13301086240543603</v>
      </c>
      <c r="E14" s="4">
        <f ca="1">E168*'Total Trip Tables Sup #1'!E14</f>
        <v>0.13762699270874143</v>
      </c>
      <c r="F14" s="4">
        <f ca="1">F168*'Total Trip Tables Sup #1'!F14</f>
        <v>0.14081677298290643</v>
      </c>
      <c r="G14" s="4">
        <f ca="1">G168*'Total Trip Tables Sup #1'!G14</f>
        <v>0.14268658848085408</v>
      </c>
      <c r="H14" s="4">
        <f ca="1">H168*'Total Trip Tables Sup #1'!H14</f>
        <v>0.14241886215460972</v>
      </c>
      <c r="I14" s="1">
        <f ca="1">I168*'Total Trip Tables Sup #1'!I14</f>
        <v>0.14362569413126888</v>
      </c>
      <c r="J14" s="1">
        <f ca="1">J168*'Total Trip Tables Sup #1'!J14</f>
        <v>0.1443854861061426</v>
      </c>
      <c r="K14" s="1">
        <f ca="1">K168*'Total Trip Tables Sup #1'!K14</f>
        <v>0.14484098310444557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56">
        <f ca="1">(B159*'Total Trip Tables Sup #1'!B16)*(1+'Active Mode Assumptions'!B7)-('PT Assumptions'!B14*'Total Trip Tables Sup #2'!B170+'PT Assumptions'!B26*'Total Trip Tables Sup #2'!B173)</f>
        <v>324.81096006000001</v>
      </c>
      <c r="C16" s="4">
        <f ca="1">(C159*'Total Trip Tables Sup #1'!C16)*(1+'Active Mode Assumptions'!C7)-('PT Assumptions'!C14*'Total Trip Tables Sup #2'!C170+'PT Assumptions'!C26*'Total Trip Tables Sup #2'!C173)</f>
        <v>364.03911403793518</v>
      </c>
      <c r="D16" s="4">
        <f ca="1">(D159*'Total Trip Tables Sup #1'!D16)*(1+'Active Mode Assumptions'!D7)-('PT Assumptions'!D14*'Total Trip Tables Sup #2'!D170+'PT Assumptions'!D26*'Total Trip Tables Sup #2'!D173)</f>
        <v>414.96307192131292</v>
      </c>
      <c r="E16" s="4">
        <f ca="1">(E159*'Total Trip Tables Sup #1'!E16)*(1+'Active Mode Assumptions'!E7)-('PT Assumptions'!E14*'Total Trip Tables Sup #2'!E170+'PT Assumptions'!E26*'Total Trip Tables Sup #2'!E173)</f>
        <v>458.91204745746882</v>
      </c>
      <c r="F16" s="4">
        <f ca="1">(F159*'Total Trip Tables Sup #1'!F16)*(1+'Active Mode Assumptions'!F7)-('PT Assumptions'!F14*'Total Trip Tables Sup #2'!F170+'PT Assumptions'!F26*'Total Trip Tables Sup #2'!F173)</f>
        <v>499.78290455105559</v>
      </c>
      <c r="G16" s="4">
        <f ca="1">(G159*'Total Trip Tables Sup #1'!G16)*(1+'Active Mode Assumptions'!G7)-('PT Assumptions'!G14*'Total Trip Tables Sup #2'!G170+'PT Assumptions'!G26*'Total Trip Tables Sup #2'!G173)</f>
        <v>538.64056411273782</v>
      </c>
      <c r="H16" s="4">
        <f ca="1">(H159*'Total Trip Tables Sup #1'!H16)*(1+'Active Mode Assumptions'!H7)-('PT Assumptions'!H14*'Total Trip Tables Sup #2'!H170+'PT Assumptions'!H26*'Total Trip Tables Sup #2'!H173)</f>
        <v>576.04445036560128</v>
      </c>
      <c r="I16" s="1">
        <f ca="1">(I159*'Total Trip Tables Sup #1'!I16)*(1+'Active Mode Assumptions'!I7)-('PT Assumptions'!I14*'Total Trip Tables Sup #2'!I170+'PT Assumptions'!I26*'Total Trip Tables Sup #2'!I173)</f>
        <v>600.75804191986526</v>
      </c>
      <c r="J16" s="1">
        <f ca="1">(J159*'Total Trip Tables Sup #1'!J16)*(1+'Active Mode Assumptions'!J7)-('PT Assumptions'!J14*'Total Trip Tables Sup #2'!J170+'PT Assumptions'!J26*'Total Trip Tables Sup #2'!J173)</f>
        <v>624.53328453085157</v>
      </c>
      <c r="K16" s="1">
        <f ca="1">(K159*'Total Trip Tables Sup #1'!K16)*(1+'Active Mode Assumptions'!K7)-('PT Assumptions'!K14*'Total Trip Tables Sup #2'!K170+'PT Assumptions'!K26*'Total Trip Tables Sup #2'!K173)</f>
        <v>647.84131382391752</v>
      </c>
    </row>
    <row r="17" spans="1:11" x14ac:dyDescent="0.25">
      <c r="A17" t="str">
        <f ca="1">OFFSET(Auckland_Reference,7,2)</f>
        <v>Cyclist</v>
      </c>
      <c r="B17" s="56">
        <f ca="1">(B160*'Total Trip Tables Sup #1'!B17)*(1+'Active Mode Assumptions'!B16)-('PT Assumptions'!B15*'Total Trip Tables Sup #2'!B170+'PT Assumptions'!B27*'Total Trip Tables Sup #2'!B173)</f>
        <v>7.0506319707999996</v>
      </c>
      <c r="C17" s="4">
        <f ca="1">(C160*'Total Trip Tables Sup #1'!C17)*(1+'Active Mode Assumptions'!C16)-('PT Assumptions'!C15*'Total Trip Tables Sup #2'!C170+'PT Assumptions'!C27*'Total Trip Tables Sup #2'!C173)</f>
        <v>7.8903388534394159</v>
      </c>
      <c r="D17" s="4">
        <f ca="1">(D160*'Total Trip Tables Sup #1'!D17)*(1+'Active Mode Assumptions'!D16)-('PT Assumptions'!D15*'Total Trip Tables Sup #2'!D170+'PT Assumptions'!D27*'Total Trip Tables Sup #2'!D173)</f>
        <v>11.783621827601506</v>
      </c>
      <c r="E17" s="4">
        <f ca="1">(E160*'Total Trip Tables Sup #1'!E17)*(1+'Active Mode Assumptions'!E16)-('PT Assumptions'!E15*'Total Trip Tables Sup #2'!E170+'PT Assumptions'!E27*'Total Trip Tables Sup #2'!E173)</f>
        <v>15.710253635878768</v>
      </c>
      <c r="F17" s="4">
        <f ca="1">(F160*'Total Trip Tables Sup #1'!F17)*(1+'Active Mode Assumptions'!F16)-('PT Assumptions'!F15*'Total Trip Tables Sup #2'!F170+'PT Assumptions'!F27*'Total Trip Tables Sup #2'!F173)</f>
        <v>19.826977738523404</v>
      </c>
      <c r="G17" s="4">
        <f ca="1">(G160*'Total Trip Tables Sup #1'!G17)*(1+'Active Mode Assumptions'!G16)-('PT Assumptions'!G15*'Total Trip Tables Sup #2'!G170+'PT Assumptions'!G27*'Total Trip Tables Sup #2'!G173)</f>
        <v>24.106000328454972</v>
      </c>
      <c r="H17" s="4">
        <f ca="1">(H160*'Total Trip Tables Sup #1'!H17)*(1+'Active Mode Assumptions'!H16)-('PT Assumptions'!H15*'Total Trip Tables Sup #2'!H170+'PT Assumptions'!H27*'Total Trip Tables Sup #2'!H173)</f>
        <v>28.550888552713825</v>
      </c>
      <c r="I17" s="1">
        <f ca="1">(I160*'Total Trip Tables Sup #1'!I17)*(1+'Active Mode Assumptions'!I16)-('PT Assumptions'!I15*'Total Trip Tables Sup #2'!I170+'PT Assumptions'!I27*'Total Trip Tables Sup #2'!I173)</f>
        <v>29.954187557166385</v>
      </c>
      <c r="J17" s="1">
        <f ca="1">(J160*'Total Trip Tables Sup #1'!J17)*(1+'Active Mode Assumptions'!J16)-('PT Assumptions'!J15*'Total Trip Tables Sup #2'!J170+'PT Assumptions'!J27*'Total Trip Tables Sup #2'!J173)</f>
        <v>31.329580069254071</v>
      </c>
      <c r="K17" s="1">
        <f ca="1">(K160*'Total Trip Tables Sup #1'!K17)*(1+'Active Mode Assumptions'!K16)-('PT Assumptions'!K15*'Total Trip Tables Sup #2'!K170+'PT Assumptions'!K27*'Total Trip Tables Sup #2'!K173)</f>
        <v>32.700953054276944</v>
      </c>
    </row>
    <row r="18" spans="1:11" x14ac:dyDescent="0.25">
      <c r="A18" t="str">
        <f ca="1">OFFSET(Auckland_Reference,14,2)</f>
        <v>Light Vehicle Driver</v>
      </c>
      <c r="B18" s="56">
        <f ca="1">(B161*'Total Trip Tables Sup #1'!B18-'PT Assumptions'!B16*'Total Trip Tables Sup #2'!B170-'PT Assumptions'!B28*'Total Trip Tables Sup #2'!B173)-(B159*'Total Trip Tables Sup #1'!B16)*'Active Mode Assumptions'!B7*'Active Mode Assumptions'!B14-(B160*'Total Trip Tables Sup #1'!B17)*'Active Mode Assumptions'!B16*'Active Mode Assumptions'!B23</f>
        <v>981.24355252999999</v>
      </c>
      <c r="C18" s="4">
        <f ca="1">(C161*'Total Trip Tables Sup #1'!C18-'PT Assumptions'!C16*'Total Trip Tables Sup #2'!C170-'PT Assumptions'!C28*'Total Trip Tables Sup #2'!C173)-(C159*'Total Trip Tables Sup #1'!C16)*'Active Mode Assumptions'!C7*'Active Mode Assumptions'!C14-(C160*'Total Trip Tables Sup #1'!C17)*'Active Mode Assumptions'!C16*'Active Mode Assumptions'!C23</f>
        <v>1124.0249843336726</v>
      </c>
      <c r="D18" s="4">
        <f ca="1">(D161*'Total Trip Tables Sup #1'!D18-'PT Assumptions'!D16*'Total Trip Tables Sup #2'!D170-'PT Assumptions'!D28*'Total Trip Tables Sup #2'!D173)-(D159*'Total Trip Tables Sup #1'!D16)*'Active Mode Assumptions'!D7*'Active Mode Assumptions'!D14-(D160*'Total Trip Tables Sup #1'!D17)*'Active Mode Assumptions'!D16*'Active Mode Assumptions'!D23</f>
        <v>1216.3273068329916</v>
      </c>
      <c r="E18" s="4">
        <f ca="1">(E161*'Total Trip Tables Sup #1'!E18-'PT Assumptions'!E16*'Total Trip Tables Sup #2'!E170-'PT Assumptions'!E28*'Total Trip Tables Sup #2'!E173)-(E159*'Total Trip Tables Sup #1'!E16)*'Active Mode Assumptions'!E7*'Active Mode Assumptions'!E14-(E160*'Total Trip Tables Sup #1'!E17)*'Active Mode Assumptions'!E16*'Active Mode Assumptions'!E23</f>
        <v>1294.8530755810914</v>
      </c>
      <c r="F18" s="4">
        <f ca="1">(F161*'Total Trip Tables Sup #1'!F18-'PT Assumptions'!F16*'Total Trip Tables Sup #2'!F170-'PT Assumptions'!F28*'Total Trip Tables Sup #2'!F173)-(F159*'Total Trip Tables Sup #1'!F16)*'Active Mode Assumptions'!F7*'Active Mode Assumptions'!F14-(F160*'Total Trip Tables Sup #1'!F17)*'Active Mode Assumptions'!F16*'Active Mode Assumptions'!F23</f>
        <v>1368.7981971267561</v>
      </c>
      <c r="G18" s="4">
        <f ca="1">(G161*'Total Trip Tables Sup #1'!G18-'PT Assumptions'!G16*'Total Trip Tables Sup #2'!G170-'PT Assumptions'!G28*'Total Trip Tables Sup #2'!G173)-(G159*'Total Trip Tables Sup #1'!G16)*'Active Mode Assumptions'!G7*'Active Mode Assumptions'!G14-(G160*'Total Trip Tables Sup #1'!G17)*'Active Mode Assumptions'!G16*'Active Mode Assumptions'!G23</f>
        <v>1426.9229458537868</v>
      </c>
      <c r="H18" s="4">
        <f ca="1">(H161*'Total Trip Tables Sup #1'!H18-'PT Assumptions'!H16*'Total Trip Tables Sup #2'!H170-'PT Assumptions'!H28*'Total Trip Tables Sup #2'!H173)-(H159*'Total Trip Tables Sup #1'!H16)*'Active Mode Assumptions'!H7*'Active Mode Assumptions'!H14-(H160*'Total Trip Tables Sup #1'!H17)*'Active Mode Assumptions'!H16*'Active Mode Assumptions'!H23</f>
        <v>1478.3032647228695</v>
      </c>
      <c r="I18" s="1">
        <f ca="1">(I161*'Total Trip Tables Sup #1'!I18-'PT Assumptions'!I16*'Total Trip Tables Sup #2'!I170-'PT Assumptions'!I28*'Total Trip Tables Sup #2'!I173)-(I159*'Total Trip Tables Sup #1'!I16)*'Active Mode Assumptions'!I7*'Active Mode Assumptions'!I14-(I160*'Total Trip Tables Sup #1'!I17)*'Active Mode Assumptions'!I16*'Active Mode Assumptions'!I23</f>
        <v>1540.0939416334922</v>
      </c>
      <c r="J18" s="1">
        <f ca="1">(J161*'Total Trip Tables Sup #1'!J18-'PT Assumptions'!J16*'Total Trip Tables Sup #2'!J170-'PT Assumptions'!J28*'Total Trip Tables Sup #2'!J173)-(J159*'Total Trip Tables Sup #1'!J16)*'Active Mode Assumptions'!J7*'Active Mode Assumptions'!J14-(J160*'Total Trip Tables Sup #1'!J17)*'Active Mode Assumptions'!J16*'Active Mode Assumptions'!J23</f>
        <v>1599.205783280913</v>
      </c>
      <c r="K18" s="1">
        <f ca="1">(K161*'Total Trip Tables Sup #1'!K18-'PT Assumptions'!K16*'Total Trip Tables Sup #2'!K170-'PT Assumptions'!K28*'Total Trip Tables Sup #2'!K173)-(K159*'Total Trip Tables Sup #1'!K16)*'Active Mode Assumptions'!K7*'Active Mode Assumptions'!K14-(K160*'Total Trip Tables Sup #1'!K17)*'Active Mode Assumptions'!K16*'Active Mode Assumptions'!K23</f>
        <v>1656.7163245131533</v>
      </c>
    </row>
    <row r="19" spans="1:11" x14ac:dyDescent="0.25">
      <c r="A19" t="str">
        <f ca="1">OFFSET(Auckland_Reference,21,2)</f>
        <v>Light Vehicle Passenger</v>
      </c>
      <c r="B19" s="56">
        <f ca="1">(B162*'Total Trip Tables Sup #1'!B19-'PT Assumptions'!B17*'Total Trip Tables Sup #2'!B170-'PT Assumptions'!B29*'Total Trip Tables Sup #2'!B173)-(B159*'Total Trip Tables Sup #1'!B16)*'Active Mode Assumptions'!B7*'Active Mode Assumptions'!B15-(B160*'Total Trip Tables Sup #1'!B17)*'Active Mode Assumptions'!B16*'Active Mode Assumptions'!B24</f>
        <v>488.06073575000011</v>
      </c>
      <c r="C19" s="4">
        <f ca="1">(C162*'Total Trip Tables Sup #1'!C19-'PT Assumptions'!C17*'Total Trip Tables Sup #2'!C170-'PT Assumptions'!C29*'Total Trip Tables Sup #2'!C173)-(C159*'Total Trip Tables Sup #1'!C16)*'Active Mode Assumptions'!C7*'Active Mode Assumptions'!C15-(C160*'Total Trip Tables Sup #1'!C17)*'Active Mode Assumptions'!C16*'Active Mode Assumptions'!C24</f>
        <v>530.15227546773019</v>
      </c>
      <c r="D19" s="4">
        <f ca="1">(D162*'Total Trip Tables Sup #1'!D19-'PT Assumptions'!D17*'Total Trip Tables Sup #2'!D170-'PT Assumptions'!D29*'Total Trip Tables Sup #2'!D173)-(D159*'Total Trip Tables Sup #1'!D16)*'Active Mode Assumptions'!D7*'Active Mode Assumptions'!D15-(D160*'Total Trip Tables Sup #1'!D17)*'Active Mode Assumptions'!D16*'Active Mode Assumptions'!D24</f>
        <v>550.63771507160504</v>
      </c>
      <c r="E19" s="4">
        <f ca="1">(E162*'Total Trip Tables Sup #1'!E19-'PT Assumptions'!E17*'Total Trip Tables Sup #2'!E170-'PT Assumptions'!E29*'Total Trip Tables Sup #2'!E173)-(E159*'Total Trip Tables Sup #1'!E16)*'Active Mode Assumptions'!E7*'Active Mode Assumptions'!E15-(E160*'Total Trip Tables Sup #1'!E17)*'Active Mode Assumptions'!E16*'Active Mode Assumptions'!E24</f>
        <v>562.09479900903227</v>
      </c>
      <c r="F19" s="4">
        <f ca="1">(F162*'Total Trip Tables Sup #1'!F19-'PT Assumptions'!F17*'Total Trip Tables Sup #2'!F170-'PT Assumptions'!F29*'Total Trip Tables Sup #2'!F173)-(F159*'Total Trip Tables Sup #1'!F16)*'Active Mode Assumptions'!F7*'Active Mode Assumptions'!F15-(F160*'Total Trip Tables Sup #1'!F17)*'Active Mode Assumptions'!F16*'Active Mode Assumptions'!F24</f>
        <v>572.21341869932826</v>
      </c>
      <c r="G19" s="4">
        <f ca="1">(G162*'Total Trip Tables Sup #1'!G19-'PT Assumptions'!G17*'Total Trip Tables Sup #2'!G170-'PT Assumptions'!G29*'Total Trip Tables Sup #2'!G173)-(G159*'Total Trip Tables Sup #1'!G16)*'Active Mode Assumptions'!G7*'Active Mode Assumptions'!G15-(G160*'Total Trip Tables Sup #1'!G17)*'Active Mode Assumptions'!G16*'Active Mode Assumptions'!G24</f>
        <v>577.00378546797447</v>
      </c>
      <c r="H19" s="4">
        <f ca="1">(H162*'Total Trip Tables Sup #1'!H19-'PT Assumptions'!H17*'Total Trip Tables Sup #2'!H170-'PT Assumptions'!H29*'Total Trip Tables Sup #2'!H173)-(H159*'Total Trip Tables Sup #1'!H16)*'Active Mode Assumptions'!H7*'Active Mode Assumptions'!H15-(H160*'Total Trip Tables Sup #1'!H17)*'Active Mode Assumptions'!H16*'Active Mode Assumptions'!H24</f>
        <v>577.67642279748588</v>
      </c>
      <c r="I19" s="1">
        <f ca="1">(I162*'Total Trip Tables Sup #1'!I19-'PT Assumptions'!I17*'Total Trip Tables Sup #2'!I170-'PT Assumptions'!I29*'Total Trip Tables Sup #2'!I173)-(I159*'Total Trip Tables Sup #1'!I16)*'Active Mode Assumptions'!I7*'Active Mode Assumptions'!I15-(I160*'Total Trip Tables Sup #1'!I17)*'Active Mode Assumptions'!I16*'Active Mode Assumptions'!I24</f>
        <v>600.22703473575609</v>
      </c>
      <c r="J19" s="1">
        <f ca="1">(J162*'Total Trip Tables Sup #1'!J19-'PT Assumptions'!J17*'Total Trip Tables Sup #2'!J170-'PT Assumptions'!J29*'Total Trip Tables Sup #2'!J173)-(J159*'Total Trip Tables Sup #1'!J16)*'Active Mode Assumptions'!J7*'Active Mode Assumptions'!J15-(J160*'Total Trip Tables Sup #1'!J17)*'Active Mode Assumptions'!J16*'Active Mode Assumptions'!J24</f>
        <v>621.50561979066572</v>
      </c>
      <c r="K19" s="1">
        <f ca="1">(K162*'Total Trip Tables Sup #1'!K19-'PT Assumptions'!K17*'Total Trip Tables Sup #2'!K170-'PT Assumptions'!K29*'Total Trip Tables Sup #2'!K173)-(K159*'Total Trip Tables Sup #1'!K16)*'Active Mode Assumptions'!K7*'Active Mode Assumptions'!K15-(K160*'Total Trip Tables Sup #1'!K17)*'Active Mode Assumptions'!K16*'Active Mode Assumptions'!K24</f>
        <v>641.84015122277333</v>
      </c>
    </row>
    <row r="20" spans="1:11" x14ac:dyDescent="0.25">
      <c r="A20" t="str">
        <f ca="1">OFFSET(Auckland_Reference,28,2)</f>
        <v>Taxi/Vehicle Share</v>
      </c>
      <c r="B20" s="56">
        <f ca="1">B163*'Total Trip Tables Sup #1'!B20</f>
        <v>6.0232688673999997</v>
      </c>
      <c r="C20" s="4">
        <f ca="1">C163*'Total Trip Tables Sup #1'!C20</f>
        <v>7.245350344740495</v>
      </c>
      <c r="D20" s="4">
        <f ca="1">D163*'Total Trip Tables Sup #1'!D20</f>
        <v>8.2207952218594702</v>
      </c>
      <c r="E20" s="4">
        <f ca="1">E163*'Total Trip Tables Sup #1'!E20</f>
        <v>8.9946011360951879</v>
      </c>
      <c r="F20" s="4">
        <f ca="1">F163*'Total Trip Tables Sup #1'!F20</f>
        <v>9.6829544314429068</v>
      </c>
      <c r="G20" s="4">
        <f ca="1">G163*'Total Trip Tables Sup #1'!G20</f>
        <v>10.22858865926114</v>
      </c>
      <c r="H20" s="4">
        <f ca="1">H163*'Total Trip Tables Sup #1'!H20</f>
        <v>10.751135240105214</v>
      </c>
      <c r="I20" s="1">
        <f ca="1">I163*'Total Trip Tables Sup #1'!I20</f>
        <v>11.201558090408769</v>
      </c>
      <c r="J20" s="1">
        <f ca="1">J163*'Total Trip Tables Sup #1'!J20</f>
        <v>11.633290878838308</v>
      </c>
      <c r="K20" s="1">
        <f ca="1">K163*'Total Trip Tables Sup #1'!K20</f>
        <v>12.055294212445389</v>
      </c>
    </row>
    <row r="21" spans="1:11" x14ac:dyDescent="0.25">
      <c r="A21" t="str">
        <f ca="1">OFFSET(Auckland_Reference,35,2)</f>
        <v>Motorcyclist</v>
      </c>
      <c r="B21" s="56">
        <f ca="1">B164*'Total Trip Tables Sup #1'!B21</f>
        <v>4.1170216905999997</v>
      </c>
      <c r="C21" s="4">
        <f ca="1">C164*'Total Trip Tables Sup #1'!C21</f>
        <v>4.6448197521644916</v>
      </c>
      <c r="D21" s="4">
        <f ca="1">D164*'Total Trip Tables Sup #1'!D21</f>
        <v>4.9893283831154758</v>
      </c>
      <c r="E21" s="4">
        <f ca="1">E164*'Total Trip Tables Sup #1'!E21</f>
        <v>5.2568233341911421</v>
      </c>
      <c r="F21" s="4">
        <f ca="1">F164*'Total Trip Tables Sup #1'!F21</f>
        <v>5.4867226068560431</v>
      </c>
      <c r="G21" s="4">
        <f ca="1">G164*'Total Trip Tables Sup #1'!G21</f>
        <v>5.6088116760408564</v>
      </c>
      <c r="H21" s="4">
        <f ca="1">H164*'Total Trip Tables Sup #1'!H21</f>
        <v>5.688135031424018</v>
      </c>
      <c r="I21" s="1">
        <f ca="1">I164*'Total Trip Tables Sup #1'!I21</f>
        <v>5.9672785278755267</v>
      </c>
      <c r="J21" s="1">
        <f ca="1">J164*'Total Trip Tables Sup #1'!J21</f>
        <v>6.2403075131891805</v>
      </c>
      <c r="K21" s="1">
        <f ca="1">K164*'Total Trip Tables Sup #1'!K21</f>
        <v>6.5119009690902345</v>
      </c>
    </row>
    <row r="22" spans="1:11" x14ac:dyDescent="0.25">
      <c r="A22" t="str">
        <f ca="1">OFFSET(Auckland_Reference,42,2)</f>
        <v>Local Train</v>
      </c>
      <c r="B22" s="56">
        <f ca="1" xml:space="preserve"> 'Total Trip Tables Sup #1'!B22*(1+'PT Assumptions'!B7)</f>
        <v>10.038805999999999</v>
      </c>
      <c r="C22" s="4">
        <f ca="1" xml:space="preserve"> 'Total Trip Tables Sup #1'!C22*(1+'PT Assumptions'!C7)</f>
        <v>22.712377671536682</v>
      </c>
      <c r="D22" s="4">
        <f ca="1" xml:space="preserve"> 'Total Trip Tables Sup #1'!D22*(1+'PT Assumptions'!D7)</f>
        <v>39.099194663844074</v>
      </c>
      <c r="E22" s="4">
        <f ca="1" xml:space="preserve"> 'Total Trip Tables Sup #1'!E22*(1+'PT Assumptions'!E7)</f>
        <v>54.39269264550402</v>
      </c>
      <c r="F22" s="4">
        <f ca="1" xml:space="preserve"> 'Total Trip Tables Sup #1'!F22*(1+'PT Assumptions'!F7)</f>
        <v>60.719225183593366</v>
      </c>
      <c r="G22" s="4">
        <f ca="1" xml:space="preserve"> 'Total Trip Tables Sup #1'!G22*(1+'PT Assumptions'!G7)</f>
        <v>66.718141409283945</v>
      </c>
      <c r="H22" s="4">
        <f ca="1" xml:space="preserve"> 'Total Trip Tables Sup #1'!H22*(1+'PT Assumptions'!H7)</f>
        <v>72.281635131747578</v>
      </c>
      <c r="I22" s="1">
        <f ca="1" xml:space="preserve"> 'Total Trip Tables Sup #1'!I22*(1+'PT Assumptions'!I7)</f>
        <v>79.719333466498298</v>
      </c>
      <c r="J22" s="1">
        <f ca="1" xml:space="preserve"> 'Total Trip Tables Sup #1'!J22*(1+'PT Assumptions'!J7)</f>
        <v>87.592215515237953</v>
      </c>
      <c r="K22" s="1">
        <f ca="1" xml:space="preserve"> 'Total Trip Tables Sup #1'!K22*(1+'PT Assumptions'!K7)</f>
        <v>96.242603710330599</v>
      </c>
    </row>
    <row r="23" spans="1:11" x14ac:dyDescent="0.25">
      <c r="A23" t="str">
        <f ca="1">OFFSET(Auckland_Reference,49,2)</f>
        <v>Local Bus</v>
      </c>
      <c r="B23" s="56">
        <f ca="1" xml:space="preserve"> 'Total Trip Tables Sup #1'!B23*(1+'PT Assumptions'!B19)</f>
        <v>53.530078000000003</v>
      </c>
      <c r="C23" s="4">
        <f ca="1" xml:space="preserve"> 'Total Trip Tables Sup #1'!C23*(1+'PT Assumptions'!C19)</f>
        <v>63.569180113505666</v>
      </c>
      <c r="D23" s="4">
        <f ca="1" xml:space="preserve"> 'Total Trip Tables Sup #1'!D23*(1+'PT Assumptions'!D19)</f>
        <v>70.513002937881325</v>
      </c>
      <c r="E23" s="4">
        <f ca="1" xml:space="preserve"> 'Total Trip Tables Sup #1'!E23*(1+'PT Assumptions'!E19)</f>
        <v>74.682530616756566</v>
      </c>
      <c r="F23" s="4">
        <f ca="1" xml:space="preserve"> 'Total Trip Tables Sup #1'!F23*(1+'PT Assumptions'!F19)</f>
        <v>78.186085417313038</v>
      </c>
      <c r="G23" s="4">
        <f ca="1" xml:space="preserve"> 'Total Trip Tables Sup #1'!G23*(1+'PT Assumptions'!G19)</f>
        <v>80.965583865888775</v>
      </c>
      <c r="H23" s="4">
        <f ca="1" xml:space="preserve"> 'Total Trip Tables Sup #1'!H23*(1+'PT Assumptions'!H19)</f>
        <v>83.085303403461765</v>
      </c>
      <c r="I23" s="1">
        <f ca="1" xml:space="preserve"> 'Total Trip Tables Sup #1'!I23*(1+'PT Assumptions'!I19)</f>
        <v>89.43476898763906</v>
      </c>
      <c r="J23" s="1">
        <f ca="1" xml:space="preserve"> 'Total Trip Tables Sup #1'!J23*(1+'PT Assumptions'!J19)</f>
        <v>96.063926782349625</v>
      </c>
      <c r="K23" s="1">
        <f ca="1" xml:space="preserve"> 'Total Trip Tables Sup #1'!K23*(1+'PT Assumptions'!K19)</f>
        <v>103.18445648492796</v>
      </c>
    </row>
    <row r="24" spans="1:11" x14ac:dyDescent="0.25">
      <c r="A24" t="str">
        <f ca="1">OFFSET(Auckland_Reference,56,2)</f>
        <v>Local Ferry</v>
      </c>
      <c r="B24" s="56">
        <f ca="1">B167*'Total Trip Tables Sup #1'!B24*(1+'PT Assumptions'!B30)</f>
        <v>4.957052</v>
      </c>
      <c r="C24" s="4">
        <f ca="1">C167*'Total Trip Tables Sup #1'!C24*(1+'PT Assumptions'!C30)</f>
        <v>5.8147649084745439</v>
      </c>
      <c r="D24" s="4">
        <f ca="1">D167*'Total Trip Tables Sup #1'!D24*(1+'PT Assumptions'!D30)</f>
        <v>6.4867810972856068</v>
      </c>
      <c r="E24" s="4">
        <f ca="1">E167*'Total Trip Tables Sup #1'!E24*(1+'PT Assumptions'!E30)</f>
        <v>6.9196096438392969</v>
      </c>
      <c r="F24" s="4">
        <f ca="1">F167*'Total Trip Tables Sup #1'!F24*(1+'PT Assumptions'!F30)</f>
        <v>7.2446200748490117</v>
      </c>
      <c r="G24" s="4">
        <f ca="1">G167*'Total Trip Tables Sup #1'!G24*(1+'PT Assumptions'!G30)</f>
        <v>7.7037579546684265</v>
      </c>
      <c r="H24" s="4">
        <f ca="1">H167*'Total Trip Tables Sup #1'!H24*(1+'PT Assumptions'!H30)</f>
        <v>8.0980321201952492</v>
      </c>
      <c r="I24" s="1">
        <f ca="1">I167*'Total Trip Tables Sup #1'!I24*(1+'PT Assumptions'!I30)</f>
        <v>8.3146086216046413</v>
      </c>
      <c r="J24" s="1">
        <f ca="1">J167*'Total Trip Tables Sup #1'!J24*(1+'PT Assumptions'!J30)</f>
        <v>8.5116753755108654</v>
      </c>
      <c r="K24" s="1">
        <f ca="1">K167*'Total Trip Tables Sup #1'!K24*(1+'PT Assumptions'!K30)</f>
        <v>8.696608048742597</v>
      </c>
    </row>
    <row r="25" spans="1:11" x14ac:dyDescent="0.25">
      <c r="A25" t="str">
        <f ca="1">OFFSET(Auckland_Reference,63,2)</f>
        <v>Other Household Travel</v>
      </c>
      <c r="B25" s="56">
        <f ca="1">B168*'Total Trip Tables Sup #1'!B25</f>
        <v>2.2145179384000002</v>
      </c>
      <c r="C25" s="4">
        <f ca="1">C168*'Total Trip Tables Sup #1'!C25</f>
        <v>2.5181390572393614</v>
      </c>
      <c r="D25" s="4">
        <f ca="1">D168*'Total Trip Tables Sup #1'!D25</f>
        <v>2.7826807811053764</v>
      </c>
      <c r="E25" s="4">
        <f ca="1">E168*'Total Trip Tables Sup #1'!E25</f>
        <v>2.9952019264243521</v>
      </c>
      <c r="F25" s="4">
        <f ca="1">F168*'Total Trip Tables Sup #1'!F25</f>
        <v>3.186448050947102</v>
      </c>
      <c r="G25" s="4">
        <f ca="1">G168*'Total Trip Tables Sup #1'!G25</f>
        <v>3.3527101516584232</v>
      </c>
      <c r="H25" s="4">
        <f ca="1">H168*'Total Trip Tables Sup #1'!H25</f>
        <v>3.4737573447258714</v>
      </c>
      <c r="I25" s="1">
        <f ca="1">I168*'Total Trip Tables Sup #1'!I25</f>
        <v>3.6364968718879593</v>
      </c>
      <c r="J25" s="1">
        <f ca="1">J168*'Total Trip Tables Sup #1'!J25</f>
        <v>3.7948422610366292</v>
      </c>
      <c r="K25" s="1">
        <f ca="1">K168*'Total Trip Tables Sup #1'!K25</f>
        <v>3.9516708592153105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B159*'Total Trip Tables Sup #1'!B27</f>
        <v>68.689195601999998</v>
      </c>
      <c r="C27" s="4">
        <f ca="1">C159*'Total Trip Tables Sup #1'!C27*(1+'Active Mode Assumptions'!C7)</f>
        <v>74.468696370121833</v>
      </c>
      <c r="D27" s="4">
        <f ca="1">D159*'Total Trip Tables Sup #1'!D27*(1+'Active Mode Assumptions'!D7)</f>
        <v>82.018322684857893</v>
      </c>
      <c r="E27" s="4">
        <f ca="1">E159*'Total Trip Tables Sup #1'!E27*(1+'Active Mode Assumptions'!E7)</f>
        <v>88.396262245547163</v>
      </c>
      <c r="F27" s="4">
        <f ca="1">F159*'Total Trip Tables Sup #1'!F27*(1+'Active Mode Assumptions'!F7)</f>
        <v>93.992824423987543</v>
      </c>
      <c r="G27" s="4">
        <f ca="1">G159*'Total Trip Tables Sup #1'!G27*(1+'Active Mode Assumptions'!G7)</f>
        <v>99.089513957901303</v>
      </c>
      <c r="H27" s="4">
        <f ca="1">H159*'Total Trip Tables Sup #1'!H27*(1+'Active Mode Assumptions'!H7)</f>
        <v>103.80228893049807</v>
      </c>
      <c r="I27" s="1">
        <f ca="1">I159*'Total Trip Tables Sup #1'!I27*(1+'Active Mode Assumptions'!I7)</f>
        <v>106.03430736666608</v>
      </c>
      <c r="J27" s="1">
        <f ca="1">J159*'Total Trip Tables Sup #1'!J27*(1+'Active Mode Assumptions'!J7)</f>
        <v>107.97088038650189</v>
      </c>
      <c r="K27" s="1">
        <f ca="1">K159*'Total Trip Tables Sup #1'!K27*(1+'Active Mode Assumptions'!K7)</f>
        <v>109.70782720975409</v>
      </c>
    </row>
    <row r="28" spans="1:11" x14ac:dyDescent="0.25">
      <c r="A28" t="str">
        <f ca="1">OFFSET(Waikato_Reference,7,2)</f>
        <v>Cyclist</v>
      </c>
      <c r="B28" s="4">
        <f ca="1">B160*'Total Trip Tables Sup #1'!B28</f>
        <v>5.8956498267999997</v>
      </c>
      <c r="C28" s="4">
        <f ca="1">C160*'Total Trip Tables Sup #1'!C28*(1+'Active Mode Assumptions'!C16)</f>
        <v>6.3770047554585059</v>
      </c>
      <c r="D28" s="4">
        <f ca="1">D160*'Total Trip Tables Sup #1'!D28*(1+'Active Mode Assumptions'!D16)</f>
        <v>9.1972525068593942</v>
      </c>
      <c r="E28" s="4">
        <f ca="1">E160*'Total Trip Tables Sup #1'!E28*(1+'Active Mode Assumptions'!E16)</f>
        <v>11.945922829267861</v>
      </c>
      <c r="F28" s="4">
        <f ca="1">F160*'Total Trip Tables Sup #1'!F28*(1+'Active Mode Assumptions'!F16)</f>
        <v>14.714023327355932</v>
      </c>
      <c r="G28" s="4">
        <f ca="1">G160*'Total Trip Tables Sup #1'!G28*(1+'Active Mode Assumptions'!G16)</f>
        <v>17.492930337631144</v>
      </c>
      <c r="H28" s="4">
        <f ca="1">H160*'Total Trip Tables Sup #1'!H28*(1+'Active Mode Assumptions'!H16)</f>
        <v>20.28746524249933</v>
      </c>
      <c r="I28" s="1">
        <f ca="1">I160*'Total Trip Tables Sup #1'!I28*(1+'Active Mode Assumptions'!I16)</f>
        <v>20.841859134667576</v>
      </c>
      <c r="J28" s="1">
        <f ca="1">J160*'Total Trip Tables Sup #1'!J28*(1+'Active Mode Assumptions'!J16)</f>
        <v>21.34539700869265</v>
      </c>
      <c r="K28" s="1">
        <f ca="1">K160*'Total Trip Tables Sup #1'!K28*(1+'Active Mode Assumptions'!K16)</f>
        <v>21.816286316130324</v>
      </c>
    </row>
    <row r="29" spans="1:11" x14ac:dyDescent="0.25">
      <c r="A29" t="str">
        <f ca="1">OFFSET(Waikato_Reference,14,2)</f>
        <v>Light Vehicle Driver</v>
      </c>
      <c r="B29" s="4">
        <f ca="1">B161*'Total Trip Tables Sup #1'!B29</f>
        <v>305.41478153000003</v>
      </c>
      <c r="C29" s="4">
        <f ca="1">C161*'Total Trip Tables Sup #1'!C29-(C27*'Active Mode Assumptions'!C7*'Active Mode Assumptions'!C14/(1+'Active Mode Assumptions'!C7))-(C28*'Active Mode Assumptions'!C16*'Active Mode Assumptions'!C23/(1+'Active Mode Assumptions'!C16))</f>
        <v>339.73609829213825</v>
      </c>
      <c r="D29" s="4">
        <f ca="1">D161*'Total Trip Tables Sup #1'!D29-(D27*'Active Mode Assumptions'!D7*'Active Mode Assumptions'!D14/(1+'Active Mode Assumptions'!D7))-(D28*'Active Mode Assumptions'!D16*'Active Mode Assumptions'!D23/(1+'Active Mode Assumptions'!D16))</f>
        <v>356.80906299371742</v>
      </c>
      <c r="E29" s="4">
        <f ca="1">E161*'Total Trip Tables Sup #1'!E29-(E27*'Active Mode Assumptions'!E7*'Active Mode Assumptions'!E14/(1+'Active Mode Assumptions'!E7))-(E28*'Active Mode Assumptions'!E16*'Active Mode Assumptions'!E23/(1+'Active Mode Assumptions'!E16))</f>
        <v>371.61879999695986</v>
      </c>
      <c r="F29" s="4">
        <f ca="1">F161*'Total Trip Tables Sup #1'!F29-(F27*'Active Mode Assumptions'!F7*'Active Mode Assumptions'!F14/(1+'Active Mode Assumptions'!F7))-(F28*'Active Mode Assumptions'!F16*'Active Mode Assumptions'!F23/(1+'Active Mode Assumptions'!F16))</f>
        <v>384.38751501375162</v>
      </c>
      <c r="G29" s="4">
        <f ca="1">G161*'Total Trip Tables Sup #1'!G29-(G27*'Active Mode Assumptions'!G7*'Active Mode Assumptions'!G14/(1+'Active Mode Assumptions'!G7))-(G28*'Active Mode Assumptions'!G16*'Active Mode Assumptions'!G23/(1+'Active Mode Assumptions'!G16))</f>
        <v>392.83389607685888</v>
      </c>
      <c r="H29" s="4">
        <f ca="1">H161*'Total Trip Tables Sup #1'!H29-(H27*'Active Mode Assumptions'!H7*'Active Mode Assumptions'!H14/(1+'Active Mode Assumptions'!H7))-(H28*'Active Mode Assumptions'!H16*'Active Mode Assumptions'!H23/(1+'Active Mode Assumptions'!H16))</f>
        <v>399.54095058625097</v>
      </c>
      <c r="I29" s="1">
        <f ca="1">I161*'Total Trip Tables Sup #1'!I29-(I27*'Active Mode Assumptions'!I7*'Active Mode Assumptions'!I14/(1+'Active Mode Assumptions'!I7))-(I28*'Active Mode Assumptions'!I16*'Active Mode Assumptions'!I23/(1+'Active Mode Assumptions'!I16))</f>
        <v>408.26177939184413</v>
      </c>
      <c r="J29" s="1">
        <f ca="1">J161*'Total Trip Tables Sup #1'!J29-(J27*'Active Mode Assumptions'!J7*'Active Mode Assumptions'!J14/(1+'Active Mode Assumptions'!J7))-(J28*'Active Mode Assumptions'!J16*'Active Mode Assumptions'!J23/(1+'Active Mode Assumptions'!J16))</f>
        <v>415.84571847058646</v>
      </c>
      <c r="K29" s="1">
        <f ca="1">K161*'Total Trip Tables Sup #1'!K29-(K27*'Active Mode Assumptions'!K7*'Active Mode Assumptions'!K14/(1+'Active Mode Assumptions'!K7))-(K28*'Active Mode Assumptions'!K16*'Active Mode Assumptions'!K23/(1+'Active Mode Assumptions'!K16))</f>
        <v>422.66083179391632</v>
      </c>
    </row>
    <row r="30" spans="1:11" x14ac:dyDescent="0.25">
      <c r="A30" t="str">
        <f ca="1">OFFSET(Waikato_Reference,21,2)</f>
        <v>Light Vehicle Passenger</v>
      </c>
      <c r="B30" s="4">
        <f ca="1">B162*'Total Trip Tables Sup #1'!B30</f>
        <v>139.07206360000004</v>
      </c>
      <c r="C30" s="4">
        <f ca="1">C162*'Total Trip Tables Sup #1'!C30-(C27*'Active Mode Assumptions'!C7*'Active Mode Assumptions'!C15/(1+'Active Mode Assumptions'!C7))-(C28*'Active Mode Assumptions'!C16*'Active Mode Assumptions'!C24/(1+'Active Mode Assumptions'!C16))</f>
        <v>147.46451438669382</v>
      </c>
      <c r="D30" s="4">
        <f ca="1">D162*'Total Trip Tables Sup #1'!D30-(D27*'Active Mode Assumptions'!D7*'Active Mode Assumptions'!D15/(1+'Active Mode Assumptions'!D7))-(D28*'Active Mode Assumptions'!D16*'Active Mode Assumptions'!D24/(1+'Active Mode Assumptions'!D16))</f>
        <v>149.44375890120486</v>
      </c>
      <c r="E30" s="4">
        <f ca="1">E162*'Total Trip Tables Sup #1'!E30-(E27*'Active Mode Assumptions'!E7*'Active Mode Assumptions'!E15/(1+'Active Mode Assumptions'!E7))-(E28*'Active Mode Assumptions'!E16*'Active Mode Assumptions'!E24/(1+'Active Mode Assumptions'!E16))</f>
        <v>150.02894524532044</v>
      </c>
      <c r="F30" s="4">
        <f ca="1">F162*'Total Trip Tables Sup #1'!F30-(F27*'Active Mode Assumptions'!F7*'Active Mode Assumptions'!F15/(1+'Active Mode Assumptions'!F7))-(F28*'Active Mode Assumptions'!F16*'Active Mode Assumptions'!F24/(1+'Active Mode Assumptions'!F16))</f>
        <v>149.97881935191742</v>
      </c>
      <c r="G30" s="4">
        <f ca="1">G162*'Total Trip Tables Sup #1'!G30-(G27*'Active Mode Assumptions'!G7*'Active Mode Assumptions'!G15/(1+'Active Mode Assumptions'!G7))-(G28*'Active Mode Assumptions'!G16*'Active Mode Assumptions'!G24/(1+'Active Mode Assumptions'!G16))</f>
        <v>148.82894526782397</v>
      </c>
      <c r="H30" s="4">
        <f ca="1">H162*'Total Trip Tables Sup #1'!H30-(H27*'Active Mode Assumptions'!H7*'Active Mode Assumptions'!H15/(1+'Active Mode Assumptions'!H7))-(H28*'Active Mode Assumptions'!H16*'Active Mode Assumptions'!H24/(1+'Active Mode Assumptions'!H16))</f>
        <v>146.90339956938953</v>
      </c>
      <c r="I30" s="1">
        <f ca="1">I162*'Total Trip Tables Sup #1'!I30-(I27*'Active Mode Assumptions'!I7*'Active Mode Assumptions'!I15/(1+'Active Mode Assumptions'!I7))-(I28*'Active Mode Assumptions'!I16*'Active Mode Assumptions'!I24/(1+'Active Mode Assumptions'!I16))</f>
        <v>150.10087756728839</v>
      </c>
      <c r="J30" s="1">
        <f ca="1">J162*'Total Trip Tables Sup #1'!J30-(J27*'Active Mode Assumptions'!J7*'Active Mode Assumptions'!J15/(1+'Active Mode Assumptions'!J7))-(J28*'Active Mode Assumptions'!J16*'Active Mode Assumptions'!J24/(1+'Active Mode Assumptions'!J16))</f>
        <v>152.87903791322393</v>
      </c>
      <c r="K30" s="1">
        <f ca="1">K162*'Total Trip Tables Sup #1'!K30-(K27*'Active Mode Assumptions'!K7*'Active Mode Assumptions'!K15/(1+'Active Mode Assumptions'!K7))-(K28*'Active Mode Assumptions'!K16*'Active Mode Assumptions'!K24/(1+'Active Mode Assumptions'!K16))</f>
        <v>155.37320973534659</v>
      </c>
    </row>
    <row r="31" spans="1:11" x14ac:dyDescent="0.25">
      <c r="A31" t="str">
        <f ca="1">OFFSET(Waikato_Reference,28,2)</f>
        <v>Taxi/Vehicle Share</v>
      </c>
      <c r="B31" s="4">
        <f ca="1">B163*'Total Trip Tables Sup #1'!B31</f>
        <v>0.69122996950000004</v>
      </c>
      <c r="C31" s="4">
        <f ca="1">C163*'Total Trip Tables Sup #1'!C31</f>
        <v>0.80365037520357652</v>
      </c>
      <c r="D31" s="4">
        <f ca="1">D163*'Total Trip Tables Sup #1'!D31</f>
        <v>0.88060230741104506</v>
      </c>
      <c r="E31" s="4">
        <f ca="1">E163*'Total Trip Tables Sup #1'!E31</f>
        <v>0.9386530437957058</v>
      </c>
      <c r="F31" s="4">
        <f ca="1">F163*'Total Trip Tables Sup #1'!F31</f>
        <v>0.98621018742518352</v>
      </c>
      <c r="G31" s="4">
        <f ca="1">G163*'Total Trip Tables Sup #1'!G31</f>
        <v>1.0186847331607503</v>
      </c>
      <c r="H31" s="4">
        <f ca="1">H163*'Total Trip Tables Sup #1'!H31</f>
        <v>1.0484534668038756</v>
      </c>
      <c r="I31" s="1">
        <f ca="1">I163*'Total Trip Tables Sup #1'!I31</f>
        <v>1.0696557302099001</v>
      </c>
      <c r="J31" s="1">
        <f ca="1">J163*'Total Trip Tables Sup #1'!J31</f>
        <v>1.0877746295538704</v>
      </c>
      <c r="K31" s="1">
        <f ca="1">K163*'Total Trip Tables Sup #1'!K31</f>
        <v>1.1037860563421757</v>
      </c>
    </row>
    <row r="32" spans="1:11" x14ac:dyDescent="0.25">
      <c r="A32" t="str">
        <f ca="1">OFFSET(Waikato_Reference,35,2)</f>
        <v>Motorcyclist</v>
      </c>
      <c r="B32" s="4">
        <f ca="1">B164*'Total Trip Tables Sup #1'!B32</f>
        <v>1.8680965575999999</v>
      </c>
      <c r="C32" s="4">
        <f ca="1">C164*'Total Trip Tables Sup #1'!C32</f>
        <v>2.0370537196244198</v>
      </c>
      <c r="D32" s="4">
        <f ca="1">D164*'Total Trip Tables Sup #1'!D32</f>
        <v>2.1131675503928826</v>
      </c>
      <c r="E32" s="4">
        <f ca="1">E164*'Total Trip Tables Sup #1'!E32</f>
        <v>2.169064270651647</v>
      </c>
      <c r="F32" s="4">
        <f ca="1">F164*'Total Trip Tables Sup #1'!F32</f>
        <v>2.2095328140302763</v>
      </c>
      <c r="G32" s="4">
        <f ca="1">G164*'Total Trip Tables Sup #1'!G32</f>
        <v>2.2086189651644754</v>
      </c>
      <c r="H32" s="4">
        <f ca="1">H164*'Total Trip Tables Sup #1'!H32</f>
        <v>2.1932623727828453</v>
      </c>
      <c r="I32" s="1">
        <f ca="1">I164*'Total Trip Tables Sup #1'!I32</f>
        <v>2.2530340293684485</v>
      </c>
      <c r="J32" s="1">
        <f ca="1">J164*'Total Trip Tables Sup #1'!J32</f>
        <v>2.307109380421652</v>
      </c>
      <c r="K32" s="1">
        <f ca="1">K164*'Total Trip Tables Sup #1'!K32</f>
        <v>2.3574404560439346</v>
      </c>
    </row>
    <row r="33" spans="1:11" x14ac:dyDescent="0.25">
      <c r="A33" t="str">
        <f ca="1">OFFSET(Waikato_Reference,42,2)</f>
        <v>Local Train</v>
      </c>
      <c r="B33" s="4">
        <f ca="1">B165*'Total Trip Tables Sup #1'!B33</f>
        <v>0</v>
      </c>
      <c r="C33" s="4">
        <f ca="1">C165*'Total Trip Tables Sup #1'!C33</f>
        <v>0</v>
      </c>
      <c r="D33" s="4">
        <f ca="1">D165*'Total Trip Tables Sup #1'!D33</f>
        <v>0</v>
      </c>
      <c r="E33" s="4">
        <f ca="1">E165*'Total Trip Tables Sup #1'!E33</f>
        <v>0</v>
      </c>
      <c r="F33" s="4">
        <f ca="1">F165*'Total Trip Tables Sup #1'!F33</f>
        <v>0</v>
      </c>
      <c r="G33" s="4">
        <f ca="1">G165*'Total Trip Tables Sup #1'!G33</f>
        <v>0</v>
      </c>
      <c r="H33" s="4">
        <f ca="1">H165*'Total Trip Tables Sup #1'!H33</f>
        <v>0</v>
      </c>
      <c r="I33" s="1">
        <f ca="1">I165*'Total Trip Tables Sup #1'!I33</f>
        <v>0</v>
      </c>
      <c r="J33" s="1">
        <f ca="1">J165*'Total Trip Tables Sup #1'!J33</f>
        <v>0</v>
      </c>
      <c r="K33" s="1">
        <f ca="1">K165*'Total Trip Tables Sup #1'!K33</f>
        <v>0</v>
      </c>
    </row>
    <row r="34" spans="1:11" x14ac:dyDescent="0.25">
      <c r="A34" t="str">
        <f ca="1">OFFSET(Waikato_Reference,49,2)</f>
        <v>Local Bus</v>
      </c>
      <c r="B34" s="4">
        <f ca="1">B166*'Total Trip Tables Sup #1'!B34</f>
        <v>5.7199103379</v>
      </c>
      <c r="C34" s="4">
        <f ca="1">C166*'Total Trip Tables Sup #1'!C34</f>
        <v>5.8086892233529737</v>
      </c>
      <c r="D34" s="4">
        <f ca="1">D166*'Total Trip Tables Sup #1'!D34</f>
        <v>5.7808021224380397</v>
      </c>
      <c r="E34" s="4">
        <f ca="1">E166*'Total Trip Tables Sup #1'!E34</f>
        <v>5.7957178230213913</v>
      </c>
      <c r="F34" s="4">
        <f ca="1">F166*'Total Trip Tables Sup #1'!F34</f>
        <v>5.7335656737355416</v>
      </c>
      <c r="G34" s="4">
        <f ca="1">G166*'Total Trip Tables Sup #1'!G34</f>
        <v>5.6979520395586416</v>
      </c>
      <c r="H34" s="4">
        <f ca="1">H166*'Total Trip Tables Sup #1'!H34</f>
        <v>5.6326994308403773</v>
      </c>
      <c r="I34" s="1">
        <f ca="1">I166*'Total Trip Tables Sup #1'!I34</f>
        <v>5.7601331835320595</v>
      </c>
      <c r="J34" s="1">
        <f ca="1">J166*'Total Trip Tables Sup #1'!J34</f>
        <v>5.8717351421846855</v>
      </c>
      <c r="K34" s="1">
        <f ca="1">K166*'Total Trip Tables Sup #1'!K34</f>
        <v>5.9726707439268125</v>
      </c>
    </row>
    <row r="35" spans="1:11" x14ac:dyDescent="0.25">
      <c r="A35" t="str">
        <f ca="1">OFFSET(Waikato_Reference,56,2)</f>
        <v>Local Ferry</v>
      </c>
      <c r="B35" s="4">
        <f ca="1">B167*'Total Trip Tables Sup #1'!B35</f>
        <v>0.2446181519</v>
      </c>
      <c r="C35" s="4">
        <f ca="1">C167*'Total Trip Tables Sup #1'!C35</f>
        <v>0.27734147343122051</v>
      </c>
      <c r="D35" s="4">
        <f ca="1">D167*'Total Trip Tables Sup #1'!D35</f>
        <v>0.29879279968787342</v>
      </c>
      <c r="E35" s="4">
        <f ca="1">E167*'Total Trip Tables Sup #1'!E35</f>
        <v>0.31051291972975442</v>
      </c>
      <c r="F35" s="4">
        <f ca="1">F167*'Total Trip Tables Sup #1'!F35</f>
        <v>0.31728687519923687</v>
      </c>
      <c r="G35" s="4">
        <f ca="1">G167*'Total Trip Tables Sup #1'!G35</f>
        <v>0.32991465609154286</v>
      </c>
      <c r="H35" s="4">
        <f ca="1">H167*'Total Trip Tables Sup #1'!H35</f>
        <v>0.3395855691143152</v>
      </c>
      <c r="I35" s="1">
        <f ca="1">I167*'Total Trip Tables Sup #1'!I35</f>
        <v>0.34141476123244568</v>
      </c>
      <c r="J35" s="1">
        <f ca="1">J167*'Total Trip Tables Sup #1'!J35</f>
        <v>0.34223646876605635</v>
      </c>
      <c r="K35" s="1">
        <f ca="1">K167*'Total Trip Tables Sup #1'!K35</f>
        <v>0.34239852325712838</v>
      </c>
    </row>
    <row r="36" spans="1:11" x14ac:dyDescent="0.25">
      <c r="A36" t="str">
        <f ca="1">OFFSET(Waikato_Reference,63,2)</f>
        <v>Other Household Travel</v>
      </c>
      <c r="B36" s="4">
        <f ca="1">B168*'Total Trip Tables Sup #1'!B36</f>
        <v>1.8854250596</v>
      </c>
      <c r="C36" s="4">
        <f ca="1">C168*'Total Trip Tables Sup #1'!C36</f>
        <v>2.0721788337195424</v>
      </c>
      <c r="D36" s="4">
        <f ca="1">D168*'Total Trip Tables Sup #1'!D36</f>
        <v>2.2114093432923965</v>
      </c>
      <c r="E36" s="4">
        <f ca="1">E168*'Total Trip Tables Sup #1'!E36</f>
        <v>2.3189375469615814</v>
      </c>
      <c r="F36" s="4">
        <f ca="1">F168*'Total Trip Tables Sup #1'!F36</f>
        <v>2.407732315011363</v>
      </c>
      <c r="G36" s="4">
        <f ca="1">G168*'Total Trip Tables Sup #1'!G36</f>
        <v>2.4771930665570725</v>
      </c>
      <c r="H36" s="4">
        <f ca="1">H168*'Total Trip Tables Sup #1'!H36</f>
        <v>2.5132406519975445</v>
      </c>
      <c r="I36" s="1">
        <f ca="1">I168*'Total Trip Tables Sup #1'!I36</f>
        <v>2.5762533389644489</v>
      </c>
      <c r="J36" s="1">
        <f ca="1">J168*'Total Trip Tables Sup #1'!J36</f>
        <v>2.6325087856050469</v>
      </c>
      <c r="K36" s="1">
        <f ca="1">K168*'Total Trip Tables Sup #1'!K36</f>
        <v>2.6842787707373454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B159*'Total Trip Tables Sup #1'!B38</f>
        <v>43.402809341999998</v>
      </c>
      <c r="C38" s="4">
        <f ca="1">C159*'Total Trip Tables Sup #1'!C38*(1+'Active Mode Assumptions'!C7)</f>
        <v>46.40305209463807</v>
      </c>
      <c r="D38" s="4">
        <f ca="1">D159*'Total Trip Tables Sup #1'!D38*(1+'Active Mode Assumptions'!D7)</f>
        <v>50.759077383608684</v>
      </c>
      <c r="E38" s="4">
        <f ca="1">E159*'Total Trip Tables Sup #1'!E38*(1+'Active Mode Assumptions'!E7)</f>
        <v>54.341510379102395</v>
      </c>
      <c r="F38" s="4">
        <f ca="1">F159*'Total Trip Tables Sup #1'!F38*(1+'Active Mode Assumptions'!F7)</f>
        <v>57.41115221582529</v>
      </c>
      <c r="G38" s="4">
        <f ca="1">G159*'Total Trip Tables Sup #1'!G38*(1+'Active Mode Assumptions'!G7)</f>
        <v>60.113539505052813</v>
      </c>
      <c r="H38" s="4">
        <f ca="1">H159*'Total Trip Tables Sup #1'!H38*(1+'Active Mode Assumptions'!H7)</f>
        <v>62.547217819621117</v>
      </c>
      <c r="I38" s="1">
        <f ca="1">I159*'Total Trip Tables Sup #1'!I38*(1+'Active Mode Assumptions'!I7)</f>
        <v>63.460565014785459</v>
      </c>
      <c r="J38" s="1">
        <f ca="1">J159*'Total Trip Tables Sup #1'!J38*(1+'Active Mode Assumptions'!J7)</f>
        <v>64.183092340484848</v>
      </c>
      <c r="K38" s="1">
        <f ca="1">K159*'Total Trip Tables Sup #1'!K38*(1+'Active Mode Assumptions'!K7)</f>
        <v>64.775097169714627</v>
      </c>
    </row>
    <row r="39" spans="1:11" x14ac:dyDescent="0.25">
      <c r="A39" t="str">
        <f ca="1">OFFSET(BOP_Reference,7,2)</f>
        <v>Cyclist</v>
      </c>
      <c r="B39" s="4">
        <f ca="1">B160*'Total Trip Tables Sup #1'!B39</f>
        <v>5.1579391552000002</v>
      </c>
      <c r="C39" s="4">
        <f ca="1">C160*'Total Trip Tables Sup #1'!C39*(1+'Active Mode Assumptions'!C16)</f>
        <v>5.5017982361115134</v>
      </c>
      <c r="D39" s="4">
        <f ca="1">D160*'Total Trip Tables Sup #1'!D39*(1+'Active Mode Assumptions'!D16)</f>
        <v>7.8809045884807718</v>
      </c>
      <c r="E39" s="4">
        <f ca="1">E160*'Total Trip Tables Sup #1'!E39*(1+'Active Mode Assumptions'!E16)</f>
        <v>10.1679319712092</v>
      </c>
      <c r="F39" s="4">
        <f ca="1">F160*'Total Trip Tables Sup #1'!F39*(1+'Active Mode Assumptions'!F16)</f>
        <v>12.44365972690189</v>
      </c>
      <c r="G39" s="4">
        <f ca="1">G160*'Total Trip Tables Sup #1'!G39*(1+'Active Mode Assumptions'!G16)</f>
        <v>14.693399680747516</v>
      </c>
      <c r="H39" s="4">
        <f ca="1">H160*'Total Trip Tables Sup #1'!H39*(1+'Active Mode Assumptions'!H16)</f>
        <v>16.925596320616929</v>
      </c>
      <c r="I39" s="1">
        <f ca="1">I160*'Total Trip Tables Sup #1'!I39*(1+'Active Mode Assumptions'!I16)</f>
        <v>17.270666998232247</v>
      </c>
      <c r="J39" s="1">
        <f ca="1">J160*'Total Trip Tables Sup #1'!J39*(1+'Active Mode Assumptions'!J16)</f>
        <v>17.56844629192446</v>
      </c>
      <c r="K39" s="1">
        <f ca="1">K160*'Total Trip Tables Sup #1'!K39*(1+'Active Mode Assumptions'!K16)</f>
        <v>17.834724602762851</v>
      </c>
    </row>
    <row r="40" spans="1:11" x14ac:dyDescent="0.25">
      <c r="A40" t="str">
        <f ca="1">OFFSET(BOP_Reference,14,2)</f>
        <v>Light Vehicle Driver</v>
      </c>
      <c r="B40" s="4">
        <f ca="1">B161*'Total Trip Tables Sup #1'!B40</f>
        <v>178.59124365</v>
      </c>
      <c r="C40" s="4">
        <f ca="1">C161*'Total Trip Tables Sup #1'!C40-(C38*'Active Mode Assumptions'!C7*'Active Mode Assumptions'!C14/(1+'Active Mode Assumptions'!C7))-(C39*'Active Mode Assumptions'!C16*'Active Mode Assumptions'!C23/(1+'Active Mode Assumptions'!C16))</f>
        <v>195.90936134101173</v>
      </c>
      <c r="D40" s="4">
        <f ca="1">D161*'Total Trip Tables Sup #1'!D40-(D38*'Active Mode Assumptions'!D7*'Active Mode Assumptions'!D14/(1+'Active Mode Assumptions'!D7))-(D39*'Active Mode Assumptions'!D16*'Active Mode Assumptions'!D23/(1+'Active Mode Assumptions'!D16))</f>
        <v>204.11200285008144</v>
      </c>
      <c r="E40" s="4">
        <f ca="1">E161*'Total Trip Tables Sup #1'!E40-(E38*'Active Mode Assumptions'!E7*'Active Mode Assumptions'!E14/(1+'Active Mode Assumptions'!E7))-(E39*'Active Mode Assumptions'!E16*'Active Mode Assumptions'!E23/(1+'Active Mode Assumptions'!E16))</f>
        <v>210.93198367546626</v>
      </c>
      <c r="F40" s="4">
        <f ca="1">F161*'Total Trip Tables Sup #1'!F40-(F38*'Active Mode Assumptions'!F7*'Active Mode Assumptions'!F14/(1+'Active Mode Assumptions'!F7))-(F39*'Active Mode Assumptions'!F16*'Active Mode Assumptions'!F23/(1+'Active Mode Assumptions'!F16))</f>
        <v>216.54990304749421</v>
      </c>
      <c r="G40" s="4">
        <f ca="1">G161*'Total Trip Tables Sup #1'!G40-(G38*'Active Mode Assumptions'!G7*'Active Mode Assumptions'!G14/(1+'Active Mode Assumptions'!G7))-(G39*'Active Mode Assumptions'!G16*'Active Mode Assumptions'!G23/(1+'Active Mode Assumptions'!G16))</f>
        <v>219.5769478694975</v>
      </c>
      <c r="H40" s="4">
        <f ca="1">H161*'Total Trip Tables Sup #1'!H40-(H38*'Active Mode Assumptions'!H7*'Active Mode Assumptions'!H14/(1+'Active Mode Assumptions'!H7))-(H39*'Active Mode Assumptions'!H16*'Active Mode Assumptions'!H23/(1+'Active Mode Assumptions'!H16))</f>
        <v>221.58920488904437</v>
      </c>
      <c r="I40" s="1">
        <f ca="1">I161*'Total Trip Tables Sup #1'!I40-(I38*'Active Mode Assumptions'!I7*'Active Mode Assumptions'!I14/(1+'Active Mode Assumptions'!I7))-(I39*'Active Mode Assumptions'!I16*'Active Mode Assumptions'!I23/(1+'Active Mode Assumptions'!I16))</f>
        <v>224.89136907418407</v>
      </c>
      <c r="J40" s="1">
        <f ca="1">J161*'Total Trip Tables Sup #1'!J40-(J38*'Active Mode Assumptions'!J7*'Active Mode Assumptions'!J14/(1+'Active Mode Assumptions'!J7))-(J39*'Active Mode Assumptions'!J16*'Active Mode Assumptions'!J23/(1+'Active Mode Assumptions'!J16))</f>
        <v>227.51645881847207</v>
      </c>
      <c r="K40" s="1">
        <f ca="1">K161*'Total Trip Tables Sup #1'!K40-(K38*'Active Mode Assumptions'!K7*'Active Mode Assumptions'!K14/(1+'Active Mode Assumptions'!K7))-(K39*'Active Mode Assumptions'!K16*'Active Mode Assumptions'!K23/(1+'Active Mode Assumptions'!K16))</f>
        <v>229.67771867311828</v>
      </c>
    </row>
    <row r="41" spans="1:11" x14ac:dyDescent="0.25">
      <c r="A41" t="str">
        <f ca="1">OFFSET(BOP_Reference,21,2)</f>
        <v>Light Vehicle Passenger</v>
      </c>
      <c r="B41" s="4">
        <f ca="1">B162*'Total Trip Tables Sup #1'!B41</f>
        <v>98.719582360000032</v>
      </c>
      <c r="C41" s="4">
        <f ca="1">C162*'Total Trip Tables Sup #1'!C41-(C38*'Active Mode Assumptions'!C7*'Active Mode Assumptions'!C15/(1+'Active Mode Assumptions'!C7))-(C39*'Active Mode Assumptions'!C16*'Active Mode Assumptions'!C24/(1+'Active Mode Assumptions'!C16))</f>
        <v>103.22724107286597</v>
      </c>
      <c r="D41" s="4">
        <f ca="1">D162*'Total Trip Tables Sup #1'!D41-(D38*'Active Mode Assumptions'!D7*'Active Mode Assumptions'!D15/(1+'Active Mode Assumptions'!D7))-(D39*'Active Mode Assumptions'!D16*'Active Mode Assumptions'!D24/(1+'Active Mode Assumptions'!D16))</f>
        <v>103.88222982759441</v>
      </c>
      <c r="E41" s="4">
        <f ca="1">E162*'Total Trip Tables Sup #1'!E41-(E38*'Active Mode Assumptions'!E7*'Active Mode Assumptions'!E15/(1+'Active Mode Assumptions'!E7))-(E39*'Active Mode Assumptions'!E16*'Active Mode Assumptions'!E24/(1+'Active Mode Assumptions'!E16))</f>
        <v>103.57774497933936</v>
      </c>
      <c r="F41" s="4">
        <f ca="1">F162*'Total Trip Tables Sup #1'!F41-(F38*'Active Mode Assumptions'!F7*'Active Mode Assumptions'!F15/(1+'Active Mode Assumptions'!F7))-(F39*'Active Mode Assumptions'!F16*'Active Mode Assumptions'!F24/(1+'Active Mode Assumptions'!F16))</f>
        <v>102.86196676649701</v>
      </c>
      <c r="G41" s="4">
        <f ca="1">G162*'Total Trip Tables Sup #1'!G41-(G38*'Active Mode Assumptions'!G7*'Active Mode Assumptions'!G15/(1+'Active Mode Assumptions'!G7))-(G39*'Active Mode Assumptions'!G16*'Active Mode Assumptions'!G24/(1+'Active Mode Assumptions'!G16))</f>
        <v>101.36243208487706</v>
      </c>
      <c r="H41" s="4">
        <f ca="1">H162*'Total Trip Tables Sup #1'!H41-(H38*'Active Mode Assumptions'!H7*'Active Mode Assumptions'!H15/(1+'Active Mode Assumptions'!H7))-(H39*'Active Mode Assumptions'!H16*'Active Mode Assumptions'!H24/(1+'Active Mode Assumptions'!H16))</f>
        <v>99.354498530470579</v>
      </c>
      <c r="I41" s="1">
        <f ca="1">I162*'Total Trip Tables Sup #1'!I41-(I38*'Active Mode Assumptions'!I7*'Active Mode Assumptions'!I15/(1+'Active Mode Assumptions'!I7))-(I39*'Active Mode Assumptions'!I16*'Active Mode Assumptions'!I24/(1+'Active Mode Assumptions'!I16))</f>
        <v>100.8282487912693</v>
      </c>
      <c r="J41" s="1">
        <f ca="1">J162*'Total Trip Tables Sup #1'!J41-(J38*'Active Mode Assumptions'!J7*'Active Mode Assumptions'!J15/(1+'Active Mode Assumptions'!J7))-(J39*'Active Mode Assumptions'!J16*'Active Mode Assumptions'!J24/(1+'Active Mode Assumptions'!J16))</f>
        <v>101.99760015229312</v>
      </c>
      <c r="K41" s="1">
        <f ca="1">K162*'Total Trip Tables Sup #1'!K41-(K38*'Active Mode Assumptions'!K7*'Active Mode Assumptions'!K15/(1+'Active Mode Assumptions'!K7))-(K39*'Active Mode Assumptions'!K16*'Active Mode Assumptions'!K24/(1+'Active Mode Assumptions'!K16))</f>
        <v>102.95818623062877</v>
      </c>
    </row>
    <row r="42" spans="1:11" x14ac:dyDescent="0.25">
      <c r="A42" t="str">
        <f ca="1">OFFSET(BOP_Reference,28,2)</f>
        <v>Taxi/Vehicle Share</v>
      </c>
      <c r="B42" s="4">
        <f ca="1">B163*'Total Trip Tables Sup #1'!B42</f>
        <v>0.15552198610000001</v>
      </c>
      <c r="C42" s="4">
        <f ca="1">C163*'Total Trip Tables Sup #1'!C42</f>
        <v>0.17831167140090309</v>
      </c>
      <c r="D42" s="4">
        <f ca="1">D163*'Total Trip Tables Sup #1'!D42</f>
        <v>0.19405394625383088</v>
      </c>
      <c r="E42" s="4">
        <f ca="1">E163*'Total Trip Tables Sup #1'!E42</f>
        <v>0.20546730283309897</v>
      </c>
      <c r="F42" s="4">
        <f ca="1">F163*'Total Trip Tables Sup #1'!F42</f>
        <v>0.21449188758683901</v>
      </c>
      <c r="G42" s="4">
        <f ca="1">G163*'Total Trip Tables Sup #1'!G42</f>
        <v>0.22005144421315018</v>
      </c>
      <c r="H42" s="4">
        <f ca="1">H163*'Total Trip Tables Sup #1'!H42</f>
        <v>0.22495209912185951</v>
      </c>
      <c r="I42" s="1">
        <f ca="1">I163*'Total Trip Tables Sup #1'!I42</f>
        <v>0.2279509342195549</v>
      </c>
      <c r="J42" s="1">
        <f ca="1">J163*'Total Trip Tables Sup #1'!J42</f>
        <v>0.23024634465429381</v>
      </c>
      <c r="K42" s="1">
        <f ca="1">K163*'Total Trip Tables Sup #1'!K42</f>
        <v>0.23205727417239966</v>
      </c>
    </row>
    <row r="43" spans="1:11" x14ac:dyDescent="0.25">
      <c r="A43" t="str">
        <f ca="1">OFFSET(BOP_Reference,35,2)</f>
        <v>Motorcyclist</v>
      </c>
      <c r="B43" s="4">
        <f ca="1">B164*'Total Trip Tables Sup #1'!B43</f>
        <v>0.90641599910000004</v>
      </c>
      <c r="C43" s="4">
        <f ca="1">C164*'Total Trip Tables Sup #1'!C43</f>
        <v>0.97470705442943806</v>
      </c>
      <c r="D43" s="4">
        <f ca="1">D164*'Total Trip Tables Sup #1'!D43</f>
        <v>1.0042355724627932</v>
      </c>
      <c r="E43" s="4">
        <f ca="1">E164*'Total Trip Tables Sup #1'!E43</f>
        <v>1.0239271435513992</v>
      </c>
      <c r="F43" s="4">
        <f ca="1">F164*'Total Trip Tables Sup #1'!F43</f>
        <v>1.0363366341657039</v>
      </c>
      <c r="G43" s="4">
        <f ca="1">G164*'Total Trip Tables Sup #1'!G43</f>
        <v>1.0288788290332733</v>
      </c>
      <c r="H43" s="4">
        <f ca="1">H164*'Total Trip Tables Sup #1'!H43</f>
        <v>1.0148234315504896</v>
      </c>
      <c r="I43" s="1">
        <f ca="1">I164*'Total Trip Tables Sup #1'!I43</f>
        <v>1.0354380345931529</v>
      </c>
      <c r="J43" s="1">
        <f ca="1">J164*'Total Trip Tables Sup #1'!J43</f>
        <v>1.0531276414869231</v>
      </c>
      <c r="K43" s="1">
        <f ca="1">K164*'Total Trip Tables Sup #1'!K43</f>
        <v>1.0688334167092575</v>
      </c>
    </row>
    <row r="44" spans="1:11" x14ac:dyDescent="0.25">
      <c r="A44" t="str">
        <f ca="1">OFFSET(Auckland_Reference,42,2)</f>
        <v>Local Train</v>
      </c>
      <c r="B44" s="4">
        <f ca="1">B165*'Total Trip Tables Sup #1'!B44</f>
        <v>0</v>
      </c>
      <c r="C44" s="4">
        <f ca="1">C165*'Total Trip Tables Sup #1'!C44</f>
        <v>0</v>
      </c>
      <c r="D44" s="4">
        <f ca="1">D165*'Total Trip Tables Sup #1'!D44</f>
        <v>0</v>
      </c>
      <c r="E44" s="4">
        <f ca="1">E165*'Total Trip Tables Sup #1'!E44</f>
        <v>0</v>
      </c>
      <c r="F44" s="4">
        <f ca="1">F165*'Total Trip Tables Sup #1'!F44</f>
        <v>0</v>
      </c>
      <c r="G44" s="4">
        <f ca="1">G165*'Total Trip Tables Sup #1'!G44</f>
        <v>0</v>
      </c>
      <c r="H44" s="4">
        <f ca="1">H165*'Total Trip Tables Sup #1'!H44</f>
        <v>0</v>
      </c>
      <c r="I44" s="1">
        <f ca="1">I165*'Total Trip Tables Sup #1'!I44</f>
        <v>0</v>
      </c>
      <c r="J44" s="1">
        <f ca="1">J165*'Total Trip Tables Sup #1'!J44</f>
        <v>0</v>
      </c>
      <c r="K44" s="1">
        <f ca="1">K165*'Total Trip Tables Sup #1'!K44</f>
        <v>0</v>
      </c>
    </row>
    <row r="45" spans="1:11" x14ac:dyDescent="0.25">
      <c r="A45" t="str">
        <f ca="1">OFFSET(BOP_Reference,42,2)</f>
        <v>Local Bus</v>
      </c>
      <c r="B45" s="4">
        <f ca="1">B166*'Total Trip Tables Sup #1'!B45</f>
        <v>7.4672006229000001</v>
      </c>
      <c r="C45" s="4">
        <f ca="1">C166*'Total Trip Tables Sup #1'!C45</f>
        <v>7.4780803101247901</v>
      </c>
      <c r="D45" s="4">
        <f ca="1">D166*'Total Trip Tables Sup #1'!D45</f>
        <v>7.391458244929157</v>
      </c>
      <c r="E45" s="4">
        <f ca="1">E166*'Total Trip Tables Sup #1'!E45</f>
        <v>7.3611255378605271</v>
      </c>
      <c r="F45" s="4">
        <f ca="1">F166*'Total Trip Tables Sup #1'!F45</f>
        <v>7.2354499295986097</v>
      </c>
      <c r="G45" s="4">
        <f ca="1">G166*'Total Trip Tables Sup #1'!G45</f>
        <v>7.1417160588566757</v>
      </c>
      <c r="H45" s="4">
        <f ca="1">H166*'Total Trip Tables Sup #1'!H45</f>
        <v>7.0122409669141241</v>
      </c>
      <c r="I45" s="1">
        <f ca="1">I166*'Total Trip Tables Sup #1'!I45</f>
        <v>7.1224472894215927</v>
      </c>
      <c r="J45" s="1">
        <f ca="1">J166*'Total Trip Tables Sup #1'!J45</f>
        <v>7.2114009140511977</v>
      </c>
      <c r="K45" s="1">
        <f ca="1">K166*'Total Trip Tables Sup #1'!K45</f>
        <v>7.2858163740875979</v>
      </c>
    </row>
    <row r="46" spans="1:11" x14ac:dyDescent="0.25">
      <c r="A46" t="str">
        <f ca="1">OFFSET(Waikato_Reference,56,2)</f>
        <v>Local Ferry</v>
      </c>
      <c r="B46" s="4">
        <f ca="1">B167*'Total Trip Tables Sup #1'!B46</f>
        <v>0</v>
      </c>
      <c r="C46" s="4">
        <f ca="1">C167*'Total Trip Tables Sup #1'!C46</f>
        <v>0</v>
      </c>
      <c r="D46" s="4">
        <f ca="1">D167*'Total Trip Tables Sup #1'!D46</f>
        <v>0</v>
      </c>
      <c r="E46" s="4">
        <f ca="1">E167*'Total Trip Tables Sup #1'!E46</f>
        <v>0</v>
      </c>
      <c r="F46" s="4">
        <f ca="1">F167*'Total Trip Tables Sup #1'!F46</f>
        <v>0</v>
      </c>
      <c r="G46" s="4">
        <f ca="1">G167*'Total Trip Tables Sup #1'!G46</f>
        <v>0</v>
      </c>
      <c r="H46" s="4">
        <f ca="1">H167*'Total Trip Tables Sup #1'!H46</f>
        <v>0</v>
      </c>
      <c r="I46" s="1">
        <f ca="1">I167*'Total Trip Tables Sup #1'!I46</f>
        <v>0</v>
      </c>
      <c r="J46" s="1">
        <f ca="1">J167*'Total Trip Tables Sup #1'!J46</f>
        <v>0</v>
      </c>
      <c r="K46" s="1">
        <f ca="1">K167*'Total Trip Tables Sup #1'!K46</f>
        <v>0</v>
      </c>
    </row>
    <row r="47" spans="1:11" x14ac:dyDescent="0.25">
      <c r="A47" t="str">
        <f ca="1">OFFSET(BOP_Reference,49,2)</f>
        <v>Other Household Travel</v>
      </c>
      <c r="B47" s="4">
        <f ca="1">B168*'Total Trip Tables Sup #1'!B47</f>
        <v>0.59853678389999998</v>
      </c>
      <c r="C47" s="4">
        <f ca="1">C168*'Total Trip Tables Sup #1'!C47</f>
        <v>0.64871238391921104</v>
      </c>
      <c r="D47" s="4">
        <f ca="1">D168*'Total Trip Tables Sup #1'!D47</f>
        <v>0.68758142597129324</v>
      </c>
      <c r="E47" s="4">
        <f ca="1">E168*'Total Trip Tables Sup #1'!E47</f>
        <v>0.71620774978098345</v>
      </c>
      <c r="F47" s="4">
        <f ca="1">F168*'Total Trip Tables Sup #1'!F47</f>
        <v>0.7388596071235829</v>
      </c>
      <c r="G47" s="4">
        <f ca="1">G168*'Total Trip Tables Sup #1'!G47</f>
        <v>0.75501680438697027</v>
      </c>
      <c r="H47" s="4">
        <f ca="1">H168*'Total Trip Tables Sup #1'!H47</f>
        <v>0.76082942796036013</v>
      </c>
      <c r="I47" s="1">
        <f ca="1">I168*'Total Trip Tables Sup #1'!I47</f>
        <v>0.77463703824639107</v>
      </c>
      <c r="J47" s="1">
        <f ca="1">J168*'Total Trip Tables Sup #1'!J47</f>
        <v>0.78620533099263323</v>
      </c>
      <c r="K47" s="1">
        <f ca="1">K168*'Total Trip Tables Sup #1'!K47</f>
        <v>0.7962514497313572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B159*'Total Trip Tables Sup #1'!B49</f>
        <v>12.564280467</v>
      </c>
      <c r="C49" s="4">
        <f ca="1">C159*'Total Trip Tables Sup #1'!C49*(1+'Active Mode Assumptions'!C7)</f>
        <v>12.774502026432819</v>
      </c>
      <c r="D49" s="4">
        <f ca="1">D159*'Total Trip Tables Sup #1'!D49*(1+'Active Mode Assumptions'!D7)</f>
        <v>13.566942963729852</v>
      </c>
      <c r="E49" s="4">
        <f ca="1">E159*'Total Trip Tables Sup #1'!E49*(1+'Active Mode Assumptions'!E7)</f>
        <v>14.192713888645935</v>
      </c>
      <c r="F49" s="4">
        <f ca="1">F159*'Total Trip Tables Sup #1'!F49*(1+'Active Mode Assumptions'!F7)</f>
        <v>14.657732777232795</v>
      </c>
      <c r="G49" s="4">
        <f ca="1">G159*'Total Trip Tables Sup #1'!G49*(1+'Active Mode Assumptions'!G7)</f>
        <v>14.98601307516693</v>
      </c>
      <c r="H49" s="4">
        <f ca="1">H159*'Total Trip Tables Sup #1'!H49*(1+'Active Mode Assumptions'!H7)</f>
        <v>15.22738100231618</v>
      </c>
      <c r="I49" s="1">
        <f ca="1">I159*'Total Trip Tables Sup #1'!I49*(1+'Active Mode Assumptions'!I7)</f>
        <v>15.087752909240047</v>
      </c>
      <c r="J49" s="1">
        <f ca="1">J159*'Total Trip Tables Sup #1'!J49*(1+'Active Mode Assumptions'!J7)</f>
        <v>14.902004043201638</v>
      </c>
      <c r="K49" s="1">
        <f ca="1">K159*'Total Trip Tables Sup #1'!K49*(1+'Active Mode Assumptions'!K7)</f>
        <v>14.687082122743336</v>
      </c>
    </row>
    <row r="50" spans="1:11" x14ac:dyDescent="0.25">
      <c r="A50" t="str">
        <f ca="1">OFFSET(Gisborne_Reference,7,2)</f>
        <v>Cyclist</v>
      </c>
      <c r="B50" s="4">
        <f ca="1">B160*'Total Trip Tables Sup #1'!B50</f>
        <v>1.1119455742</v>
      </c>
      <c r="C50" s="4">
        <f ca="1">C160*'Total Trip Tables Sup #1'!C50*(1+'Active Mode Assumptions'!C16)</f>
        <v>1.1279494250697324</v>
      </c>
      <c r="D50" s="4">
        <f ca="1">D160*'Total Trip Tables Sup #1'!D50*(1+'Active Mode Assumptions'!D16)</f>
        <v>1.5686710577387575</v>
      </c>
      <c r="E50" s="4">
        <f ca="1">E160*'Total Trip Tables Sup #1'!E50*(1+'Active Mode Assumptions'!E16)</f>
        <v>1.9776703806375544</v>
      </c>
      <c r="F50" s="4">
        <f ca="1">F160*'Total Trip Tables Sup #1'!F50*(1+'Active Mode Assumptions'!F16)</f>
        <v>2.3659534634488324</v>
      </c>
      <c r="G50" s="4">
        <f ca="1">G160*'Total Trip Tables Sup #1'!G50*(1+'Active Mode Assumptions'!G16)</f>
        <v>2.7278697745500615</v>
      </c>
      <c r="H50" s="4">
        <f ca="1">H160*'Total Trip Tables Sup #1'!H50*(1+'Active Mode Assumptions'!H16)</f>
        <v>3.0686597077721829</v>
      </c>
      <c r="I50" s="1">
        <f ca="1">I160*'Total Trip Tables Sup #1'!I50*(1+'Active Mode Assumptions'!I16)</f>
        <v>3.057857716067744</v>
      </c>
      <c r="J50" s="1">
        <f ca="1">J160*'Total Trip Tables Sup #1'!J50*(1+'Active Mode Assumptions'!J16)</f>
        <v>3.0377003355681844</v>
      </c>
      <c r="K50" s="1">
        <f ca="1">K160*'Total Trip Tables Sup #1'!K50*(1+'Active Mode Assumptions'!K16)</f>
        <v>3.0114897693440916</v>
      </c>
    </row>
    <row r="51" spans="1:11" x14ac:dyDescent="0.25">
      <c r="A51" t="str">
        <f ca="1">OFFSET(Gisborne_Reference,14,2)</f>
        <v>Light Vehicle Driver</v>
      </c>
      <c r="B51" s="4">
        <f ca="1">B161*'Total Trip Tables Sup #1'!B51</f>
        <v>28.776347379000001</v>
      </c>
      <c r="C51" s="4">
        <f ca="1">C161*'Total Trip Tables Sup #1'!C51-(C49*'Active Mode Assumptions'!C7*'Active Mode Assumptions'!C14/(1+'Active Mode Assumptions'!C7))-(C50*'Active Mode Assumptions'!C16*'Active Mode Assumptions'!C23/(1+'Active Mode Assumptions'!C16))</f>
        <v>30.019838147489846</v>
      </c>
      <c r="D51" s="4">
        <f ca="1">D161*'Total Trip Tables Sup #1'!D51-(D49*'Active Mode Assumptions'!D7*'Active Mode Assumptions'!D14/(1+'Active Mode Assumptions'!D7))-(D50*'Active Mode Assumptions'!D16*'Active Mode Assumptions'!D23/(1+'Active Mode Assumptions'!D16))</f>
        <v>30.252923379054725</v>
      </c>
      <c r="E51" s="4">
        <f ca="1">E161*'Total Trip Tables Sup #1'!E51-(E49*'Active Mode Assumptions'!E7*'Active Mode Assumptions'!E14/(1+'Active Mode Assumptions'!E7))-(E50*'Active Mode Assumptions'!E16*'Active Mode Assumptions'!E23/(1+'Active Mode Assumptions'!E16))</f>
        <v>30.440160119337285</v>
      </c>
      <c r="F51" s="4">
        <f ca="1">F161*'Total Trip Tables Sup #1'!F51-(F49*'Active Mode Assumptions'!F7*'Active Mode Assumptions'!F14/(1+'Active Mode Assumptions'!F7))-(F50*'Active Mode Assumptions'!F16*'Active Mode Assumptions'!F23/(1+'Active Mode Assumptions'!F16))</f>
        <v>30.444690344218277</v>
      </c>
      <c r="G51" s="4">
        <f ca="1">G161*'Total Trip Tables Sup #1'!G51-(G49*'Active Mode Assumptions'!G7*'Active Mode Assumptions'!G14/(1+'Active Mode Assumptions'!G7))-(G50*'Active Mode Assumptions'!G16*'Active Mode Assumptions'!G23/(1+'Active Mode Assumptions'!G16))</f>
        <v>30.04135577546003</v>
      </c>
      <c r="H51" s="4">
        <f ca="1">H161*'Total Trip Tables Sup #1'!H51-(H49*'Active Mode Assumptions'!H7*'Active Mode Assumptions'!H14/(1+'Active Mode Assumptions'!H7))-(H50*'Active Mode Assumptions'!H16*'Active Mode Assumptions'!H23/(1+'Active Mode Assumptions'!H16))</f>
        <v>29.508972278070171</v>
      </c>
      <c r="I51" s="1">
        <f ca="1">I161*'Total Trip Tables Sup #1'!I51-(I49*'Active Mode Assumptions'!I7*'Active Mode Assumptions'!I14/(1+'Active Mode Assumptions'!I7))-(I50*'Active Mode Assumptions'!I16*'Active Mode Assumptions'!I23/(1+'Active Mode Assumptions'!I16))</f>
        <v>29.246446203772415</v>
      </c>
      <c r="J51" s="1">
        <f ca="1">J161*'Total Trip Tables Sup #1'!J51-(J49*'Active Mode Assumptions'!J7*'Active Mode Assumptions'!J14/(1+'Active Mode Assumptions'!J7))-(J50*'Active Mode Assumptions'!J16*'Active Mode Assumptions'!J23/(1+'Active Mode Assumptions'!J16))</f>
        <v>28.893998652524413</v>
      </c>
      <c r="K51" s="1">
        <f ca="1">K161*'Total Trip Tables Sup #1'!K51-(K49*'Active Mode Assumptions'!K7*'Active Mode Assumptions'!K14/(1+'Active Mode Assumptions'!K7))-(K50*'Active Mode Assumptions'!K16*'Active Mode Assumptions'!K23/(1+'Active Mode Assumptions'!K16))</f>
        <v>28.484453963787722</v>
      </c>
    </row>
    <row r="52" spans="1:11" x14ac:dyDescent="0.25">
      <c r="A52" t="str">
        <f ca="1">OFFSET(Gisborne_Reference,21,2)</f>
        <v>Light Vehicle Passenger</v>
      </c>
      <c r="B52" s="4">
        <f ca="1">B162*'Total Trip Tables Sup #1'!B52</f>
        <v>18.791024854000003</v>
      </c>
      <c r="C52" s="4">
        <f ca="1">C162*'Total Trip Tables Sup #1'!C52-(C49*'Active Mode Assumptions'!C7*'Active Mode Assumptions'!C15/(1+'Active Mode Assumptions'!C7))-(C50*'Active Mode Assumptions'!C16*'Active Mode Assumptions'!C24/(1+'Active Mode Assumptions'!C16))</f>
        <v>18.686119824994321</v>
      </c>
      <c r="D52" s="4">
        <f ca="1">D162*'Total Trip Tables Sup #1'!D52-(D49*'Active Mode Assumptions'!D7*'Active Mode Assumptions'!D15/(1+'Active Mode Assumptions'!D7))-(D50*'Active Mode Assumptions'!D16*'Active Mode Assumptions'!D24/(1+'Active Mode Assumptions'!D16))</f>
        <v>18.178455389985213</v>
      </c>
      <c r="E52" s="4">
        <f ca="1">E162*'Total Trip Tables Sup #1'!E52-(E49*'Active Mode Assumptions'!E7*'Active Mode Assumptions'!E15/(1+'Active Mode Assumptions'!E7))-(E50*'Active Mode Assumptions'!E16*'Active Mode Assumptions'!E24/(1+'Active Mode Assumptions'!E16))</f>
        <v>17.632112113527633</v>
      </c>
      <c r="F52" s="4">
        <f ca="1">F162*'Total Trip Tables Sup #1'!F52-(F49*'Active Mode Assumptions'!F7*'Active Mode Assumptions'!F15/(1+'Active Mode Assumptions'!F7))-(F50*'Active Mode Assumptions'!F16*'Active Mode Assumptions'!F24/(1+'Active Mode Assumptions'!F16))</f>
        <v>17.039239588171753</v>
      </c>
      <c r="G52" s="4">
        <f ca="1">G162*'Total Trip Tables Sup #1'!G52-(G49*'Active Mode Assumptions'!G7*'Active Mode Assumptions'!G15/(1+'Active Mode Assumptions'!G7))-(G50*'Active Mode Assumptions'!G16*'Active Mode Assumptions'!G24/(1+'Active Mode Assumptions'!G16))</f>
        <v>16.31824164453732</v>
      </c>
      <c r="H52" s="4">
        <f ca="1">H162*'Total Trip Tables Sup #1'!H52-(H49*'Active Mode Assumptions'!H7*'Active Mode Assumptions'!H15/(1+'Active Mode Assumptions'!H7))-(H50*'Active Mode Assumptions'!H16*'Active Mode Assumptions'!H24/(1+'Active Mode Assumptions'!H16))</f>
        <v>15.544237773225529</v>
      </c>
      <c r="I52" s="1">
        <f ca="1">I162*'Total Trip Tables Sup #1'!I52-(I49*'Active Mode Assumptions'!I7*'Active Mode Assumptions'!I15/(1+'Active Mode Assumptions'!I7))-(I50*'Active Mode Assumptions'!I16*'Active Mode Assumptions'!I24/(1+'Active Mode Assumptions'!I16))</f>
        <v>15.404949810148329</v>
      </c>
      <c r="J52" s="1">
        <f ca="1">J162*'Total Trip Tables Sup #1'!J52-(J49*'Active Mode Assumptions'!J7*'Active Mode Assumptions'!J15/(1+'Active Mode Assumptions'!J7))-(J50*'Active Mode Assumptions'!J16*'Active Mode Assumptions'!J24/(1+'Active Mode Assumptions'!J16))</f>
        <v>15.218218163759792</v>
      </c>
      <c r="K52" s="1">
        <f ca="1">K162*'Total Trip Tables Sup #1'!K52-(K49*'Active Mode Assumptions'!K7*'Active Mode Assumptions'!K15/(1+'Active Mode Assumptions'!K7))-(K50*'Active Mode Assumptions'!K16*'Active Mode Assumptions'!K24/(1+'Active Mode Assumptions'!K16))</f>
        <v>15.001343199265474</v>
      </c>
    </row>
    <row r="53" spans="1:11" x14ac:dyDescent="0.25">
      <c r="A53" t="str">
        <f ca="1">OFFSET(Gisborne_Reference,28,2)</f>
        <v>Taxi/Vehicle Share</v>
      </c>
      <c r="B53" s="4">
        <f ca="1">B163*'Total Trip Tables Sup #1'!B53</f>
        <v>2.27015811E-2</v>
      </c>
      <c r="C53" s="4">
        <f ca="1">C163*'Total Trip Tables Sup #1'!C53</f>
        <v>2.4752651899281941E-2</v>
      </c>
      <c r="D53" s="4">
        <f ca="1">D163*'Total Trip Tables Sup #1'!D53</f>
        <v>2.615382955042447E-2</v>
      </c>
      <c r="E53" s="4">
        <f ca="1">E163*'Total Trip Tables Sup #1'!E53</f>
        <v>2.7059576372044657E-2</v>
      </c>
      <c r="F53" s="4">
        <f ca="1">F163*'Total Trip Tables Sup #1'!F53</f>
        <v>2.7613784958557281E-2</v>
      </c>
      <c r="G53" s="4">
        <f ca="1">G163*'Total Trip Tables Sup #1'!G53</f>
        <v>2.7661935273079391E-2</v>
      </c>
      <c r="H53" s="4">
        <f ca="1">H163*'Total Trip Tables Sup #1'!H53</f>
        <v>2.7615429262617956E-2</v>
      </c>
      <c r="I53" s="1">
        <f ca="1">I163*'Total Trip Tables Sup #1'!I53</f>
        <v>2.7327917347376461E-2</v>
      </c>
      <c r="J53" s="1">
        <f ca="1">J163*'Total Trip Tables Sup #1'!J53</f>
        <v>2.6956364113491043E-2</v>
      </c>
      <c r="K53" s="1">
        <f ca="1">K163*'Total Trip Tables Sup #1'!K53</f>
        <v>2.6531827630149961E-2</v>
      </c>
    </row>
    <row r="54" spans="1:11" x14ac:dyDescent="0.25">
      <c r="A54" t="str">
        <f ca="1">OFFSET(Gisborne_Reference,35,2)</f>
        <v>Motorcyclist</v>
      </c>
      <c r="B54" s="4">
        <f ca="1">B164*'Total Trip Tables Sup #1'!B54</f>
        <v>0.20072163900000001</v>
      </c>
      <c r="C54" s="4">
        <f ca="1">C164*'Total Trip Tables Sup #1'!C54</f>
        <v>0.20526664917559082</v>
      </c>
      <c r="D54" s="4">
        <f ca="1">D164*'Total Trip Tables Sup #1'!D54</f>
        <v>0.20532920767895782</v>
      </c>
      <c r="E54" s="4">
        <f ca="1">E164*'Total Trip Tables Sup #1'!E54</f>
        <v>0.20457362902326812</v>
      </c>
      <c r="F54" s="4">
        <f ca="1">F164*'Total Trip Tables Sup #1'!F54</f>
        <v>0.20240360248801348</v>
      </c>
      <c r="G54" s="4">
        <f ca="1">G164*'Total Trip Tables Sup #1'!G54</f>
        <v>0.1962116946062748</v>
      </c>
      <c r="H54" s="4">
        <f ca="1">H164*'Total Trip Tables Sup #1'!H54</f>
        <v>0.18899684511623024</v>
      </c>
      <c r="I54" s="1">
        <f ca="1">I164*'Total Trip Tables Sup #1'!I54</f>
        <v>0.18831789585940106</v>
      </c>
      <c r="J54" s="1">
        <f ca="1">J164*'Total Trip Tables Sup #1'!J54</f>
        <v>0.18704749734693937</v>
      </c>
      <c r="K54" s="1">
        <f ca="1">K164*'Total Trip Tables Sup #1'!K54</f>
        <v>0.18538915464580108</v>
      </c>
    </row>
    <row r="55" spans="1:11" x14ac:dyDescent="0.25">
      <c r="A55" t="str">
        <f ca="1">OFFSET(Gisborne_Reference,42,2)</f>
        <v>Local Train</v>
      </c>
      <c r="B55" s="4">
        <f ca="1">B165*'Total Trip Tables Sup #1'!B55</f>
        <v>0</v>
      </c>
      <c r="C55" s="4">
        <f ca="1">C165*'Total Trip Tables Sup #1'!C55</f>
        <v>0</v>
      </c>
      <c r="D55" s="4">
        <f ca="1">D165*'Total Trip Tables Sup #1'!D55</f>
        <v>0</v>
      </c>
      <c r="E55" s="4">
        <f ca="1">E165*'Total Trip Tables Sup #1'!E55</f>
        <v>0</v>
      </c>
      <c r="F55" s="4">
        <f ca="1">F165*'Total Trip Tables Sup #1'!F55</f>
        <v>0</v>
      </c>
      <c r="G55" s="4">
        <f ca="1">G165*'Total Trip Tables Sup #1'!G55</f>
        <v>0</v>
      </c>
      <c r="H55" s="4">
        <f ca="1">H165*'Total Trip Tables Sup #1'!H55</f>
        <v>0</v>
      </c>
      <c r="I55" s="1">
        <f ca="1">I165*'Total Trip Tables Sup #1'!I55</f>
        <v>0</v>
      </c>
      <c r="J55" s="1">
        <f ca="1">J165*'Total Trip Tables Sup #1'!J55</f>
        <v>0</v>
      </c>
      <c r="K55" s="1">
        <f ca="1">K165*'Total Trip Tables Sup #1'!K55</f>
        <v>0</v>
      </c>
    </row>
    <row r="56" spans="1:11" x14ac:dyDescent="0.25">
      <c r="A56" t="str">
        <f ca="1">OFFSET(Gisborne_Reference,49,2)</f>
        <v>Local Bus</v>
      </c>
      <c r="B56" s="4">
        <f ca="1">B166*'Total Trip Tables Sup #1'!B56</f>
        <v>0.39415976190000002</v>
      </c>
      <c r="C56" s="4">
        <f ca="1">C166*'Total Trip Tables Sup #1'!C56</f>
        <v>0.37538960619646417</v>
      </c>
      <c r="D56" s="4">
        <f ca="1">D166*'Total Trip Tables Sup #1'!D56</f>
        <v>0.36024096167632241</v>
      </c>
      <c r="E56" s="4">
        <f ca="1">E166*'Total Trip Tables Sup #1'!E56</f>
        <v>0.35056830832711955</v>
      </c>
      <c r="F56" s="4">
        <f ca="1">F166*'Total Trip Tables Sup #1'!F56</f>
        <v>0.3368455118407721</v>
      </c>
      <c r="G56" s="4">
        <f ca="1">G166*'Total Trip Tables Sup #1'!G56</f>
        <v>0.32464675957121503</v>
      </c>
      <c r="H56" s="4">
        <f ca="1">H166*'Total Trip Tables Sup #1'!H56</f>
        <v>0.31129255591297961</v>
      </c>
      <c r="I56" s="1">
        <f ca="1">I166*'Total Trip Tables Sup #1'!I56</f>
        <v>0.30877672618754726</v>
      </c>
      <c r="J56" s="1">
        <f ca="1">J166*'Total Trip Tables Sup #1'!J56</f>
        <v>0.30530812758268716</v>
      </c>
      <c r="K56" s="1">
        <f ca="1">K166*'Total Trip Tables Sup #1'!K56</f>
        <v>0.30123148124193833</v>
      </c>
    </row>
    <row r="57" spans="1:11" x14ac:dyDescent="0.25">
      <c r="A57" t="str">
        <f ca="1">OFFSET(Gisborne_Reference,56,2)</f>
        <v>Local Ferry</v>
      </c>
      <c r="B57" s="4">
        <f ca="1">B167*'Total Trip Tables Sup #1'!B57</f>
        <v>1.5651153399999999E-2</v>
      </c>
      <c r="C57" s="4">
        <f ca="1">C167*'Total Trip Tables Sup #1'!C57</f>
        <v>1.6641540345166208E-2</v>
      </c>
      <c r="D57" s="4">
        <f ca="1">D167*'Total Trip Tables Sup #1'!D57</f>
        <v>1.728819763956101E-2</v>
      </c>
      <c r="E57" s="4">
        <f ca="1">E167*'Total Trip Tables Sup #1'!E57</f>
        <v>1.7438924464866952E-2</v>
      </c>
      <c r="F57" s="4">
        <f ca="1">F167*'Total Trip Tables Sup #1'!F57</f>
        <v>1.7307433947001707E-2</v>
      </c>
      <c r="G57" s="4">
        <f ca="1">G167*'Total Trip Tables Sup #1'!G57</f>
        <v>1.7452935893696748E-2</v>
      </c>
      <c r="H57" s="4">
        <f ca="1">H167*'Total Trip Tables Sup #1'!H57</f>
        <v>1.742512835869817E-2</v>
      </c>
      <c r="I57" s="1">
        <f ca="1">I167*'Total Trip Tables Sup #1'!I57</f>
        <v>1.6992955838754032E-2</v>
      </c>
      <c r="J57" s="1">
        <f ca="1">J167*'Total Trip Tables Sup #1'!J57</f>
        <v>1.6522387212179461E-2</v>
      </c>
      <c r="K57" s="1">
        <f ca="1">K167*'Total Trip Tables Sup #1'!K57</f>
        <v>1.6033866665554074E-2</v>
      </c>
    </row>
    <row r="58" spans="1:11" x14ac:dyDescent="0.25">
      <c r="A58" t="str">
        <f ca="1">OFFSET(Gisborne_Reference,63,2)</f>
        <v>Other Household Travel</v>
      </c>
      <c r="B58" s="4">
        <f ca="1">B168*'Total Trip Tables Sup #1'!B58</f>
        <v>3.13358953E-2</v>
      </c>
      <c r="C58" s="4">
        <f ca="1">C168*'Total Trip Tables Sup #1'!C58</f>
        <v>3.2298406938918986E-2</v>
      </c>
      <c r="D58" s="4">
        <f ca="1">D168*'Total Trip Tables Sup #1'!D58</f>
        <v>3.3237159129563022E-2</v>
      </c>
      <c r="E58" s="4">
        <f ca="1">E168*'Total Trip Tables Sup #1'!E58</f>
        <v>3.3830174600488275E-2</v>
      </c>
      <c r="F58" s="4">
        <f ca="1">F168*'Total Trip Tables Sup #1'!F58</f>
        <v>3.4116458464509003E-2</v>
      </c>
      <c r="G58" s="4">
        <f ca="1">G168*'Total Trip Tables Sup #1'!G58</f>
        <v>3.404096831136795E-2</v>
      </c>
      <c r="H58" s="4">
        <f ca="1">H168*'Total Trip Tables Sup #1'!H58</f>
        <v>3.3499320698932772E-2</v>
      </c>
      <c r="I58" s="1">
        <f ca="1">I168*'Total Trip Tables Sup #1'!I58</f>
        <v>3.3308138922764484E-2</v>
      </c>
      <c r="J58" s="1">
        <f ca="1">J168*'Total Trip Tables Sup #1'!J58</f>
        <v>3.3013495027127603E-2</v>
      </c>
      <c r="K58" s="1">
        <f ca="1">K168*'Total Trip Tables Sup #1'!K58</f>
        <v>3.2651953291736369E-2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B159*'Total Trip Tables Sup #1'!B60</f>
        <v>26.538300281000001</v>
      </c>
      <c r="C60" s="4">
        <f ca="1">C159*'Total Trip Tables Sup #1'!C60*(1+'Active Mode Assumptions'!C7)</f>
        <v>27.157330299061282</v>
      </c>
      <c r="D60" s="4">
        <f ca="1">D159*'Total Trip Tables Sup #1'!D60*(1+'Active Mode Assumptions'!D7)</f>
        <v>28.885956728968065</v>
      </c>
      <c r="E60" s="4">
        <f ca="1">E159*'Total Trip Tables Sup #1'!E60*(1+'Active Mode Assumptions'!E7)</f>
        <v>30.301566083768584</v>
      </c>
      <c r="F60" s="4">
        <f ca="1">F159*'Total Trip Tables Sup #1'!F60*(1+'Active Mode Assumptions'!F7)</f>
        <v>31.345761695261828</v>
      </c>
      <c r="G60" s="4">
        <f ca="1">G159*'Total Trip Tables Sup #1'!G60*(1+'Active Mode Assumptions'!G7)</f>
        <v>32.149147412254905</v>
      </c>
      <c r="H60" s="4">
        <f ca="1">H159*'Total Trip Tables Sup #1'!H60*(1+'Active Mode Assumptions'!H7)</f>
        <v>32.748302052483382</v>
      </c>
      <c r="I60" s="1">
        <f ca="1">I159*'Total Trip Tables Sup #1'!I60*(1+'Active Mode Assumptions'!I7)</f>
        <v>32.528823532572893</v>
      </c>
      <c r="J60" s="1">
        <f ca="1">J159*'Total Trip Tables Sup #1'!J60*(1+'Active Mode Assumptions'!J7)</f>
        <v>32.208365845845918</v>
      </c>
      <c r="K60" s="1">
        <f ca="1">K159*'Total Trip Tables Sup #1'!K60*(1+'Active Mode Assumptions'!K7)</f>
        <v>31.82290023037277</v>
      </c>
    </row>
    <row r="61" spans="1:11" x14ac:dyDescent="0.25">
      <c r="A61" t="str">
        <f ca="1">OFFSET(Hawkes_Bay_Reference,7,2)</f>
        <v>Cyclist</v>
      </c>
      <c r="B61" s="4">
        <f ca="1">B160*'Total Trip Tables Sup #1'!B61</f>
        <v>3.1819840940000002</v>
      </c>
      <c r="C61" s="4">
        <f ca="1">C160*'Total Trip Tables Sup #1'!C61*(1+'Active Mode Assumptions'!C16)</f>
        <v>3.2487157537945328</v>
      </c>
      <c r="D61" s="4">
        <f ca="1">D160*'Total Trip Tables Sup #1'!D61*(1+'Active Mode Assumptions'!D16)</f>
        <v>4.5249692611398</v>
      </c>
      <c r="E61" s="4">
        <f ca="1">E160*'Total Trip Tables Sup #1'!E61*(1+'Active Mode Assumptions'!E16)</f>
        <v>5.7204807501545192</v>
      </c>
      <c r="F61" s="4">
        <f ca="1">F160*'Total Trip Tables Sup #1'!F61*(1+'Active Mode Assumptions'!F16)</f>
        <v>6.8548383565901592</v>
      </c>
      <c r="G61" s="4">
        <f ca="1">G160*'Total Trip Tables Sup #1'!G61*(1+'Active Mode Assumptions'!G16)</f>
        <v>7.9284077788870242</v>
      </c>
      <c r="H61" s="4">
        <f ca="1">H160*'Total Trip Tables Sup #1'!H61*(1+'Active Mode Assumptions'!H16)</f>
        <v>8.9411070880697405</v>
      </c>
      <c r="I61" s="1">
        <f ca="1">I160*'Total Trip Tables Sup #1'!I61*(1+'Active Mode Assumptions'!I16)</f>
        <v>8.9318219961608296</v>
      </c>
      <c r="J61" s="1">
        <f ca="1">J160*'Total Trip Tables Sup #1'!J61*(1+'Active Mode Assumptions'!J16)</f>
        <v>8.8950406111663796</v>
      </c>
      <c r="K61" s="1">
        <f ca="1">K160*'Total Trip Tables Sup #1'!K61*(1+'Active Mode Assumptions'!K16)</f>
        <v>8.8402514566486481</v>
      </c>
    </row>
    <row r="62" spans="1:11" x14ac:dyDescent="0.25">
      <c r="A62" t="str">
        <f ca="1">OFFSET(Hawkes_Bay_Reference,14,2)</f>
        <v>Light Vehicle Driver</v>
      </c>
      <c r="B62" s="4">
        <f ca="1">B161*'Total Trip Tables Sup #1'!B62</f>
        <v>111.16933473</v>
      </c>
      <c r="C62" s="4">
        <f ca="1">C161*'Total Trip Tables Sup #1'!C62-(C60*'Active Mode Assumptions'!C7*'Active Mode Assumptions'!C14/(1+'Active Mode Assumptions'!C7))-(C61*'Active Mode Assumptions'!C16*'Active Mode Assumptions'!C23/(1+'Active Mode Assumptions'!C16))</f>
        <v>116.72538069900506</v>
      </c>
      <c r="D62" s="4">
        <f ca="1">D161*'Total Trip Tables Sup #1'!D62-(D60*'Active Mode Assumptions'!D7*'Active Mode Assumptions'!D14/(1+'Active Mode Assumptions'!D7))-(D61*'Active Mode Assumptions'!D16*'Active Mode Assumptions'!D23/(1+'Active Mode Assumptions'!D16))</f>
        <v>118.26302312456087</v>
      </c>
      <c r="E62" s="4">
        <f ca="1">E161*'Total Trip Tables Sup #1'!E62-(E60*'Active Mode Assumptions'!E7*'Active Mode Assumptions'!E14/(1+'Active Mode Assumptions'!E7))-(E61*'Active Mode Assumptions'!E16*'Active Mode Assumptions'!E23/(1+'Active Mode Assumptions'!E16))</f>
        <v>119.76208077821562</v>
      </c>
      <c r="F62" s="4">
        <f ca="1">F161*'Total Trip Tables Sup #1'!F62-(F60*'Active Mode Assumptions'!F7*'Active Mode Assumptions'!F14/(1+'Active Mode Assumptions'!F7))-(F61*'Active Mode Assumptions'!F16*'Active Mode Assumptions'!F23/(1+'Active Mode Assumptions'!F16))</f>
        <v>120.39776615441808</v>
      </c>
      <c r="G62" s="4">
        <f ca="1">G161*'Total Trip Tables Sup #1'!G62-(G60*'Active Mode Assumptions'!G7*'Active Mode Assumptions'!G14/(1+'Active Mode Assumptions'!G7))-(G61*'Active Mode Assumptions'!G16*'Active Mode Assumptions'!G23/(1+'Active Mode Assumptions'!G16))</f>
        <v>119.59016707725806</v>
      </c>
      <c r="H62" s="4">
        <f ca="1">H161*'Total Trip Tables Sup #1'!H62-(H60*'Active Mode Assumptions'!H7*'Active Mode Assumptions'!H14/(1+'Active Mode Assumptions'!H7))-(H61*'Active Mode Assumptions'!H16*'Active Mode Assumptions'!H23/(1+'Active Mode Assumptions'!H16))</f>
        <v>118.16090319338554</v>
      </c>
      <c r="I62" s="1">
        <f ca="1">I161*'Total Trip Tables Sup #1'!I62-(I60*'Active Mode Assumptions'!I7*'Active Mode Assumptions'!I14/(1+'Active Mode Assumptions'!I7))-(I61*'Active Mode Assumptions'!I16*'Active Mode Assumptions'!I23/(1+'Active Mode Assumptions'!I16))</f>
        <v>117.40371849082567</v>
      </c>
      <c r="J62" s="1">
        <f ca="1">J161*'Total Trip Tables Sup #1'!J62-(J60*'Active Mode Assumptions'!J7*'Active Mode Assumptions'!J14/(1+'Active Mode Assumptions'!J7))-(J61*'Active Mode Assumptions'!J16*'Active Mode Assumptions'!J23/(1+'Active Mode Assumptions'!J16))</f>
        <v>116.28019535708216</v>
      </c>
      <c r="K62" s="1">
        <f ca="1">K161*'Total Trip Tables Sup #1'!K62-(K60*'Active Mode Assumptions'!K7*'Active Mode Assumptions'!K14/(1+'Active Mode Assumptions'!K7))-(K61*'Active Mode Assumptions'!K16*'Active Mode Assumptions'!K23/(1+'Active Mode Assumptions'!K16))</f>
        <v>114.92001551504357</v>
      </c>
    </row>
    <row r="63" spans="1:11" x14ac:dyDescent="0.25">
      <c r="A63" t="str">
        <f ca="1">OFFSET(Hawkes_Bay_Reference,21,2)</f>
        <v>Light Vehicle Passenger</v>
      </c>
      <c r="B63" s="4">
        <f ca="1">B162*'Total Trip Tables Sup #1'!B63</f>
        <v>58.497679762000011</v>
      </c>
      <c r="C63" s="4">
        <f ca="1">C162*'Total Trip Tables Sup #1'!C63-(C60*'Active Mode Assumptions'!C7*'Active Mode Assumptions'!C15/(1+'Active Mode Assumptions'!C7))-(C61*'Active Mode Assumptions'!C16*'Active Mode Assumptions'!C24/(1+'Active Mode Assumptions'!C16))</f>
        <v>58.548384539922644</v>
      </c>
      <c r="D63" s="4">
        <f ca="1">D162*'Total Trip Tables Sup #1'!D63-(D60*'Active Mode Assumptions'!D7*'Active Mode Assumptions'!D15/(1+'Active Mode Assumptions'!D7))-(D61*'Active Mode Assumptions'!D16*'Active Mode Assumptions'!D24/(1+'Active Mode Assumptions'!D16))</f>
        <v>57.266675174449688</v>
      </c>
      <c r="E63" s="4">
        <f ca="1">E162*'Total Trip Tables Sup #1'!E63-(E60*'Active Mode Assumptions'!E7*'Active Mode Assumptions'!E15/(1+'Active Mode Assumptions'!E7))-(E61*'Active Mode Assumptions'!E16*'Active Mode Assumptions'!E24/(1+'Active Mode Assumptions'!E16))</f>
        <v>55.92302524672921</v>
      </c>
      <c r="F63" s="4">
        <f ca="1">F162*'Total Trip Tables Sup #1'!F63-(F60*'Active Mode Assumptions'!F7*'Active Mode Assumptions'!F15/(1+'Active Mode Assumptions'!F7))-(F61*'Active Mode Assumptions'!F16*'Active Mode Assumptions'!F24/(1+'Active Mode Assumptions'!F16))</f>
        <v>54.353587383941424</v>
      </c>
      <c r="G63" s="4">
        <f ca="1">G162*'Total Trip Tables Sup #1'!G63-(G60*'Active Mode Assumptions'!G7*'Active Mode Assumptions'!G15/(1+'Active Mode Assumptions'!G7))-(G61*'Active Mode Assumptions'!G16*'Active Mode Assumptions'!G24/(1+'Active Mode Assumptions'!G16))</f>
        <v>52.439502024973848</v>
      </c>
      <c r="H63" s="4">
        <f ca="1">H162*'Total Trip Tables Sup #1'!H63-(H60*'Active Mode Assumptions'!H7*'Active Mode Assumptions'!H15/(1+'Active Mode Assumptions'!H7))-(H61*'Active Mode Assumptions'!H16*'Active Mode Assumptions'!H24/(1+'Active Mode Assumptions'!H16))</f>
        <v>50.296538642065585</v>
      </c>
      <c r="I63" s="1">
        <f ca="1">I162*'Total Trip Tables Sup #1'!I63-(I60*'Active Mode Assumptions'!I7*'Active Mode Assumptions'!I15/(1+'Active Mode Assumptions'!I7))-(I61*'Active Mode Assumptions'!I16*'Active Mode Assumptions'!I24/(1+'Active Mode Assumptions'!I16))</f>
        <v>49.970506716589796</v>
      </c>
      <c r="J63" s="1">
        <f ca="1">J162*'Total Trip Tables Sup #1'!J63-(J60*'Active Mode Assumptions'!J7*'Active Mode Assumptions'!J15/(1+'Active Mode Assumptions'!J7))-(J61*'Active Mode Assumptions'!J16*'Active Mode Assumptions'!J24/(1+'Active Mode Assumptions'!J16))</f>
        <v>49.488281187923334</v>
      </c>
      <c r="K63" s="1">
        <f ca="1">K162*'Total Trip Tables Sup #1'!K63-(K60*'Active Mode Assumptions'!K7*'Active Mode Assumptions'!K15/(1+'Active Mode Assumptions'!K7))-(K61*'Active Mode Assumptions'!K16*'Active Mode Assumptions'!K24/(1+'Active Mode Assumptions'!K16))</f>
        <v>48.905095201078289</v>
      </c>
    </row>
    <row r="64" spans="1:11" x14ac:dyDescent="0.25">
      <c r="A64" t="str">
        <f ca="1">OFFSET(Hawkes_Bay_Reference,28,2)</f>
        <v>Taxi/Vehicle Share</v>
      </c>
      <c r="B64" s="4">
        <f ca="1">B163*'Total Trip Tables Sup #1'!B64</f>
        <v>0.32519619989999998</v>
      </c>
      <c r="C64" s="4">
        <f ca="1">C163*'Total Trip Tables Sup #1'!C64</f>
        <v>0.35687711887411033</v>
      </c>
      <c r="D64" s="4">
        <f ca="1">D163*'Total Trip Tables Sup #1'!D64</f>
        <v>0.37765385402619789</v>
      </c>
      <c r="E64" s="4">
        <f ca="1">E163*'Total Trip Tables Sup #1'!E64</f>
        <v>0.3918090789121389</v>
      </c>
      <c r="F64" s="4">
        <f ca="1">F163*'Total Trip Tables Sup #1'!F64</f>
        <v>0.40049015181433145</v>
      </c>
      <c r="G64" s="4">
        <f ca="1">G163*'Total Trip Tables Sup #1'!G64</f>
        <v>0.4024572807984928</v>
      </c>
      <c r="H64" s="4">
        <f ca="1">H163*'Total Trip Tables Sup #1'!H64</f>
        <v>0.40278125104301404</v>
      </c>
      <c r="I64" s="1">
        <f ca="1">I163*'Total Trip Tables Sup #1'!I64</f>
        <v>0.39958042443855185</v>
      </c>
      <c r="J64" s="1">
        <f ca="1">J163*'Total Trip Tables Sup #1'!J64</f>
        <v>0.3951292704682195</v>
      </c>
      <c r="K64" s="1">
        <f ca="1">K163*'Total Trip Tables Sup #1'!K64</f>
        <v>0.38987489974233397</v>
      </c>
    </row>
    <row r="65" spans="1:11" x14ac:dyDescent="0.25">
      <c r="A65" t="str">
        <f ca="1">OFFSET(Hawkes_Bay_Reference,35,2)</f>
        <v>Motorcyclist</v>
      </c>
      <c r="B65" s="4">
        <f ca="1">B164*'Total Trip Tables Sup #1'!B65</f>
        <v>0.65061969099999994</v>
      </c>
      <c r="C65" s="4">
        <f ca="1">C164*'Total Trip Tables Sup #1'!C65</f>
        <v>0.66966717973912493</v>
      </c>
      <c r="D65" s="4">
        <f ca="1">D164*'Total Trip Tables Sup #1'!D65</f>
        <v>0.67089262150094364</v>
      </c>
      <c r="E65" s="4">
        <f ca="1">E164*'Total Trip Tables Sup #1'!E65</f>
        <v>0.67026540351653652</v>
      </c>
      <c r="F65" s="4">
        <f ca="1">F164*'Total Trip Tables Sup #1'!F65</f>
        <v>0.6642442334149361</v>
      </c>
      <c r="G65" s="4">
        <f ca="1">G164*'Total Trip Tables Sup #1'!G65</f>
        <v>0.64596021222418454</v>
      </c>
      <c r="H65" s="4">
        <f ca="1">H164*'Total Trip Tables Sup #1'!H65</f>
        <v>0.62375731943042578</v>
      </c>
      <c r="I65" s="1">
        <f ca="1">I164*'Total Trip Tables Sup #1'!I65</f>
        <v>0.62306436527728126</v>
      </c>
      <c r="J65" s="1">
        <f ca="1">J164*'Total Trip Tables Sup #1'!J65</f>
        <v>0.62040236199840082</v>
      </c>
      <c r="K65" s="1">
        <f ca="1">K164*'Total Trip Tables Sup #1'!K65</f>
        <v>0.61643329109285705</v>
      </c>
    </row>
    <row r="66" spans="1:11" x14ac:dyDescent="0.25">
      <c r="A66" t="str">
        <f ca="1">OFFSET(Auckland_Reference,42,2)</f>
        <v>Local Train</v>
      </c>
      <c r="B66" s="4">
        <f ca="1">B165*'Total Trip Tables Sup #1'!B66</f>
        <v>0</v>
      </c>
      <c r="C66" s="4">
        <f ca="1">C165*'Total Trip Tables Sup #1'!C66</f>
        <v>0</v>
      </c>
      <c r="D66" s="4">
        <f ca="1">D165*'Total Trip Tables Sup #1'!D66</f>
        <v>0</v>
      </c>
      <c r="E66" s="4">
        <f ca="1">E165*'Total Trip Tables Sup #1'!E66</f>
        <v>0</v>
      </c>
      <c r="F66" s="4">
        <f ca="1">F165*'Total Trip Tables Sup #1'!F66</f>
        <v>0</v>
      </c>
      <c r="G66" s="4">
        <f ca="1">G165*'Total Trip Tables Sup #1'!G66</f>
        <v>0</v>
      </c>
      <c r="H66" s="4">
        <f ca="1">H165*'Total Trip Tables Sup #1'!H66</f>
        <v>0</v>
      </c>
      <c r="I66" s="1">
        <f ca="1">I165*'Total Trip Tables Sup #1'!I66</f>
        <v>0</v>
      </c>
      <c r="J66" s="1">
        <f ca="1">J165*'Total Trip Tables Sup #1'!J66</f>
        <v>0</v>
      </c>
      <c r="K66" s="1">
        <f ca="1">K165*'Total Trip Tables Sup #1'!K66</f>
        <v>0</v>
      </c>
    </row>
    <row r="67" spans="1:11" x14ac:dyDescent="0.25">
      <c r="A67" t="str">
        <f ca="1">OFFSET(Hawkes_Bay_Reference,42,2)</f>
        <v>Local Bus</v>
      </c>
      <c r="B67" s="4">
        <f ca="1">B166*'Total Trip Tables Sup #1'!B67</f>
        <v>4.5218645043999999</v>
      </c>
      <c r="C67" s="4">
        <f ca="1">C166*'Total Trip Tables Sup #1'!C67</f>
        <v>4.3344611526437342</v>
      </c>
      <c r="D67" s="4">
        <f ca="1">D166*'Total Trip Tables Sup #1'!D67</f>
        <v>4.1658883561759605</v>
      </c>
      <c r="E67" s="4">
        <f ca="1">E166*'Total Trip Tables Sup #1'!E67</f>
        <v>4.065201304812514</v>
      </c>
      <c r="F67" s="4">
        <f ca="1">F166*'Total Trip Tables Sup #1'!F67</f>
        <v>3.9124839526112805</v>
      </c>
      <c r="G67" s="4">
        <f ca="1">G166*'Total Trip Tables Sup #1'!G67</f>
        <v>3.7827200520919804</v>
      </c>
      <c r="H67" s="4">
        <f ca="1">H166*'Total Trip Tables Sup #1'!H67</f>
        <v>3.636152463653691</v>
      </c>
      <c r="I67" s="1">
        <f ca="1">I166*'Total Trip Tables Sup #1'!I67</f>
        <v>3.6157477791432235</v>
      </c>
      <c r="J67" s="1">
        <f ca="1">J166*'Total Trip Tables Sup #1'!J67</f>
        <v>3.5840342884321985</v>
      </c>
      <c r="K67" s="1">
        <f ca="1">K166*'Total Trip Tables Sup #1'!K67</f>
        <v>3.544984721596431</v>
      </c>
    </row>
    <row r="68" spans="1:11" x14ac:dyDescent="0.25">
      <c r="A68" t="str">
        <f ca="1">OFFSET(Waikato_Reference,56,2)</f>
        <v>Local Ferry</v>
      </c>
      <c r="B68" s="4">
        <f ca="1">B167*'Total Trip Tables Sup #1'!B68</f>
        <v>0</v>
      </c>
      <c r="C68" s="4">
        <f ca="1">C167*'Total Trip Tables Sup #1'!C68</f>
        <v>0</v>
      </c>
      <c r="D68" s="4">
        <f ca="1">D167*'Total Trip Tables Sup #1'!D68</f>
        <v>0</v>
      </c>
      <c r="E68" s="4">
        <f ca="1">E167*'Total Trip Tables Sup #1'!E68</f>
        <v>0</v>
      </c>
      <c r="F68" s="4">
        <f ca="1">F167*'Total Trip Tables Sup #1'!F68</f>
        <v>0</v>
      </c>
      <c r="G68" s="4">
        <f ca="1">G167*'Total Trip Tables Sup #1'!G68</f>
        <v>0</v>
      </c>
      <c r="H68" s="4">
        <f ca="1">H167*'Total Trip Tables Sup #1'!H68</f>
        <v>0</v>
      </c>
      <c r="I68" s="1">
        <f ca="1">I167*'Total Trip Tables Sup #1'!I68</f>
        <v>0</v>
      </c>
      <c r="J68" s="1">
        <f ca="1">J167*'Total Trip Tables Sup #1'!J68</f>
        <v>0</v>
      </c>
      <c r="K68" s="1">
        <f ca="1">K167*'Total Trip Tables Sup #1'!K68</f>
        <v>0</v>
      </c>
    </row>
    <row r="69" spans="1:11" x14ac:dyDescent="0.25">
      <c r="A69" t="str">
        <f ca="1">OFFSET(Hawkes_Bay_Reference,49,2)</f>
        <v>Other Household Travel</v>
      </c>
      <c r="B69" s="4">
        <f ca="1">B168*'Total Trip Tables Sup #1'!B69</f>
        <v>0.49138149730000003</v>
      </c>
      <c r="C69" s="4">
        <f ca="1">C168*'Total Trip Tables Sup #1'!C69</f>
        <v>0.5097595929786729</v>
      </c>
      <c r="D69" s="4">
        <f ca="1">D168*'Total Trip Tables Sup #1'!D69</f>
        <v>0.52537555759706633</v>
      </c>
      <c r="E69" s="4">
        <f ca="1">E168*'Total Trip Tables Sup #1'!E69</f>
        <v>0.53622255369908933</v>
      </c>
      <c r="F69" s="4">
        <f ca="1">F168*'Total Trip Tables Sup #1'!F69</f>
        <v>0.54164804510998721</v>
      </c>
      <c r="G69" s="4">
        <f ca="1">G168*'Total Trip Tables Sup #1'!G69</f>
        <v>0.54215874657893026</v>
      </c>
      <c r="H69" s="4">
        <f ca="1">H168*'Total Trip Tables Sup #1'!H69</f>
        <v>0.53486081782646921</v>
      </c>
      <c r="I69" s="1">
        <f ca="1">I168*'Total Trip Tables Sup #1'!I69</f>
        <v>0.53313276159727063</v>
      </c>
      <c r="J69" s="1">
        <f ca="1">J168*'Total Trip Tables Sup #1'!J69</f>
        <v>0.52973263384850133</v>
      </c>
      <c r="K69" s="1">
        <f ca="1">K168*'Total Trip Tables Sup #1'!K69</f>
        <v>0.52523615209345687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B159*'Total Trip Tables Sup #1'!B71</f>
        <v>23.308571313000002</v>
      </c>
      <c r="C71" s="4">
        <f ca="1">C159*'Total Trip Tables Sup #1'!C71*(1+'Active Mode Assumptions'!C7)</f>
        <v>24.077509398465246</v>
      </c>
      <c r="D71" s="4">
        <f ca="1">D159*'Total Trip Tables Sup #1'!D71*(1+'Active Mode Assumptions'!D7)</f>
        <v>25.821929889592884</v>
      </c>
      <c r="E71" s="4">
        <f ca="1">E159*'Total Trip Tables Sup #1'!E71*(1+'Active Mode Assumptions'!E7)</f>
        <v>27.342406017746942</v>
      </c>
      <c r="F71" s="4">
        <f ca="1">F159*'Total Trip Tables Sup #1'!F71*(1+'Active Mode Assumptions'!F7)</f>
        <v>28.584278018282706</v>
      </c>
      <c r="G71" s="4">
        <f ca="1">G159*'Total Trip Tables Sup #1'!G71*(1+'Active Mode Assumptions'!G7)</f>
        <v>29.672197914504149</v>
      </c>
      <c r="H71" s="4">
        <f ca="1">H159*'Total Trip Tables Sup #1'!H71*(1+'Active Mode Assumptions'!H7)</f>
        <v>30.635852599076209</v>
      </c>
      <c r="I71" s="1">
        <f ca="1">I159*'Total Trip Tables Sup #1'!I71*(1+'Active Mode Assumptions'!I7)</f>
        <v>30.843983856260081</v>
      </c>
      <c r="J71" s="1">
        <f ca="1">J159*'Total Trip Tables Sup #1'!J71*(1+'Active Mode Assumptions'!J7)</f>
        <v>30.955065555278832</v>
      </c>
      <c r="K71" s="1">
        <f ca="1">K159*'Total Trip Tables Sup #1'!K71*(1+'Active Mode Assumptions'!K7)</f>
        <v>31.000144736218346</v>
      </c>
    </row>
    <row r="72" spans="1:11" x14ac:dyDescent="0.25">
      <c r="A72" t="str">
        <f ca="1">OFFSET(Taranaki_Reference,7,2)</f>
        <v>Cyclist</v>
      </c>
      <c r="B72" s="4">
        <f ca="1">B160*'Total Trip Tables Sup #1'!B72</f>
        <v>2.1611397319000001</v>
      </c>
      <c r="C72" s="4">
        <f ca="1">C160*'Total Trip Tables Sup #1'!C72*(1+'Active Mode Assumptions'!C16)</f>
        <v>2.2272988552405679</v>
      </c>
      <c r="D72" s="4">
        <f ca="1">D160*'Total Trip Tables Sup #1'!D72*(1+'Active Mode Assumptions'!D16)</f>
        <v>3.1279504686055843</v>
      </c>
      <c r="E72" s="4">
        <f ca="1">E160*'Total Trip Tables Sup #1'!E72*(1+'Active Mode Assumptions'!E16)</f>
        <v>3.991595041352809</v>
      </c>
      <c r="F72" s="4">
        <f ca="1">F160*'Total Trip Tables Sup #1'!F72*(1+'Active Mode Assumptions'!F16)</f>
        <v>4.8337914662099353</v>
      </c>
      <c r="G72" s="4">
        <f ca="1">G160*'Total Trip Tables Sup #1'!G72*(1+'Active Mode Assumptions'!G16)</f>
        <v>5.6585939223073236</v>
      </c>
      <c r="H72" s="4">
        <f ca="1">H160*'Total Trip Tables Sup #1'!H72*(1+'Active Mode Assumptions'!H16)</f>
        <v>6.4680709194200956</v>
      </c>
      <c r="I72" s="1">
        <f ca="1">I160*'Total Trip Tables Sup #1'!I72*(1+'Active Mode Assumptions'!I16)</f>
        <v>6.5491428411444987</v>
      </c>
      <c r="J72" s="1">
        <f ca="1">J160*'Total Trip Tables Sup #1'!J72*(1+'Active Mode Assumptions'!J16)</f>
        <v>6.6107885386494187</v>
      </c>
      <c r="K72" s="1">
        <f ca="1">K160*'Total Trip Tables Sup #1'!K72*(1+'Active Mode Assumptions'!K16)</f>
        <v>6.6593351955838536</v>
      </c>
    </row>
    <row r="73" spans="1:11" x14ac:dyDescent="0.25">
      <c r="A73" t="str">
        <f ca="1">OFFSET(Taranaki_Reference,14,2)</f>
        <v>Light Vehicle Driver</v>
      </c>
      <c r="B73" s="4">
        <f ca="1">B161*'Total Trip Tables Sup #1'!B73</f>
        <v>90.801950900999998</v>
      </c>
      <c r="C73" s="4">
        <f ca="1">C161*'Total Trip Tables Sup #1'!C73-(C71*'Active Mode Assumptions'!C7*'Active Mode Assumptions'!C14/(1+'Active Mode Assumptions'!C7))-(C72*'Active Mode Assumptions'!C16*'Active Mode Assumptions'!C23/(1+'Active Mode Assumptions'!C16))</f>
        <v>96.240397452286885</v>
      </c>
      <c r="D73" s="4">
        <f ca="1">D161*'Total Trip Tables Sup #1'!D73-(D71*'Active Mode Assumptions'!D7*'Active Mode Assumptions'!D14/(1+'Active Mode Assumptions'!D7))-(D72*'Active Mode Assumptions'!D16*'Active Mode Assumptions'!D23/(1+'Active Mode Assumptions'!D16))</f>
        <v>98.334396632818112</v>
      </c>
      <c r="E73" s="4">
        <f ca="1">E161*'Total Trip Tables Sup #1'!E73-(E71*'Active Mode Assumptions'!E7*'Active Mode Assumptions'!E14/(1+'Active Mode Assumptions'!E7))-(E72*'Active Mode Assumptions'!E16*'Active Mode Assumptions'!E23/(1+'Active Mode Assumptions'!E16))</f>
        <v>100.53684447382254</v>
      </c>
      <c r="F73" s="4">
        <f ca="1">F161*'Total Trip Tables Sup #1'!F73-(F71*'Active Mode Assumptions'!F7*'Active Mode Assumptions'!F14/(1+'Active Mode Assumptions'!F7))-(F72*'Active Mode Assumptions'!F16*'Active Mode Assumptions'!F23/(1+'Active Mode Assumptions'!F16))</f>
        <v>102.15925818900874</v>
      </c>
      <c r="G73" s="4">
        <f ca="1">G161*'Total Trip Tables Sup #1'!G73-(G71*'Active Mode Assumptions'!G7*'Active Mode Assumptions'!G14/(1+'Active Mode Assumptions'!G7))-(G72*'Active Mode Assumptions'!G16*'Active Mode Assumptions'!G23/(1+'Active Mode Assumptions'!G16))</f>
        <v>102.72214665680619</v>
      </c>
      <c r="H73" s="4">
        <f ca="1">H161*'Total Trip Tables Sup #1'!H73-(H71*'Active Mode Assumptions'!H7*'Active Mode Assumptions'!H14/(1+'Active Mode Assumptions'!H7))-(H72*'Active Mode Assumptions'!H16*'Active Mode Assumptions'!H23/(1+'Active Mode Assumptions'!H16))</f>
        <v>102.89215084477443</v>
      </c>
      <c r="I73" s="1">
        <f ca="1">I161*'Total Trip Tables Sup #1'!I73-(I71*'Active Mode Assumptions'!I7*'Active Mode Assumptions'!I14/(1+'Active Mode Assumptions'!I7))-(I72*'Active Mode Assumptions'!I16*'Active Mode Assumptions'!I23/(1+'Active Mode Assumptions'!I16))</f>
        <v>103.6230473172681</v>
      </c>
      <c r="J73" s="1">
        <f ca="1">J161*'Total Trip Tables Sup #1'!J73-(J71*'Active Mode Assumptions'!J7*'Active Mode Assumptions'!J14/(1+'Active Mode Assumptions'!J7))-(J72*'Active Mode Assumptions'!J16*'Active Mode Assumptions'!J23/(1+'Active Mode Assumptions'!J16))</f>
        <v>104.02708699406318</v>
      </c>
      <c r="K73" s="1">
        <f ca="1">K161*'Total Trip Tables Sup #1'!K73-(K71*'Active Mode Assumptions'!K7*'Active Mode Assumptions'!K14/(1+'Active Mode Assumptions'!K7))-(K72*'Active Mode Assumptions'!K16*'Active Mode Assumptions'!K23/(1+'Active Mode Assumptions'!K16))</f>
        <v>104.20838192504169</v>
      </c>
    </row>
    <row r="74" spans="1:11" x14ac:dyDescent="0.25">
      <c r="A74" t="str">
        <f ca="1">OFFSET(Taranaki_Reference,21,2)</f>
        <v>Light Vehicle Passenger</v>
      </c>
      <c r="B74" s="4">
        <f ca="1">B162*'Total Trip Tables Sup #1'!B74</f>
        <v>45.484067730000007</v>
      </c>
      <c r="C74" s="4">
        <f ca="1">C162*'Total Trip Tables Sup #1'!C74-(C71*'Active Mode Assumptions'!C7*'Active Mode Assumptions'!C15/(1+'Active Mode Assumptions'!C7))-(C72*'Active Mode Assumptions'!C16*'Active Mode Assumptions'!C24/(1+'Active Mode Assumptions'!C16))</f>
        <v>45.953385184898764</v>
      </c>
      <c r="D74" s="4">
        <f ca="1">D162*'Total Trip Tables Sup #1'!D74-(D71*'Active Mode Assumptions'!D7*'Active Mode Assumptions'!D15/(1+'Active Mode Assumptions'!D7))-(D72*'Active Mode Assumptions'!D16*'Active Mode Assumptions'!D24/(1+'Active Mode Assumptions'!D16))</f>
        <v>45.309611719427764</v>
      </c>
      <c r="E74" s="4">
        <f ca="1">E162*'Total Trip Tables Sup #1'!E74-(E71*'Active Mode Assumptions'!E7*'Active Mode Assumptions'!E15/(1+'Active Mode Assumptions'!E7))-(E72*'Active Mode Assumptions'!E16*'Active Mode Assumptions'!E24/(1+'Active Mode Assumptions'!E16))</f>
        <v>44.652720830503718</v>
      </c>
      <c r="F74" s="4">
        <f ca="1">F162*'Total Trip Tables Sup #1'!F74-(F71*'Active Mode Assumptions'!F7*'Active Mode Assumptions'!F15/(1+'Active Mode Assumptions'!F7))-(F72*'Active Mode Assumptions'!F16*'Active Mode Assumptions'!F24/(1+'Active Mode Assumptions'!F16))</f>
        <v>43.849194411758241</v>
      </c>
      <c r="G74" s="4">
        <f ca="1">G162*'Total Trip Tables Sup #1'!G74-(G71*'Active Mode Assumptions'!G7*'Active Mode Assumptions'!G15/(1+'Active Mode Assumptions'!G7))-(G72*'Active Mode Assumptions'!G16*'Active Mode Assumptions'!G24/(1+'Active Mode Assumptions'!G16))</f>
        <v>42.808008366639719</v>
      </c>
      <c r="H74" s="4">
        <f ca="1">H162*'Total Trip Tables Sup #1'!H74-(H71*'Active Mode Assumptions'!H7*'Active Mode Assumptions'!H15/(1+'Active Mode Assumptions'!H7))-(H72*'Active Mode Assumptions'!H16*'Active Mode Assumptions'!H24/(1+'Active Mode Assumptions'!H16))</f>
        <v>41.607407137736331</v>
      </c>
      <c r="I74" s="1">
        <f ca="1">I162*'Total Trip Tables Sup #1'!I74-(I71*'Active Mode Assumptions'!I7*'Active Mode Assumptions'!I15/(1+'Active Mode Assumptions'!I7))-(I72*'Active Mode Assumptions'!I16*'Active Mode Assumptions'!I24/(1+'Active Mode Assumptions'!I16))</f>
        <v>41.900251609163156</v>
      </c>
      <c r="J74" s="1">
        <f ca="1">J162*'Total Trip Tables Sup #1'!J74-(J71*'Active Mode Assumptions'!J7*'Active Mode Assumptions'!J15/(1+'Active Mode Assumptions'!J7))-(J72*'Active Mode Assumptions'!J16*'Active Mode Assumptions'!J24/(1+'Active Mode Assumptions'!J16))</f>
        <v>42.060628394768614</v>
      </c>
      <c r="K74" s="1">
        <f ca="1">K162*'Total Trip Tables Sup #1'!K74-(K71*'Active Mode Assumptions'!K7*'Active Mode Assumptions'!K15/(1+'Active Mode Assumptions'!K7))-(K72*'Active Mode Assumptions'!K16*'Active Mode Assumptions'!K24/(1+'Active Mode Assumptions'!K16))</f>
        <v>42.130653174558937</v>
      </c>
    </row>
    <row r="75" spans="1:11" x14ac:dyDescent="0.25">
      <c r="A75" t="str">
        <f ca="1">OFFSET(Taranaki_Reference,28,2)</f>
        <v>Taxi/Vehicle Share</v>
      </c>
      <c r="B75" s="4">
        <f ca="1">B163*'Total Trip Tables Sup #1'!B75</f>
        <v>0.56194422089999996</v>
      </c>
      <c r="C75" s="4">
        <f ca="1">C163*'Total Trip Tables Sup #1'!C75</f>
        <v>0.62251294569361981</v>
      </c>
      <c r="D75" s="4">
        <f ca="1">D163*'Total Trip Tables Sup #1'!D75</f>
        <v>0.6642033458755684</v>
      </c>
      <c r="E75" s="4">
        <f ca="1">E163*'Total Trip Tables Sup #1'!E75</f>
        <v>0.69558682088922863</v>
      </c>
      <c r="F75" s="4">
        <f ca="1">F163*'Total Trip Tables Sup #1'!F75</f>
        <v>0.71853088010871458</v>
      </c>
      <c r="G75" s="4">
        <f ca="1">G163*'Total Trip Tables Sup #1'!G75</f>
        <v>0.73081128034689224</v>
      </c>
      <c r="H75" s="4">
        <f ca="1">H163*'Total Trip Tables Sup #1'!H75</f>
        <v>0.74133691592435758</v>
      </c>
      <c r="I75" s="1">
        <f ca="1">I163*'Total Trip Tables Sup #1'!I75</f>
        <v>0.74543797123938504</v>
      </c>
      <c r="J75" s="1">
        <f ca="1">J163*'Total Trip Tables Sup #1'!J75</f>
        <v>0.74714937366069423</v>
      </c>
      <c r="K75" s="1">
        <f ca="1">K163*'Total Trip Tables Sup #1'!K75</f>
        <v>0.74723023610904205</v>
      </c>
    </row>
    <row r="76" spans="1:11" x14ac:dyDescent="0.25">
      <c r="A76" t="str">
        <f ca="1">OFFSET(Taranaki_Reference,35,2)</f>
        <v>Motorcyclist</v>
      </c>
      <c r="B76" s="4">
        <f ca="1">B164*'Total Trip Tables Sup #1'!B76</f>
        <v>1.091812341</v>
      </c>
      <c r="C76" s="4">
        <f ca="1">C164*'Total Trip Tables Sup #1'!C76</f>
        <v>1.1343883210504198</v>
      </c>
      <c r="D76" s="4">
        <f ca="1">D164*'Total Trip Tables Sup #1'!D76</f>
        <v>1.1458643343944455</v>
      </c>
      <c r="E76" s="4">
        <f ca="1">E164*'Total Trip Tables Sup #1'!E76</f>
        <v>1.1555711794505104</v>
      </c>
      <c r="F76" s="4">
        <f ca="1">F164*'Total Trip Tables Sup #1'!F76</f>
        <v>1.157322609838733</v>
      </c>
      <c r="G76" s="4">
        <f ca="1">G164*'Total Trip Tables Sup #1'!G76</f>
        <v>1.1391063446428311</v>
      </c>
      <c r="H76" s="4">
        <f ca="1">H164*'Total Trip Tables Sup #1'!H76</f>
        <v>1.1148978653432529</v>
      </c>
      <c r="I76" s="1">
        <f ca="1">I164*'Total Trip Tables Sup #1'!I76</f>
        <v>1.1287903016310192</v>
      </c>
      <c r="J76" s="1">
        <f ca="1">J164*'Total Trip Tables Sup #1'!J76</f>
        <v>1.139238688796171</v>
      </c>
      <c r="K76" s="1">
        <f ca="1">K164*'Total Trip Tables Sup #1'!K76</f>
        <v>1.1473298551154976</v>
      </c>
    </row>
    <row r="77" spans="1:11" x14ac:dyDescent="0.25">
      <c r="A77" t="str">
        <f ca="1">OFFSET(Taranaki_Reference,42,2)</f>
        <v>Local Train</v>
      </c>
      <c r="B77" s="4">
        <f ca="1">B165*'Total Trip Tables Sup #1'!B77</f>
        <v>0</v>
      </c>
      <c r="C77" s="4">
        <f ca="1">C165*'Total Trip Tables Sup #1'!C77</f>
        <v>0</v>
      </c>
      <c r="D77" s="4">
        <f ca="1">D165*'Total Trip Tables Sup #1'!D77</f>
        <v>0</v>
      </c>
      <c r="E77" s="4">
        <f ca="1">E165*'Total Trip Tables Sup #1'!E77</f>
        <v>0</v>
      </c>
      <c r="F77" s="4">
        <f ca="1">F165*'Total Trip Tables Sup #1'!F77</f>
        <v>0</v>
      </c>
      <c r="G77" s="4">
        <f ca="1">G165*'Total Trip Tables Sup #1'!G77</f>
        <v>0</v>
      </c>
      <c r="H77" s="4">
        <f ca="1">H165*'Total Trip Tables Sup #1'!H77</f>
        <v>0</v>
      </c>
      <c r="I77" s="1">
        <f ca="1">I165*'Total Trip Tables Sup #1'!I77</f>
        <v>0</v>
      </c>
      <c r="J77" s="1">
        <f ca="1">J165*'Total Trip Tables Sup #1'!J77</f>
        <v>0</v>
      </c>
      <c r="K77" s="1">
        <f ca="1">K165*'Total Trip Tables Sup #1'!K77</f>
        <v>0</v>
      </c>
    </row>
    <row r="78" spans="1:11" x14ac:dyDescent="0.25">
      <c r="A78" t="str">
        <f ca="1">OFFSET(Taranaki_Reference,49,2)</f>
        <v>Local Bus</v>
      </c>
      <c r="B78" s="4">
        <f ca="1">B166*'Total Trip Tables Sup #1'!B78</f>
        <v>1.2787514622</v>
      </c>
      <c r="C78" s="4">
        <f ca="1">C166*'Total Trip Tables Sup #1'!C78</f>
        <v>1.2373303039182844</v>
      </c>
      <c r="D78" s="4">
        <f ca="1">D166*'Total Trip Tables Sup #1'!D78</f>
        <v>1.1990453689549225</v>
      </c>
      <c r="E78" s="4">
        <f ca="1">E166*'Total Trip Tables Sup #1'!E78</f>
        <v>1.1810812020359189</v>
      </c>
      <c r="F78" s="4">
        <f ca="1">F166*'Total Trip Tables Sup #1'!F78</f>
        <v>1.1487539477525668</v>
      </c>
      <c r="G78" s="4">
        <f ca="1">G166*'Total Trip Tables Sup #1'!G78</f>
        <v>1.1241143880798701</v>
      </c>
      <c r="H78" s="4">
        <f ca="1">H166*'Total Trip Tables Sup #1'!H78</f>
        <v>1.0952400505879929</v>
      </c>
      <c r="I78" s="1">
        <f ca="1">I166*'Total Trip Tables Sup #1'!I78</f>
        <v>1.1038912392571263</v>
      </c>
      <c r="J78" s="1">
        <f ca="1">J166*'Total Trip Tables Sup #1'!J78</f>
        <v>1.1090758310868936</v>
      </c>
      <c r="K78" s="1">
        <f ca="1">K166*'Total Trip Tables Sup #1'!K78</f>
        <v>1.1118965429632519</v>
      </c>
    </row>
    <row r="79" spans="1:11" x14ac:dyDescent="0.25">
      <c r="A79" t="str">
        <f ca="1">OFFSET(Waikato_Reference,56,2)</f>
        <v>Local Ferry</v>
      </c>
      <c r="B79" s="4">
        <f ca="1">B167*'Total Trip Tables Sup #1'!B79</f>
        <v>0</v>
      </c>
      <c r="C79" s="4">
        <f ca="1">C167*'Total Trip Tables Sup #1'!C79</f>
        <v>0</v>
      </c>
      <c r="D79" s="4">
        <f ca="1">D167*'Total Trip Tables Sup #1'!D79</f>
        <v>0</v>
      </c>
      <c r="E79" s="4">
        <f ca="1">E167*'Total Trip Tables Sup #1'!E79</f>
        <v>0</v>
      </c>
      <c r="F79" s="4">
        <f ca="1">F167*'Total Trip Tables Sup #1'!F79</f>
        <v>0</v>
      </c>
      <c r="G79" s="4">
        <f ca="1">G167*'Total Trip Tables Sup #1'!G79</f>
        <v>0</v>
      </c>
      <c r="H79" s="4">
        <f ca="1">H167*'Total Trip Tables Sup #1'!H79</f>
        <v>0</v>
      </c>
      <c r="I79" s="1">
        <f ca="1">I167*'Total Trip Tables Sup #1'!I79</f>
        <v>0</v>
      </c>
      <c r="J79" s="1">
        <f ca="1">J167*'Total Trip Tables Sup #1'!J79</f>
        <v>0</v>
      </c>
      <c r="K79" s="1">
        <f ca="1">K167*'Total Trip Tables Sup #1'!K79</f>
        <v>0</v>
      </c>
    </row>
    <row r="80" spans="1:11" x14ac:dyDescent="0.25">
      <c r="A80" t="str">
        <f ca="1">OFFSET(Taranaki_Reference,56,2)</f>
        <v>Other Household Travel</v>
      </c>
      <c r="B80" s="4">
        <f ca="1">B168*'Total Trip Tables Sup #1'!B80</f>
        <v>0.17475937220000001</v>
      </c>
      <c r="C80" s="4">
        <f ca="1">C168*'Total Trip Tables Sup #1'!C80</f>
        <v>0.18300755545806294</v>
      </c>
      <c r="D80" s="4">
        <f ca="1">D168*'Total Trip Tables Sup #1'!D80</f>
        <v>0.19017390798362618</v>
      </c>
      <c r="E80" s="4">
        <f ca="1">E168*'Total Trip Tables Sup #1'!E80</f>
        <v>0.19592770693607944</v>
      </c>
      <c r="F80" s="4">
        <f ca="1">F168*'Total Trip Tables Sup #1'!F80</f>
        <v>0.20000677432462391</v>
      </c>
      <c r="G80" s="4">
        <f ca="1">G168*'Total Trip Tables Sup #1'!G80</f>
        <v>0.20262165184368772</v>
      </c>
      <c r="H80" s="4">
        <f ca="1">H168*'Total Trip Tables Sup #1'!H80</f>
        <v>0.20261010136597246</v>
      </c>
      <c r="I80" s="1">
        <f ca="1">I168*'Total Trip Tables Sup #1'!I80</f>
        <v>0.20469941796326921</v>
      </c>
      <c r="J80" s="1">
        <f ca="1">J168*'Total Trip Tables Sup #1'!J80</f>
        <v>0.20615738253705307</v>
      </c>
      <c r="K80" s="1">
        <f ca="1">K168*'Total Trip Tables Sup #1'!K80</f>
        <v>0.2071847097106142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B159*'Total Trip Tables Sup #1'!B82</f>
        <v>39.544031846000003</v>
      </c>
      <c r="C82" s="4">
        <f ca="1">C159*'Total Trip Tables Sup #1'!C82*(1+'Active Mode Assumptions'!C7)</f>
        <v>40.529446677176722</v>
      </c>
      <c r="D82" s="4">
        <f ca="1">D159*'Total Trip Tables Sup #1'!D82*(1+'Active Mode Assumptions'!D7)</f>
        <v>42.979846090983379</v>
      </c>
      <c r="E82" s="4">
        <f ca="1">E159*'Total Trip Tables Sup #1'!E82*(1+'Active Mode Assumptions'!E7)</f>
        <v>44.949410435460912</v>
      </c>
      <c r="F82" s="4">
        <f ca="1">F159*'Total Trip Tables Sup #1'!F82*(1+'Active Mode Assumptions'!F7)</f>
        <v>46.406312946192735</v>
      </c>
      <c r="G82" s="4">
        <f ca="1">G159*'Total Trip Tables Sup #1'!G82*(1+'Active Mode Assumptions'!G7)</f>
        <v>47.521059959706072</v>
      </c>
      <c r="H82" s="4">
        <f ca="1">H159*'Total Trip Tables Sup #1'!H82*(1+'Active Mode Assumptions'!H7)</f>
        <v>48.342450589421482</v>
      </c>
      <c r="I82" s="1">
        <f ca="1">I159*'Total Trip Tables Sup #1'!I82*(1+'Active Mode Assumptions'!I7)</f>
        <v>47.954729612654198</v>
      </c>
      <c r="J82" s="1">
        <f ca="1">J159*'Total Trip Tables Sup #1'!J82*(1+'Active Mode Assumptions'!J7)</f>
        <v>47.419284456170807</v>
      </c>
      <c r="K82" s="1">
        <f ca="1">K159*'Total Trip Tables Sup #1'!K82*(1+'Active Mode Assumptions'!K7)</f>
        <v>46.789594185898501</v>
      </c>
    </row>
    <row r="83" spans="1:11" x14ac:dyDescent="0.25">
      <c r="A83" t="str">
        <f ca="1">OFFSET(Manawatu_Reference,7,2)</f>
        <v>Cyclist</v>
      </c>
      <c r="B83" s="4">
        <f ca="1">B160*'Total Trip Tables Sup #1'!B83</f>
        <v>4.6745036201000003</v>
      </c>
      <c r="C83" s="4">
        <f ca="1">C160*'Total Trip Tables Sup #1'!C83*(1+'Active Mode Assumptions'!C16)</f>
        <v>4.7799677598181143</v>
      </c>
      <c r="D83" s="4">
        <f ca="1">D160*'Total Trip Tables Sup #1'!D83*(1+'Active Mode Assumptions'!D16)</f>
        <v>6.6377881221635553</v>
      </c>
      <c r="E83" s="4">
        <f ca="1">E160*'Total Trip Tables Sup #1'!E83*(1+'Active Mode Assumptions'!E16)</f>
        <v>8.3660625281683707</v>
      </c>
      <c r="F83" s="4">
        <f ca="1">F160*'Total Trip Tables Sup #1'!F83*(1+'Active Mode Assumptions'!F16)</f>
        <v>10.005184640513054</v>
      </c>
      <c r="G83" s="4">
        <f ca="1">G160*'Total Trip Tables Sup #1'!G83*(1+'Active Mode Assumptions'!G16)</f>
        <v>11.553998070237991</v>
      </c>
      <c r="H83" s="4">
        <f ca="1">H160*'Total Trip Tables Sup #1'!H83*(1+'Active Mode Assumptions'!H16)</f>
        <v>13.0125024338735</v>
      </c>
      <c r="I83" s="1">
        <f ca="1">I160*'Total Trip Tables Sup #1'!I83*(1+'Active Mode Assumptions'!I16)</f>
        <v>12.981736873813706</v>
      </c>
      <c r="J83" s="1">
        <f ca="1">J160*'Total Trip Tables Sup #1'!J83*(1+'Active Mode Assumptions'!J16)</f>
        <v>12.911119287225088</v>
      </c>
      <c r="K83" s="1">
        <f ca="1">K160*'Total Trip Tables Sup #1'!K83*(1+'Active Mode Assumptions'!K16)</f>
        <v>12.814562761252571</v>
      </c>
    </row>
    <row r="84" spans="1:11" x14ac:dyDescent="0.25">
      <c r="A84" t="str">
        <f ca="1">OFFSET(Manawatu_Reference,14,2)</f>
        <v>Light Vehicle Driver</v>
      </c>
      <c r="B84" s="4">
        <f ca="1">B161*'Total Trip Tables Sup #1'!B84</f>
        <v>178.69640117</v>
      </c>
      <c r="C84" s="4">
        <f ca="1">C161*'Total Trip Tables Sup #1'!C84-(C82*'Active Mode Assumptions'!C7*'Active Mode Assumptions'!C14/(1+'Active Mode Assumptions'!C7))-(C83*'Active Mode Assumptions'!C16*'Active Mode Assumptions'!C23/(1+'Active Mode Assumptions'!C16))</f>
        <v>187.91950308915213</v>
      </c>
      <c r="D84" s="4">
        <f ca="1">D161*'Total Trip Tables Sup #1'!D84-(D82*'Active Mode Assumptions'!D7*'Active Mode Assumptions'!D14/(1+'Active Mode Assumptions'!D7))-(D83*'Active Mode Assumptions'!D16*'Active Mode Assumptions'!D23/(1+'Active Mode Assumptions'!D16))</f>
        <v>189.91608244901781</v>
      </c>
      <c r="E84" s="4">
        <f ca="1">E161*'Total Trip Tables Sup #1'!E84-(E82*'Active Mode Assumptions'!E7*'Active Mode Assumptions'!E14/(1+'Active Mode Assumptions'!E7))-(E83*'Active Mode Assumptions'!E16*'Active Mode Assumptions'!E23/(1+'Active Mode Assumptions'!E16))</f>
        <v>191.82902038990866</v>
      </c>
      <c r="F84" s="4">
        <f ca="1">F161*'Total Trip Tables Sup #1'!F84-(F82*'Active Mode Assumptions'!F7*'Active Mode Assumptions'!F14/(1+'Active Mode Assumptions'!F7))-(F83*'Active Mode Assumptions'!F16*'Active Mode Assumptions'!F23/(1+'Active Mode Assumptions'!F16))</f>
        <v>192.55032419982723</v>
      </c>
      <c r="G84" s="4">
        <f ca="1">G161*'Total Trip Tables Sup #1'!G84-(G82*'Active Mode Assumptions'!G7*'Active Mode Assumptions'!G14/(1+'Active Mode Assumptions'!G7))-(G83*'Active Mode Assumptions'!G16*'Active Mode Assumptions'!G23/(1+'Active Mode Assumptions'!G16))</f>
        <v>191.04166711649017</v>
      </c>
      <c r="H84" s="4">
        <f ca="1">H161*'Total Trip Tables Sup #1'!H84-(H82*'Active Mode Assumptions'!H7*'Active Mode Assumptions'!H14/(1+'Active Mode Assumptions'!H7))-(H83*'Active Mode Assumptions'!H16*'Active Mode Assumptions'!H23/(1+'Active Mode Assumptions'!H16))</f>
        <v>188.58796685384178</v>
      </c>
      <c r="I84" s="1">
        <f ca="1">I161*'Total Trip Tables Sup #1'!I84-(I82*'Active Mode Assumptions'!I7*'Active Mode Assumptions'!I14/(1+'Active Mode Assumptions'!I7))-(I83*'Active Mode Assumptions'!I16*'Active Mode Assumptions'!I23/(1+'Active Mode Assumptions'!I16))</f>
        <v>187.13181813547629</v>
      </c>
      <c r="J84" s="1">
        <f ca="1">J161*'Total Trip Tables Sup #1'!J84-(J82*'Active Mode Assumptions'!J7*'Active Mode Assumptions'!J14/(1+'Active Mode Assumptions'!J7))-(J83*'Active Mode Assumptions'!J16*'Active Mode Assumptions'!J23/(1+'Active Mode Assumptions'!J16))</f>
        <v>185.09607628471818</v>
      </c>
      <c r="K84" s="1">
        <f ca="1">K161*'Total Trip Tables Sup #1'!K84-(K82*'Active Mode Assumptions'!K7*'Active Mode Assumptions'!K14/(1+'Active Mode Assumptions'!K7))-(K83*'Active Mode Assumptions'!K16*'Active Mode Assumptions'!K23/(1+'Active Mode Assumptions'!K16))</f>
        <v>182.68920160136199</v>
      </c>
    </row>
    <row r="85" spans="1:11" x14ac:dyDescent="0.25">
      <c r="A85" t="str">
        <f ca="1">OFFSET(Manawatu_Reference,21,2)</f>
        <v>Light Vehicle Passenger</v>
      </c>
      <c r="B85" s="4">
        <f ca="1">B162*'Total Trip Tables Sup #1'!B85</f>
        <v>84.046137803000008</v>
      </c>
      <c r="C85" s="4">
        <f ca="1">C162*'Total Trip Tables Sup #1'!C85-(C82*'Active Mode Assumptions'!C7*'Active Mode Assumptions'!C15/(1+'Active Mode Assumptions'!C7))-(C83*'Active Mode Assumptions'!C16*'Active Mode Assumptions'!C24/(1+'Active Mode Assumptions'!C16))</f>
        <v>84.249977533974771</v>
      </c>
      <c r="D85" s="4">
        <f ca="1">D162*'Total Trip Tables Sup #1'!D85-(D82*'Active Mode Assumptions'!D7*'Active Mode Assumptions'!D15/(1+'Active Mode Assumptions'!D7))-(D83*'Active Mode Assumptions'!D16*'Active Mode Assumptions'!D24/(1+'Active Mode Assumptions'!D16))</f>
        <v>82.126085360911119</v>
      </c>
      <c r="E85" s="4">
        <f ca="1">E162*'Total Trip Tables Sup #1'!E85-(E82*'Active Mode Assumptions'!E7*'Active Mode Assumptions'!E15/(1+'Active Mode Assumptions'!E7))-(E83*'Active Mode Assumptions'!E16*'Active Mode Assumptions'!E24/(1+'Active Mode Assumptions'!E16))</f>
        <v>79.923730434206078</v>
      </c>
      <c r="F85" s="4">
        <f ca="1">F162*'Total Trip Tables Sup #1'!F85-(F82*'Active Mode Assumptions'!F7*'Active Mode Assumptions'!F15/(1+'Active Mode Assumptions'!F7))-(F83*'Active Mode Assumptions'!F16*'Active Mode Assumptions'!F24/(1+'Active Mode Assumptions'!F16))</f>
        <v>77.495219146066034</v>
      </c>
      <c r="G85" s="4">
        <f ca="1">G162*'Total Trip Tables Sup #1'!G85-(G82*'Active Mode Assumptions'!G7*'Active Mode Assumptions'!G15/(1+'Active Mode Assumptions'!G7))-(G83*'Active Mode Assumptions'!G16*'Active Mode Assumptions'!G24/(1+'Active Mode Assumptions'!G16))</f>
        <v>74.617472099515268</v>
      </c>
      <c r="H85" s="4">
        <f ca="1">H162*'Total Trip Tables Sup #1'!H85-(H82*'Active Mode Assumptions'!H7*'Active Mode Assumptions'!H15/(1+'Active Mode Assumptions'!H7))-(H83*'Active Mode Assumptions'!H16*'Active Mode Assumptions'!H24/(1+'Active Mode Assumptions'!H16))</f>
        <v>71.441967881418094</v>
      </c>
      <c r="I85" s="1">
        <f ca="1">I162*'Total Trip Tables Sup #1'!I85-(I82*'Active Mode Assumptions'!I7*'Active Mode Assumptions'!I15/(1+'Active Mode Assumptions'!I7))-(I83*'Active Mode Assumptions'!I16*'Active Mode Assumptions'!I24/(1+'Active Mode Assumptions'!I16))</f>
        <v>70.88442564808976</v>
      </c>
      <c r="J85" s="1">
        <f ca="1">J162*'Total Trip Tables Sup #1'!J85-(J82*'Active Mode Assumptions'!J7*'Active Mode Assumptions'!J15/(1+'Active Mode Assumptions'!J7))-(J83*'Active Mode Assumptions'!J16*'Active Mode Assumptions'!J24/(1+'Active Mode Assumptions'!J16))</f>
        <v>70.106962655066781</v>
      </c>
      <c r="K85" s="1">
        <f ca="1">K162*'Total Trip Tables Sup #1'!K85-(K82*'Active Mode Assumptions'!K7*'Active Mode Assumptions'!K15/(1+'Active Mode Assumptions'!K7))-(K83*'Active Mode Assumptions'!K16*'Active Mode Assumptions'!K24/(1+'Active Mode Assumptions'!K16))</f>
        <v>69.188601092446476</v>
      </c>
    </row>
    <row r="86" spans="1:11" x14ac:dyDescent="0.25">
      <c r="A86" t="str">
        <f ca="1">OFFSET(Manawatu_Reference,28,2)</f>
        <v>Taxi/Vehicle Share</v>
      </c>
      <c r="B86" s="4">
        <f ca="1">B163*'Total Trip Tables Sup #1'!B86</f>
        <v>0.99874441920000001</v>
      </c>
      <c r="C86" s="4">
        <f ca="1">C163*'Total Trip Tables Sup #1'!C86</f>
        <v>1.097749794752535</v>
      </c>
      <c r="D86" s="4">
        <f ca="1">D163*'Total Trip Tables Sup #1'!D86</f>
        <v>1.1581720526551078</v>
      </c>
      <c r="E86" s="4">
        <f ca="1">E163*'Total Trip Tables Sup #1'!E86</f>
        <v>1.197938383099213</v>
      </c>
      <c r="F86" s="4">
        <f ca="1">F163*'Total Trip Tables Sup #1'!F86</f>
        <v>1.2220560858829019</v>
      </c>
      <c r="G86" s="4">
        <f ca="1">G163*'Total Trip Tables Sup #1'!G86</f>
        <v>1.2261327929178885</v>
      </c>
      <c r="H86" s="4">
        <f ca="1">H163*'Total Trip Tables Sup #1'!H86</f>
        <v>1.2254911556109729</v>
      </c>
      <c r="I86" s="1">
        <f ca="1">I163*'Total Trip Tables Sup #1'!I86</f>
        <v>1.2141388453520496</v>
      </c>
      <c r="J86" s="1">
        <f ca="1">J163*'Total Trip Tables Sup #1'!J86</f>
        <v>1.1990203899293488</v>
      </c>
      <c r="K86" s="1">
        <f ca="1">K163*'Total Trip Tables Sup #1'!K86</f>
        <v>1.1815057990470066</v>
      </c>
    </row>
    <row r="87" spans="1:11" x14ac:dyDescent="0.25">
      <c r="A87" t="str">
        <f ca="1">OFFSET(Manawatu_Reference,35,2)</f>
        <v>Motorcyclist</v>
      </c>
      <c r="B87" s="4">
        <f ca="1">B164*'Total Trip Tables Sup #1'!B87</f>
        <v>0.79000583589999995</v>
      </c>
      <c r="C87" s="4">
        <f ca="1">C164*'Total Trip Tables Sup #1'!C87</f>
        <v>0.81440019329711577</v>
      </c>
      <c r="D87" s="4">
        <f ca="1">D164*'Total Trip Tables Sup #1'!D87</f>
        <v>0.81344158020737212</v>
      </c>
      <c r="E87" s="4">
        <f ca="1">E164*'Total Trip Tables Sup #1'!E87</f>
        <v>0.81021630993597338</v>
      </c>
      <c r="F87" s="4">
        <f ca="1">F164*'Total Trip Tables Sup #1'!F87</f>
        <v>0.80134823131764987</v>
      </c>
      <c r="G87" s="4">
        <f ca="1">G164*'Total Trip Tables Sup #1'!G87</f>
        <v>0.77806822644357088</v>
      </c>
      <c r="H87" s="4">
        <f ca="1">H164*'Total Trip Tables Sup #1'!H87</f>
        <v>0.75032735932324468</v>
      </c>
      <c r="I87" s="1">
        <f ca="1">I164*'Total Trip Tables Sup #1'!I87</f>
        <v>0.74849905557445406</v>
      </c>
      <c r="J87" s="1">
        <f ca="1">J164*'Total Trip Tables Sup #1'!J87</f>
        <v>0.7443119665802963</v>
      </c>
      <c r="K87" s="1">
        <f ca="1">K164*'Total Trip Tables Sup #1'!K87</f>
        <v>0.73856863349708168</v>
      </c>
    </row>
    <row r="88" spans="1:11" x14ac:dyDescent="0.25">
      <c r="A88" t="str">
        <f ca="1">OFFSET(Taranaki_Reference,42,2)</f>
        <v>Local Train</v>
      </c>
      <c r="B88" s="4">
        <f ca="1">B165*'Total Trip Tables Sup #1'!B88</f>
        <v>0</v>
      </c>
      <c r="C88" s="4">
        <f ca="1">C165*'Total Trip Tables Sup #1'!C88</f>
        <v>0</v>
      </c>
      <c r="D88" s="4">
        <f ca="1">D165*'Total Trip Tables Sup #1'!D88</f>
        <v>0</v>
      </c>
      <c r="E88" s="4">
        <f ca="1">E165*'Total Trip Tables Sup #1'!E88</f>
        <v>0</v>
      </c>
      <c r="F88" s="4">
        <f ca="1">F165*'Total Trip Tables Sup #1'!F88</f>
        <v>0</v>
      </c>
      <c r="G88" s="4">
        <f ca="1">G165*'Total Trip Tables Sup #1'!G88</f>
        <v>0</v>
      </c>
      <c r="H88" s="4">
        <f ca="1">H165*'Total Trip Tables Sup #1'!H88</f>
        <v>0</v>
      </c>
      <c r="I88" s="1">
        <f ca="1">I165*'Total Trip Tables Sup #1'!I88</f>
        <v>0</v>
      </c>
      <c r="J88" s="1">
        <f ca="1">J165*'Total Trip Tables Sup #1'!J88</f>
        <v>0</v>
      </c>
      <c r="K88" s="1">
        <f ca="1">K165*'Total Trip Tables Sup #1'!K88</f>
        <v>0</v>
      </c>
    </row>
    <row r="89" spans="1:11" x14ac:dyDescent="0.25">
      <c r="A89" t="str">
        <f ca="1">OFFSET(Manawatu_Reference,42,2)</f>
        <v>Local Bus</v>
      </c>
      <c r="B89" s="4">
        <f ca="1">B166*'Total Trip Tables Sup #1'!B89</f>
        <v>5.2110099151</v>
      </c>
      <c r="C89" s="4">
        <f ca="1">C166*'Total Trip Tables Sup #1'!C89</f>
        <v>5.0028240224953873</v>
      </c>
      <c r="D89" s="4">
        <f ca="1">D166*'Total Trip Tables Sup #1'!D89</f>
        <v>4.7938256836270465</v>
      </c>
      <c r="E89" s="4">
        <f ca="1">E166*'Total Trip Tables Sup #1'!E89</f>
        <v>4.6637739537666665</v>
      </c>
      <c r="F89" s="4">
        <f ca="1">F166*'Total Trip Tables Sup #1'!F89</f>
        <v>4.4796833587175033</v>
      </c>
      <c r="G89" s="4">
        <f ca="1">G166*'Total Trip Tables Sup #1'!G89</f>
        <v>4.3243154965677917</v>
      </c>
      <c r="H89" s="4">
        <f ca="1">H166*'Total Trip Tables Sup #1'!H89</f>
        <v>4.1512460064901768</v>
      </c>
      <c r="I89" s="1">
        <f ca="1">I166*'Total Trip Tables Sup #1'!I89</f>
        <v>4.1224721428346491</v>
      </c>
      <c r="J89" s="1">
        <f ca="1">J166*'Total Trip Tables Sup #1'!J89</f>
        <v>4.0808907931254694</v>
      </c>
      <c r="K89" s="1">
        <f ca="1">K166*'Total Trip Tables Sup #1'!K89</f>
        <v>4.0310705625886518</v>
      </c>
    </row>
    <row r="90" spans="1:11" x14ac:dyDescent="0.25">
      <c r="A90" t="str">
        <f ca="1">OFFSET(Manawatu_Reference,49,2)</f>
        <v>Local Ferry</v>
      </c>
      <c r="B90" s="4">
        <f ca="1">B167*'Total Trip Tables Sup #1'!B90</f>
        <v>0.1068619116</v>
      </c>
      <c r="C90" s="4">
        <f ca="1">C167*'Total Trip Tables Sup #1'!C90</f>
        <v>0.11453902535150884</v>
      </c>
      <c r="D90" s="4">
        <f ca="1">D167*'Total Trip Tables Sup #1'!D90</f>
        <v>0.11881351422212748</v>
      </c>
      <c r="E90" s="4">
        <f ca="1">E167*'Total Trip Tables Sup #1'!E90</f>
        <v>0.1198150889266871</v>
      </c>
      <c r="F90" s="4">
        <f ca="1">F167*'Total Trip Tables Sup #1'!F90</f>
        <v>0.1188710813126717</v>
      </c>
      <c r="G90" s="4">
        <f ca="1">G167*'Total Trip Tables Sup #1'!G90</f>
        <v>0.12006094884445996</v>
      </c>
      <c r="H90" s="4">
        <f ca="1">H167*'Total Trip Tables Sup #1'!H90</f>
        <v>0.12000869124274796</v>
      </c>
      <c r="I90" s="1">
        <f ca="1">I167*'Total Trip Tables Sup #1'!I90</f>
        <v>0.11716801658337482</v>
      </c>
      <c r="J90" s="1">
        <f ca="1">J167*'Total Trip Tables Sup #1'!J90</f>
        <v>0.11405553900389739</v>
      </c>
      <c r="K90" s="1">
        <f ca="1">K167*'Total Trip Tables Sup #1'!K90</f>
        <v>0.11081161615046334</v>
      </c>
    </row>
    <row r="91" spans="1:11" x14ac:dyDescent="0.25">
      <c r="A91" t="str">
        <f ca="1">OFFSET(Manawatu_Reference,56,2)</f>
        <v>Other Household Travel</v>
      </c>
      <c r="B91" s="4">
        <f ca="1">B168*'Total Trip Tables Sup #1'!B91</f>
        <v>0.24513607779999999</v>
      </c>
      <c r="C91" s="4">
        <f ca="1">C168*'Total Trip Tables Sup #1'!C91</f>
        <v>0.25470038295698183</v>
      </c>
      <c r="D91" s="4">
        <f ca="1">D168*'Total Trip Tables Sup #1'!D91</f>
        <v>0.26171496342590583</v>
      </c>
      <c r="E91" s="4">
        <f ca="1">E168*'Total Trip Tables Sup #1'!E91</f>
        <v>0.26630823235531687</v>
      </c>
      <c r="F91" s="4">
        <f ca="1">F168*'Total Trip Tables Sup #1'!F91</f>
        <v>0.26847015111649769</v>
      </c>
      <c r="G91" s="4">
        <f ca="1">G168*'Total Trip Tables Sup #1'!G91</f>
        <v>0.26830188133245719</v>
      </c>
      <c r="H91" s="4">
        <f ca="1">H168*'Total Trip Tables Sup #1'!H91</f>
        <v>0.26433900381333059</v>
      </c>
      <c r="I91" s="1">
        <f ca="1">I168*'Total Trip Tables Sup #1'!I91</f>
        <v>0.26313526271365711</v>
      </c>
      <c r="J91" s="1">
        <f ca="1">J168*'Total Trip Tables Sup #1'!J91</f>
        <v>0.26111007184357288</v>
      </c>
      <c r="K91" s="1">
        <f ca="1">K168*'Total Trip Tables Sup #1'!K91</f>
        <v>0.25855010747298107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B159*'Total Trip Tables Sup #1'!B93*(1+'Active Mode Assumptions'!B7)-('PT Assumptions'!B44*'Total Trip Tables Sup #2'!B171+'PT Assumptions'!B56*'Total Trip Tables Sup #2'!B174)</f>
        <v>182.29561206</v>
      </c>
      <c r="C93" s="4">
        <f ca="1">C159*'Total Trip Tables Sup #1'!C93*(1+'Active Mode Assumptions'!C7)-('PT Assumptions'!C44*'Total Trip Tables Sup #2'!C171+'PT Assumptions'!C56*'Total Trip Tables Sup #2'!C174)</f>
        <v>190.11052264537355</v>
      </c>
      <c r="D93" s="4">
        <f ca="1">D159*'Total Trip Tables Sup #1'!D93*(1+'Active Mode Assumptions'!D7)-('PT Assumptions'!D44*'Total Trip Tables Sup #2'!D171+'PT Assumptions'!D56*'Total Trip Tables Sup #2'!D174)</f>
        <v>204.75087040509004</v>
      </c>
      <c r="E93" s="4">
        <f ca="1">E159*'Total Trip Tables Sup #1'!E93*(1+'Active Mode Assumptions'!E7)-('PT Assumptions'!E44*'Total Trip Tables Sup #2'!E171+'PT Assumptions'!E56*'Total Trip Tables Sup #2'!E174)</f>
        <v>216.98597826934065</v>
      </c>
      <c r="F93" s="4">
        <f ca="1">F159*'Total Trip Tables Sup #1'!F93*(1+'Active Mode Assumptions'!F7)-('PT Assumptions'!F44*'Total Trip Tables Sup #2'!F171+'PT Assumptions'!F56*'Total Trip Tables Sup #2'!F174)</f>
        <v>227.29109962341192</v>
      </c>
      <c r="G93" s="4">
        <f ca="1">G159*'Total Trip Tables Sup #1'!G93*(1+'Active Mode Assumptions'!G7)-('PT Assumptions'!G44*'Total Trip Tables Sup #2'!G171+'PT Assumptions'!G56*'Total Trip Tables Sup #2'!G174)</f>
        <v>236.22624517072398</v>
      </c>
      <c r="H93" s="4">
        <f ca="1">H159*'Total Trip Tables Sup #1'!H93*(1+'Active Mode Assumptions'!H7)-('PT Assumptions'!H44*'Total Trip Tables Sup #2'!H171+'PT Assumptions'!H56*'Total Trip Tables Sup #2'!H174)</f>
        <v>243.8576767652165</v>
      </c>
      <c r="I93" s="1">
        <f ca="1">I159*'Total Trip Tables Sup #1'!I93*(1+'Active Mode Assumptions'!I7)-('PT Assumptions'!I44*'Total Trip Tables Sup #2'!I171+'PT Assumptions'!I56*'Total Trip Tables Sup #2'!I174)</f>
        <v>245.48714943587044</v>
      </c>
      <c r="J93" s="1">
        <f ca="1">J159*'Total Trip Tables Sup #1'!J93*(1+'Active Mode Assumptions'!J7)-('PT Assumptions'!J44*'Total Trip Tables Sup #2'!J171+'PT Assumptions'!J56*'Total Trip Tables Sup #2'!J174)</f>
        <v>246.33777095149665</v>
      </c>
      <c r="K93" s="1">
        <f ca="1">K159*'Total Trip Tables Sup #1'!K93*(1+'Active Mode Assumptions'!K7)-('PT Assumptions'!K44*'Total Trip Tables Sup #2'!K171+'PT Assumptions'!K56*'Total Trip Tables Sup #2'!K174)</f>
        <v>246.65806923130754</v>
      </c>
    </row>
    <row r="94" spans="1:11" x14ac:dyDescent="0.25">
      <c r="A94" t="str">
        <f ca="1">OFFSET(Wellington_Reference,7,2)</f>
        <v>Cyclist</v>
      </c>
      <c r="B94" s="4">
        <f ca="1">B160*'Total Trip Tables Sup #1'!B94*(1+'Active Mode Assumptions'!B16)-('PT Assumptions'!B45*'Total Trip Tables Sup #2'!B171+'PT Assumptions'!B57*'Total Trip Tables Sup #2'!B174)</f>
        <v>8.1327913301999999</v>
      </c>
      <c r="C94" s="4">
        <f ca="1">C160*'Total Trip Tables Sup #1'!C94*(1+'Active Mode Assumptions'!C16)-('PT Assumptions'!C45*'Total Trip Tables Sup #2'!C171+'PT Assumptions'!C57*'Total Trip Tables Sup #2'!C174)</f>
        <v>8.4628443523403014</v>
      </c>
      <c r="D94" s="4">
        <f ca="1">D160*'Total Trip Tables Sup #1'!D94*(1+'Active Mode Assumptions'!D16)-('PT Assumptions'!D45*'Total Trip Tables Sup #2'!D171+'PT Assumptions'!D57*'Total Trip Tables Sup #2'!D174)</f>
        <v>11.943102442248627</v>
      </c>
      <c r="E94" s="4">
        <f ca="1">E160*'Total Trip Tables Sup #1'!E94*(1+'Active Mode Assumptions'!E16)-('PT Assumptions'!E45*'Total Trip Tables Sup #2'!E171+'PT Assumptions'!E57*'Total Trip Tables Sup #2'!E174)</f>
        <v>15.259075124060724</v>
      </c>
      <c r="F94" s="4">
        <f ca="1">F160*'Total Trip Tables Sup #1'!F94*(1+'Active Mode Assumptions'!F16)-('PT Assumptions'!F45*'Total Trip Tables Sup #2'!F171+'PT Assumptions'!F57*'Total Trip Tables Sup #2'!F174)</f>
        <v>18.518158114634243</v>
      </c>
      <c r="G94" s="4">
        <f ca="1">G160*'Total Trip Tables Sup #1'!G94*(1+'Active Mode Assumptions'!G16)-('PT Assumptions'!G45*'Total Trip Tables Sup #2'!G171+'PT Assumptions'!G57*'Total Trip Tables Sup #2'!G174)</f>
        <v>21.708105716247321</v>
      </c>
      <c r="H94" s="4">
        <f ca="1">H160*'Total Trip Tables Sup #1'!H94*(1+'Active Mode Assumptions'!H16)-('PT Assumptions'!H45*'Total Trip Tables Sup #2'!H171+'PT Assumptions'!H57*'Total Trip Tables Sup #2'!H174)</f>
        <v>24.814470922989376</v>
      </c>
      <c r="I94" s="1">
        <f ca="1">I160*'Total Trip Tables Sup #1'!I94*(1+'Active Mode Assumptions'!I16)-('PT Assumptions'!I45*'Total Trip Tables Sup #2'!I171+'PT Assumptions'!I57*'Total Trip Tables Sup #2'!I174)</f>
        <v>25.126474520583336</v>
      </c>
      <c r="J94" s="1">
        <f ca="1">J160*'Total Trip Tables Sup #1'!J94*(1+'Active Mode Assumptions'!J16)-('PT Assumptions'!J45*'Total Trip Tables Sup #2'!J171+'PT Assumptions'!J57*'Total Trip Tables Sup #2'!J174)</f>
        <v>25.363968647219323</v>
      </c>
      <c r="K94" s="1">
        <f ca="1">K160*'Total Trip Tables Sup #1'!K94*(1+'Active Mode Assumptions'!K16)-('PT Assumptions'!K45*'Total Trip Tables Sup #2'!K171+'PT Assumptions'!K57*'Total Trip Tables Sup #2'!K174)</f>
        <v>25.551221418166062</v>
      </c>
    </row>
    <row r="95" spans="1:11" x14ac:dyDescent="0.25">
      <c r="A95" t="str">
        <f ca="1">OFFSET(Wellington_Reference,14,2)</f>
        <v>Light Vehicle Driver</v>
      </c>
      <c r="B95" s="4">
        <f ca="1">(B161*'Total Trip Tables Sup #1'!B95-'PT Assumptions'!B46*'Total Trip Tables Sup #2'!B171-'PT Assumptions'!B58*'Total Trip Tables Sup #2'!B174)-(B159*'Total Trip Tables Sup #1'!B93)*'Active Mode Assumptions'!B7*'Active Mode Assumptions'!B14-(B160*'Total Trip Tables Sup #1'!B94)*'Active Mode Assumptions'!B16*'Active Mode Assumptions'!B23</f>
        <v>377.93589692</v>
      </c>
      <c r="C95" s="4">
        <f ca="1">(C161*'Total Trip Tables Sup #1'!C95-'PT Assumptions'!C46*'Total Trip Tables Sup #2'!C171-'PT Assumptions'!C58*'Total Trip Tables Sup #2'!C174)-(C159*'Total Trip Tables Sup #1'!C93)*'Active Mode Assumptions'!C7*'Active Mode Assumptions'!C14-(C160*'Total Trip Tables Sup #1'!C94)*'Active Mode Assumptions'!C16*'Active Mode Assumptions'!C23</f>
        <v>404.20995175072181</v>
      </c>
      <c r="D95" s="4">
        <f ca="1">(D161*'Total Trip Tables Sup #1'!D95-'PT Assumptions'!D46*'Total Trip Tables Sup #2'!D171-'PT Assumptions'!D58*'Total Trip Tables Sup #2'!D174)-(D159*'Total Trip Tables Sup #1'!D93)*'Active Mode Assumptions'!D7*'Active Mode Assumptions'!D14-(D160*'Total Trip Tables Sup #1'!D94)*'Active Mode Assumptions'!D16*'Active Mode Assumptions'!D23</f>
        <v>412.46179972950324</v>
      </c>
      <c r="E95" s="4">
        <f ca="1">(E161*'Total Trip Tables Sup #1'!E95-'PT Assumptions'!E46*'Total Trip Tables Sup #2'!E171-'PT Assumptions'!E58*'Total Trip Tables Sup #2'!E174)-(E159*'Total Trip Tables Sup #1'!E93)*'Active Mode Assumptions'!E7*'Active Mode Assumptions'!E14-(E160*'Total Trip Tables Sup #1'!E94)*'Active Mode Assumptions'!E16*'Active Mode Assumptions'!E23</f>
        <v>420.02387497584994</v>
      </c>
      <c r="F95" s="4">
        <f ca="1">(F161*'Total Trip Tables Sup #1'!F95-'PT Assumptions'!F46*'Total Trip Tables Sup #2'!F171-'PT Assumptions'!F58*'Total Trip Tables Sup #2'!F174)-(F159*'Total Trip Tables Sup #1'!F93)*'Active Mode Assumptions'!F7*'Active Mode Assumptions'!F14-(F160*'Total Trip Tables Sup #1'!F94)*'Active Mode Assumptions'!F16*'Active Mode Assumptions'!F23</f>
        <v>425.98292916625564</v>
      </c>
      <c r="G95" s="4">
        <f ca="1">(G161*'Total Trip Tables Sup #1'!G95-'PT Assumptions'!G46*'Total Trip Tables Sup #2'!G171-'PT Assumptions'!G58*'Total Trip Tables Sup #2'!G174)-(G159*'Total Trip Tables Sup #1'!G93)*'Active Mode Assumptions'!G7*'Active Mode Assumptions'!G14-(G160*'Total Trip Tables Sup #1'!G94)*'Active Mode Assumptions'!G16*'Active Mode Assumptions'!G23</f>
        <v>427.14292260249999</v>
      </c>
      <c r="H95" s="4">
        <f ca="1">(H161*'Total Trip Tables Sup #1'!H95-'PT Assumptions'!H46*'Total Trip Tables Sup #2'!H171-'PT Assumptions'!H58*'Total Trip Tables Sup #2'!H174)-(H159*'Total Trip Tables Sup #1'!H93)*'Active Mode Assumptions'!H7*'Active Mode Assumptions'!H14-(H160*'Total Trip Tables Sup #1'!H94)*'Active Mode Assumptions'!H16*'Active Mode Assumptions'!H23</f>
        <v>426.04556807014069</v>
      </c>
      <c r="I95" s="1">
        <f ca="1">(I161*'Total Trip Tables Sup #1'!I95-'PT Assumptions'!I46*'Total Trip Tables Sup #2'!I171-'PT Assumptions'!I58*'Total Trip Tables Sup #2'!I174)-(I159*'Total Trip Tables Sup #1'!I93)*'Active Mode Assumptions'!I7*'Active Mode Assumptions'!I14-(I160*'Total Trip Tables Sup #1'!I94)*'Active Mode Assumptions'!I16*'Active Mode Assumptions'!I23</f>
        <v>428.54447037423415</v>
      </c>
      <c r="J95" s="1">
        <f ca="1">(J161*'Total Trip Tables Sup #1'!J95-'PT Assumptions'!J46*'Total Trip Tables Sup #2'!J171-'PT Assumptions'!J58*'Total Trip Tables Sup #2'!J174)-(J159*'Total Trip Tables Sup #1'!J93)*'Active Mode Assumptions'!J7*'Active Mode Assumptions'!J14-(J160*'Total Trip Tables Sup #1'!J94)*'Active Mode Assumptions'!J16*'Active Mode Assumptions'!J23</f>
        <v>429.60820880325218</v>
      </c>
      <c r="K95" s="1">
        <f ca="1">(K161*'Total Trip Tables Sup #1'!K95-'PT Assumptions'!K46*'Total Trip Tables Sup #2'!K171-'PT Assumptions'!K58*'Total Trip Tables Sup #2'!K174)-(K159*'Total Trip Tables Sup #1'!K93)*'Active Mode Assumptions'!K7*'Active Mode Assumptions'!K14-(K160*'Total Trip Tables Sup #1'!K94)*'Active Mode Assumptions'!K16*'Active Mode Assumptions'!K23</f>
        <v>429.68166980966163</v>
      </c>
    </row>
    <row r="96" spans="1:11" x14ac:dyDescent="0.25">
      <c r="A96" t="str">
        <f ca="1">OFFSET(Wellington_Reference,21,2)</f>
        <v>Light Vehicle Passenger</v>
      </c>
      <c r="B96" s="4">
        <f ca="1">(B162*'Total Trip Tables Sup #1'!B96-'PT Assumptions'!B47*'Total Trip Tables Sup #2'!B171-'PT Assumptions'!B59*'Total Trip Tables Sup #2'!B174)-(B159*'Total Trip Tables Sup #1'!B93)*'Active Mode Assumptions'!B7*'Active Mode Assumptions'!B15-(B160*'Total Trip Tables Sup #1'!B94)*'Active Mode Assumptions'!B16*'Active Mode Assumptions'!B24</f>
        <v>183.55442563000003</v>
      </c>
      <c r="C96" s="4">
        <f ca="1">(C162*'Total Trip Tables Sup #1'!C96-'PT Assumptions'!C47*'Total Trip Tables Sup #2'!C171-'PT Assumptions'!C59*'Total Trip Tables Sup #2'!C174)-(C159*'Total Trip Tables Sup #1'!C93)*'Active Mode Assumptions'!C7*'Active Mode Assumptions'!C15-(C160*'Total Trip Tables Sup #1'!C94)*'Active Mode Assumptions'!C16*'Active Mode Assumptions'!C24</f>
        <v>187.00548724075162</v>
      </c>
      <c r="D96" s="4">
        <f ca="1">(D162*'Total Trip Tables Sup #1'!D96-'PT Assumptions'!D47*'Total Trip Tables Sup #2'!D171-'PT Assumptions'!D59*'Total Trip Tables Sup #2'!D174)-(D159*'Total Trip Tables Sup #1'!D93)*'Active Mode Assumptions'!D7*'Active Mode Assumptions'!D15-(D160*'Total Trip Tables Sup #1'!D94)*'Active Mode Assumptions'!D16*'Active Mode Assumptions'!D24</f>
        <v>182.64013131216055</v>
      </c>
      <c r="E96" s="4">
        <f ca="1">(E162*'Total Trip Tables Sup #1'!E96-'PT Assumptions'!E47*'Total Trip Tables Sup #2'!E171-'PT Assumptions'!E59*'Total Trip Tables Sup #2'!E174)-(E159*'Total Trip Tables Sup #1'!E93)*'Active Mode Assumptions'!E7*'Active Mode Assumptions'!E15-(E160*'Total Trip Tables Sup #1'!E94)*'Active Mode Assumptions'!E16*'Active Mode Assumptions'!E24</f>
        <v>177.84384727603575</v>
      </c>
      <c r="F96" s="4">
        <f ca="1">(F162*'Total Trip Tables Sup #1'!F96-'PT Assumptions'!F47*'Total Trip Tables Sup #2'!F171-'PT Assumptions'!F59*'Total Trip Tables Sup #2'!F174)-(F159*'Total Trip Tables Sup #1'!F93)*'Active Mode Assumptions'!F7*'Active Mode Assumptions'!F15-(F160*'Total Trip Tables Sup #1'!F94)*'Active Mode Assumptions'!F16*'Active Mode Assumptions'!F24</f>
        <v>173.03532749973925</v>
      </c>
      <c r="G96" s="4">
        <f ca="1">(G162*'Total Trip Tables Sup #1'!G96-'PT Assumptions'!G47*'Total Trip Tables Sup #2'!G171-'PT Assumptions'!G59*'Total Trip Tables Sup #2'!G174)-(G159*'Total Trip Tables Sup #1'!G93)*'Active Mode Assumptions'!G7*'Active Mode Assumptions'!G15-(G160*'Total Trip Tables Sup #1'!G94)*'Active Mode Assumptions'!G16*'Active Mode Assumptions'!G24</f>
        <v>167.09986579703519</v>
      </c>
      <c r="H96" s="4">
        <f ca="1">(H162*'Total Trip Tables Sup #1'!H96-'PT Assumptions'!H47*'Total Trip Tables Sup #2'!H171-'PT Assumptions'!H59*'Total Trip Tables Sup #2'!H174)-(H159*'Total Trip Tables Sup #1'!H93)*'Active Mode Assumptions'!H7*'Active Mode Assumptions'!H15-(H160*'Total Trip Tables Sup #1'!H94)*'Active Mode Assumptions'!H16*'Active Mode Assumptions'!H24</f>
        <v>160.26201575405705</v>
      </c>
      <c r="I96" s="1">
        <f ca="1">(I162*'Total Trip Tables Sup #1'!I96-'PT Assumptions'!I47*'Total Trip Tables Sup #2'!I171-'PT Assumptions'!I59*'Total Trip Tables Sup #2'!I174)-(I159*'Total Trip Tables Sup #1'!I93)*'Active Mode Assumptions'!I7*'Active Mode Assumptions'!I15-(I160*'Total Trip Tables Sup #1'!I94)*'Active Mode Assumptions'!I16*'Active Mode Assumptions'!I24</f>
        <v>160.85068148230803</v>
      </c>
      <c r="J96" s="1">
        <f ca="1">(J162*'Total Trip Tables Sup #1'!J96-'PT Assumptions'!J47*'Total Trip Tables Sup #2'!J171-'PT Assumptions'!J59*'Total Trip Tables Sup #2'!J174)-(J159*'Total Trip Tables Sup #1'!J93)*'Active Mode Assumptions'!J7*'Active Mode Assumptions'!J15-(J160*'Total Trip Tables Sup #1'!J94)*'Active Mode Assumptions'!J16*'Active Mode Assumptions'!J24</f>
        <v>160.84717920719135</v>
      </c>
      <c r="K96" s="1">
        <f ca="1">(K162*'Total Trip Tables Sup #1'!K96-'PT Assumptions'!K47*'Total Trip Tables Sup #2'!K171-'PT Assumptions'!K59*'Total Trip Tables Sup #2'!K174)-(K159*'Total Trip Tables Sup #1'!K93)*'Active Mode Assumptions'!K7*'Active Mode Assumptions'!K15-(K160*'Total Trip Tables Sup #1'!K94)*'Active Mode Assumptions'!K16*'Active Mode Assumptions'!K24</f>
        <v>160.42759341828292</v>
      </c>
    </row>
    <row r="97" spans="1:11" x14ac:dyDescent="0.25">
      <c r="A97" t="str">
        <f ca="1">OFFSET(Wellington_Reference,28,2)</f>
        <v>Taxi/Vehicle Share</v>
      </c>
      <c r="B97" s="4">
        <f ca="1">B163*'Total Trip Tables Sup #1'!B97</f>
        <v>2.3579512121000001</v>
      </c>
      <c r="C97" s="4">
        <f ca="1">C163*'Total Trip Tables Sup #1'!C97</f>
        <v>2.6373700565288236</v>
      </c>
      <c r="D97" s="4">
        <f ca="1">D163*'Total Trip Tables Sup #1'!D97</f>
        <v>2.8277640783462465</v>
      </c>
      <c r="E97" s="4">
        <f ca="1">E163*'Total Trip Tables Sup #1'!E97</f>
        <v>2.9649536307312019</v>
      </c>
      <c r="F97" s="4">
        <f ca="1">F163*'Total Trip Tables Sup #1'!F97</f>
        <v>3.0693056499200728</v>
      </c>
      <c r="G97" s="4">
        <f ca="1">G163*'Total Trip Tables Sup #1'!G97</f>
        <v>3.1261043117265919</v>
      </c>
      <c r="H97" s="4">
        <f ca="1">H163*'Total Trip Tables Sup #1'!H97</f>
        <v>3.1712515893473059</v>
      </c>
      <c r="I97" s="1">
        <f ca="1">I163*'Total Trip Tables Sup #1'!I97</f>
        <v>3.1889185715914983</v>
      </c>
      <c r="J97" s="1">
        <f ca="1">J163*'Total Trip Tables Sup #1'!J97</f>
        <v>3.196363796742594</v>
      </c>
      <c r="K97" s="1">
        <f ca="1">K163*'Total Trip Tables Sup #1'!K97</f>
        <v>3.1968337458696214</v>
      </c>
    </row>
    <row r="98" spans="1:11" x14ac:dyDescent="0.25">
      <c r="A98" t="str">
        <f ca="1">OFFSET(Wellington_Reference,35,2)</f>
        <v>Motorcyclist</v>
      </c>
      <c r="B98" s="4">
        <f ca="1">B164*'Total Trip Tables Sup #1'!B98</f>
        <v>2.4968267649999998</v>
      </c>
      <c r="C98" s="4">
        <f ca="1">C164*'Total Trip Tables Sup #1'!C98</f>
        <v>2.6192879010490495</v>
      </c>
      <c r="D98" s="4">
        <f ca="1">D164*'Total Trip Tables Sup #1'!D98</f>
        <v>2.6587293068393216</v>
      </c>
      <c r="E98" s="4">
        <f ca="1">E164*'Total Trip Tables Sup #1'!E98</f>
        <v>2.6844917221349278</v>
      </c>
      <c r="F98" s="4">
        <f ca="1">F164*'Total Trip Tables Sup #1'!F98</f>
        <v>2.6943123737849879</v>
      </c>
      <c r="G98" s="4">
        <f ca="1">G164*'Total Trip Tables Sup #1'!G98</f>
        <v>2.6555916874366798</v>
      </c>
      <c r="H98" s="4">
        <f ca="1">H164*'Total Trip Tables Sup #1'!H98</f>
        <v>2.5992554386525262</v>
      </c>
      <c r="I98" s="1">
        <f ca="1">I164*'Total Trip Tables Sup #1'!I98</f>
        <v>2.6317461392852928</v>
      </c>
      <c r="J98" s="1">
        <f ca="1">J164*'Total Trip Tables Sup #1'!J98</f>
        <v>2.6562093316621729</v>
      </c>
      <c r="K98" s="1">
        <f ca="1">K164*'Total Trip Tables Sup #1'!K98</f>
        <v>2.6751781907198087</v>
      </c>
    </row>
    <row r="99" spans="1:11" x14ac:dyDescent="0.25">
      <c r="A99" t="str">
        <f ca="1">OFFSET(Wellington_Reference,42,2)</f>
        <v>Local Train</v>
      </c>
      <c r="B99" s="4">
        <f ca="1">'Total Trip Tables Sup #1'!B99*(1+'PT Assumptions'!B37)</f>
        <v>12.37</v>
      </c>
      <c r="C99" s="4">
        <f ca="1">'Total Trip Tables Sup #1'!C99*(1+'PT Assumptions'!C37)</f>
        <v>13.423661034059892</v>
      </c>
      <c r="D99" s="4">
        <f ca="1">'Total Trip Tables Sup #1'!D99*(1+'PT Assumptions'!D37)</f>
        <v>14.829820006015797</v>
      </c>
      <c r="E99" s="4">
        <f ca="1">'Total Trip Tables Sup #1'!E99*(1+'PT Assumptions'!E37)</f>
        <v>15.832557028422634</v>
      </c>
      <c r="F99" s="4">
        <f ca="1">'Total Trip Tables Sup #1'!F99*(1+'PT Assumptions'!F37)</f>
        <v>16.504717117958769</v>
      </c>
      <c r="G99" s="4">
        <f ca="1">'Total Trip Tables Sup #1'!G99*(1+'PT Assumptions'!G37)</f>
        <v>17.161451428292018</v>
      </c>
      <c r="H99" s="4">
        <f ca="1">'Total Trip Tables Sup #1'!H99*(1+'PT Assumptions'!H37)</f>
        <v>17.774841103180083</v>
      </c>
      <c r="I99" s="1">
        <f ca="1">'Total Trip Tables Sup #1'!I99*(1+'PT Assumptions'!I37)</f>
        <v>18.798148582157339</v>
      </c>
      <c r="J99" s="1">
        <f ca="1">'Total Trip Tables Sup #1'!J99*(1+'PT Assumptions'!J37)</f>
        <v>19.872856397820694</v>
      </c>
      <c r="K99" s="1">
        <f ca="1">'Total Trip Tables Sup #1'!K99*(1+'PT Assumptions'!K37)</f>
        <v>21.009006269014144</v>
      </c>
    </row>
    <row r="100" spans="1:11" x14ac:dyDescent="0.25">
      <c r="A100" t="str">
        <f ca="1">OFFSET(Wellington_Reference,49,2)</f>
        <v>Local Bus</v>
      </c>
      <c r="B100" s="4">
        <f ca="1">'Total Trip Tables Sup #1'!B100*(1+'PT Assumptions'!B49)</f>
        <v>23.4</v>
      </c>
      <c r="C100" s="4">
        <f ca="1">'Total Trip Tables Sup #1'!C100*(1+'PT Assumptions'!C49)</f>
        <v>24.426956303383029</v>
      </c>
      <c r="D100" s="4">
        <f ca="1">'Total Trip Tables Sup #1'!D100*(1+'PT Assumptions'!D49)</f>
        <v>27.077449407995253</v>
      </c>
      <c r="E100" s="4">
        <f ca="1">'Total Trip Tables Sup #1'!E100*(1+'PT Assumptions'!E49)</f>
        <v>28.367755676191837</v>
      </c>
      <c r="F100" s="4">
        <f ca="1">'Total Trip Tables Sup #1'!F100*(1+'PT Assumptions'!F49)</f>
        <v>28.396008008167726</v>
      </c>
      <c r="G100" s="4">
        <f ca="1">'Total Trip Tables Sup #1'!G100*(1+'PT Assumptions'!G49)</f>
        <v>28.408753162618151</v>
      </c>
      <c r="H100" s="4">
        <f ca="1">'Total Trip Tables Sup #1'!H100*(1+'PT Assumptions'!H49)</f>
        <v>28.400671406832434</v>
      </c>
      <c r="I100" s="1">
        <f ca="1">'Total Trip Tables Sup #1'!I100*(1+'PT Assumptions'!I49)</f>
        <v>29.227854777307073</v>
      </c>
      <c r="J100" s="1">
        <f ca="1">'Total Trip Tables Sup #1'!J100*(1+'PT Assumptions'!J49)</f>
        <v>30.076147400479069</v>
      </c>
      <c r="K100" s="1">
        <f ca="1">'Total Trip Tables Sup #1'!K100*(1+'PT Assumptions'!K49)</f>
        <v>30.949060385973596</v>
      </c>
    </row>
    <row r="101" spans="1:11" x14ac:dyDescent="0.25">
      <c r="A101" t="str">
        <f ca="1">OFFSET(Wellington_Reference,56,2)</f>
        <v>Local Ferry</v>
      </c>
      <c r="B101" s="4">
        <f ca="1">B167*'Total Trip Tables Sup #1'!B101</f>
        <v>0.22615005399999999</v>
      </c>
      <c r="C101" s="4">
        <f ca="1">C167*'Total Trip Tables Sup #1'!C101</f>
        <v>0.24666895694488175</v>
      </c>
      <c r="D101" s="4">
        <f ca="1">D167*'Total Trip Tables Sup #1'!D101</f>
        <v>0.26003346397613103</v>
      </c>
      <c r="E101" s="4">
        <f ca="1">E167*'Total Trip Tables Sup #1'!E101</f>
        <v>0.26582036343678589</v>
      </c>
      <c r="F101" s="4">
        <f ca="1">F167*'Total Trip Tables Sup #1'!F101</f>
        <v>0.26761997238516866</v>
      </c>
      <c r="G101" s="4">
        <f ca="1">G167*'Total Trip Tables Sup #1'!G101</f>
        <v>0.27438542376792602</v>
      </c>
      <c r="H101" s="4">
        <f ca="1">H167*'Total Trip Tables Sup #1'!H101</f>
        <v>0.27837262435531579</v>
      </c>
      <c r="I101" s="1">
        <f ca="1">I167*'Total Trip Tables Sup #1'!I101</f>
        <v>0.27585284119349107</v>
      </c>
      <c r="J101" s="1">
        <f ca="1">J167*'Total Trip Tables Sup #1'!J101</f>
        <v>0.27254569300393255</v>
      </c>
      <c r="K101" s="1">
        <f ca="1">K167*'Total Trip Tables Sup #1'!K101</f>
        <v>0.26875885983195086</v>
      </c>
    </row>
    <row r="102" spans="1:11" x14ac:dyDescent="0.25">
      <c r="A102" t="str">
        <f ca="1">OFFSET(Wellington_Reference,63,2)</f>
        <v>Other Household Travel</v>
      </c>
      <c r="B102" s="4">
        <f ca="1">B168*'Total Trip Tables Sup #1'!B102</f>
        <v>0.33422365529999998</v>
      </c>
      <c r="C102" s="4">
        <f ca="1">C168*'Total Trip Tables Sup #1'!C102</f>
        <v>0.35338393848983418</v>
      </c>
      <c r="D102" s="4">
        <f ca="1">D168*'Total Trip Tables Sup #1'!D102</f>
        <v>0.36901850784695162</v>
      </c>
      <c r="E102" s="4">
        <f ca="1">E168*'Total Trip Tables Sup #1'!E102</f>
        <v>0.38064271252315357</v>
      </c>
      <c r="F102" s="4">
        <f ca="1">F168*'Total Trip Tables Sup #1'!F102</f>
        <v>0.38939871148276933</v>
      </c>
      <c r="G102" s="4">
        <f ca="1">G168*'Total Trip Tables Sup #1'!G102</f>
        <v>0.395038276487507</v>
      </c>
      <c r="H102" s="4">
        <f ca="1">H168*'Total Trip Tables Sup #1'!H102</f>
        <v>0.39503108151919497</v>
      </c>
      <c r="I102" s="1">
        <f ca="1">I168*'Total Trip Tables Sup #1'!I102</f>
        <v>0.39912012730625301</v>
      </c>
      <c r="J102" s="1">
        <f ca="1">J168*'Total Trip Tables Sup #1'!J102</f>
        <v>0.40197844045822301</v>
      </c>
      <c r="K102" s="1">
        <f ca="1">K168*'Total Trip Tables Sup #1'!K102</f>
        <v>0.40399725871530967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B159*'Total Trip Tables Sup #1'!B104</f>
        <v>34.609993433</v>
      </c>
      <c r="C104" s="4">
        <f ca="1">C159*'Total Trip Tables Sup #1'!C104*(1+'Active Mode Assumptions'!C7)</f>
        <v>35.755432891648447</v>
      </c>
      <c r="D104" s="4">
        <f ca="1">D159*'Total Trip Tables Sup #1'!D104*(1+'Active Mode Assumptions'!D7)</f>
        <v>38.40682636520922</v>
      </c>
      <c r="E104" s="4">
        <f ca="1">E159*'Total Trip Tables Sup #1'!E104*(1+'Active Mode Assumptions'!E7)</f>
        <v>40.574880740566691</v>
      </c>
      <c r="F104" s="4">
        <f ca="1">F159*'Total Trip Tables Sup #1'!F104*(1+'Active Mode Assumptions'!F7)</f>
        <v>42.291129849490275</v>
      </c>
      <c r="G104" s="4">
        <f ca="1">G159*'Total Trip Tables Sup #1'!G104*(1+'Active Mode Assumptions'!G7)</f>
        <v>43.677766558714175</v>
      </c>
      <c r="H104" s="4">
        <f ca="1">H159*'Total Trip Tables Sup #1'!H104*(1+'Active Mode Assumptions'!H7)</f>
        <v>44.731421612472808</v>
      </c>
      <c r="I104" s="1">
        <f ca="1">I159*'Total Trip Tables Sup #1'!I104*(1+'Active Mode Assumptions'!I7)</f>
        <v>44.673059815949912</v>
      </c>
      <c r="J104" s="1">
        <f ca="1">J159*'Total Trip Tables Sup #1'!J104*(1+'Active Mode Assumptions'!J7)</f>
        <v>44.475410729702531</v>
      </c>
      <c r="K104" s="1">
        <f ca="1">K159*'Total Trip Tables Sup #1'!K104*(1+'Active Mode Assumptions'!K7)</f>
        <v>44.186081913418313</v>
      </c>
    </row>
    <row r="105" spans="1:11" x14ac:dyDescent="0.25">
      <c r="A105" t="str">
        <f ca="1">OFFSET(Nelson_Reference,7,2)</f>
        <v>Cyclist</v>
      </c>
      <c r="B105" s="4">
        <f ca="1">B160*'Total Trip Tables Sup #1'!B105</f>
        <v>2.9519642961999999</v>
      </c>
      <c r="C105" s="4">
        <f ca="1">C160*'Total Trip Tables Sup #1'!C105*(1+'Active Mode Assumptions'!C16)</f>
        <v>3.0426455559036527</v>
      </c>
      <c r="D105" s="4">
        <f ca="1">D160*'Total Trip Tables Sup #1'!D105*(1+'Active Mode Assumptions'!D16)</f>
        <v>4.279785292571173</v>
      </c>
      <c r="E105" s="4">
        <f ca="1">E160*'Total Trip Tables Sup #1'!E105*(1+'Active Mode Assumptions'!E16)</f>
        <v>5.4489069130147589</v>
      </c>
      <c r="F105" s="4">
        <f ca="1">F160*'Total Trip Tables Sup #1'!F105*(1+'Active Mode Assumptions'!F16)</f>
        <v>6.5788860085905876</v>
      </c>
      <c r="G105" s="4">
        <f ca="1">G160*'Total Trip Tables Sup #1'!G105*(1+'Active Mode Assumptions'!G16)</f>
        <v>7.6623436305084907</v>
      </c>
      <c r="H105" s="4">
        <f ca="1">H160*'Total Trip Tables Sup #1'!H105*(1+'Active Mode Assumptions'!H16)</f>
        <v>8.6876015226455507</v>
      </c>
      <c r="I105" s="1">
        <f ca="1">I160*'Total Trip Tables Sup #1'!I105*(1+'Active Mode Assumptions'!I16)</f>
        <v>8.7257363333427946</v>
      </c>
      <c r="J105" s="1">
        <f ca="1">J160*'Total Trip Tables Sup #1'!J105*(1+'Active Mode Assumptions'!J16)</f>
        <v>8.7374337355820373</v>
      </c>
      <c r="K105" s="1">
        <f ca="1">K160*'Total Trip Tables Sup #1'!K105*(1+'Active Mode Assumptions'!K16)</f>
        <v>8.7316242342703276</v>
      </c>
    </row>
    <row r="106" spans="1:11" x14ac:dyDescent="0.25">
      <c r="A106" t="str">
        <f ca="1">OFFSET(Nelson_Reference,14,2)</f>
        <v>Light Vehicle Driver</v>
      </c>
      <c r="B106" s="4">
        <f ca="1">B161*'Total Trip Tables Sup #1'!B106</f>
        <v>98.206986838999995</v>
      </c>
      <c r="C106" s="4">
        <f ca="1">C161*'Total Trip Tables Sup #1'!C106-(C104*'Active Mode Assumptions'!C7*'Active Mode Assumptions'!C14/(1+'Active Mode Assumptions'!C7))-(C105*'Active Mode Assumptions'!C16*'Active Mode Assumptions'!C23/(1+'Active Mode Assumptions'!C16))</f>
        <v>104.09964095975037</v>
      </c>
      <c r="D106" s="4">
        <f ca="1">D161*'Total Trip Tables Sup #1'!D106-(D104*'Active Mode Assumptions'!D7*'Active Mode Assumptions'!D14/(1+'Active Mode Assumptions'!D7))-(D105*'Active Mode Assumptions'!D16*'Active Mode Assumptions'!D23/(1+'Active Mode Assumptions'!D16))</f>
        <v>106.32231606025431</v>
      </c>
      <c r="E106" s="4">
        <f ca="1">E161*'Total Trip Tables Sup #1'!E106-(E104*'Active Mode Assumptions'!E7*'Active Mode Assumptions'!E14/(1+'Active Mode Assumptions'!E7))-(E105*'Active Mode Assumptions'!E16*'Active Mode Assumptions'!E23/(1+'Active Mode Assumptions'!E16))</f>
        <v>108.24811678143648</v>
      </c>
      <c r="F106" s="4">
        <f ca="1">F161*'Total Trip Tables Sup #1'!F106-(F104*'Active Mode Assumptions'!F7*'Active Mode Assumptions'!F14/(1+'Active Mode Assumptions'!F7))-(F105*'Active Mode Assumptions'!F16*'Active Mode Assumptions'!F23/(1+'Active Mode Assumptions'!F16))</f>
        <v>109.46852846934017</v>
      </c>
      <c r="G106" s="4">
        <f ca="1">G161*'Total Trip Tables Sup #1'!G106-(G104*'Active Mode Assumptions'!G7*'Active Mode Assumptions'!G14/(1+'Active Mode Assumptions'!G7))-(G105*'Active Mode Assumptions'!G16*'Active Mode Assumptions'!G23/(1+'Active Mode Assumptions'!G16))</f>
        <v>109.31826975530113</v>
      </c>
      <c r="H106" s="4">
        <f ca="1">H161*'Total Trip Tables Sup #1'!H106-(H104*'Active Mode Assumptions'!H7*'Active Mode Assumptions'!H14/(1+'Active Mode Assumptions'!H7))-(H105*'Active Mode Assumptions'!H16*'Active Mode Assumptions'!H23/(1+'Active Mode Assumptions'!H16))</f>
        <v>108.42506543589533</v>
      </c>
      <c r="I106" s="1">
        <f ca="1">I161*'Total Trip Tables Sup #1'!I106-(I104*'Active Mode Assumptions'!I7*'Active Mode Assumptions'!I14/(1+'Active Mode Assumptions'!I7))-(I105*'Active Mode Assumptions'!I16*'Active Mode Assumptions'!I23/(1+'Active Mode Assumptions'!I16))</f>
        <v>108.31551346709333</v>
      </c>
      <c r="J106" s="1">
        <f ca="1">J161*'Total Trip Tables Sup #1'!J106-(J104*'Active Mode Assumptions'!J7*'Active Mode Assumptions'!J14/(1+'Active Mode Assumptions'!J7))-(J105*'Active Mode Assumptions'!J16*'Active Mode Assumptions'!J23/(1+'Active Mode Assumptions'!J16))</f>
        <v>107.86682905082435</v>
      </c>
      <c r="K106" s="1">
        <f ca="1">K161*'Total Trip Tables Sup #1'!K106-(K104*'Active Mode Assumptions'!K7*'Active Mode Assumptions'!K14/(1+'Active Mode Assumptions'!K7))-(K105*'Active Mode Assumptions'!K16*'Active Mode Assumptions'!K23/(1+'Active Mode Assumptions'!K16))</f>
        <v>107.1942863376449</v>
      </c>
    </row>
    <row r="107" spans="1:11" x14ac:dyDescent="0.25">
      <c r="A107" t="str">
        <f ca="1">OFFSET(Nelson_Reference,21,2)</f>
        <v>Light Vehicle Passenger</v>
      </c>
      <c r="B107" s="4">
        <f ca="1">B162*'Total Trip Tables Sup #1'!B107</f>
        <v>45.895773311000006</v>
      </c>
      <c r="C107" s="4">
        <f ca="1">C162*'Total Trip Tables Sup #1'!C107-(C104*'Active Mode Assumptions'!C7*'Active Mode Assumptions'!C15/(1+'Active Mode Assumptions'!C7))-(C105*'Active Mode Assumptions'!C16*'Active Mode Assumptions'!C24/(1+'Active Mode Assumptions'!C16))</f>
        <v>46.374102827888116</v>
      </c>
      <c r="D107" s="4">
        <f ca="1">D162*'Total Trip Tables Sup #1'!D107-(D104*'Active Mode Assumptions'!D7*'Active Mode Assumptions'!D15/(1+'Active Mode Assumptions'!D7))-(D105*'Active Mode Assumptions'!D16*'Active Mode Assumptions'!D24/(1+'Active Mode Assumptions'!D16))</f>
        <v>45.543032430198842</v>
      </c>
      <c r="E107" s="4">
        <f ca="1">E162*'Total Trip Tables Sup #1'!E107-(E104*'Active Mode Assumptions'!E7*'Active Mode Assumptions'!E15/(1+'Active Mode Assumptions'!E7))-(E105*'Active Mode Assumptions'!E16*'Active Mode Assumptions'!E24/(1+'Active Mode Assumptions'!E16))</f>
        <v>44.522935859551566</v>
      </c>
      <c r="F107" s="4">
        <f ca="1">F162*'Total Trip Tables Sup #1'!F107-(F104*'Active Mode Assumptions'!F7*'Active Mode Assumptions'!F15/(1+'Active Mode Assumptions'!F7))-(F105*'Active Mode Assumptions'!F16*'Active Mode Assumptions'!F24/(1+'Active Mode Assumptions'!F16))</f>
        <v>43.335870290012927</v>
      </c>
      <c r="G107" s="4">
        <f ca="1">G162*'Total Trip Tables Sup #1'!G107-(G104*'Active Mode Assumptions'!G7*'Active Mode Assumptions'!G15/(1+'Active Mode Assumptions'!G7))-(G105*'Active Mode Assumptions'!G16*'Active Mode Assumptions'!G24/(1+'Active Mode Assumptions'!G16))</f>
        <v>41.836412716646777</v>
      </c>
      <c r="H107" s="4">
        <f ca="1">H162*'Total Trip Tables Sup #1'!H107-(H104*'Active Mode Assumptions'!H7*'Active Mode Assumptions'!H15/(1+'Active Mode Assumptions'!H7))-(H105*'Active Mode Assumptions'!H16*'Active Mode Assumptions'!H24/(1+'Active Mode Assumptions'!H16))</f>
        <v>40.078668134815452</v>
      </c>
      <c r="I107" s="1">
        <f ca="1">I162*'Total Trip Tables Sup #1'!I107-(I104*'Active Mode Assumptions'!I7*'Active Mode Assumptions'!I15/(1+'Active Mode Assumptions'!I7))-(I105*'Active Mode Assumptions'!I16*'Active Mode Assumptions'!I24/(1+'Active Mode Assumptions'!I16))</f>
        <v>40.034237965422733</v>
      </c>
      <c r="J107" s="1">
        <f ca="1">J162*'Total Trip Tables Sup #1'!J107-(J104*'Active Mode Assumptions'!J7*'Active Mode Assumptions'!J15/(1+'Active Mode Assumptions'!J7))-(J105*'Active Mode Assumptions'!J16*'Active Mode Assumptions'!J24/(1+'Active Mode Assumptions'!J16))</f>
        <v>39.864175245795231</v>
      </c>
      <c r="K107" s="1">
        <f ca="1">K162*'Total Trip Tables Sup #1'!K107-(K104*'Active Mode Assumptions'!K7*'Active Mode Assumptions'!K15/(1+'Active Mode Assumptions'!K7))-(K105*'Active Mode Assumptions'!K16*'Active Mode Assumptions'!K24/(1+'Active Mode Assumptions'!K16))</f>
        <v>39.611119503068004</v>
      </c>
    </row>
    <row r="108" spans="1:11" x14ac:dyDescent="0.25">
      <c r="A108" t="str">
        <f ca="1">OFFSET(Nelson_Reference,28,2)</f>
        <v>Taxi/Vehicle Share</v>
      </c>
      <c r="B108" s="4">
        <f ca="1">B163*'Total Trip Tables Sup #1'!B108</f>
        <v>0.40359339709999997</v>
      </c>
      <c r="C108" s="4">
        <f ca="1">C163*'Total Trip Tables Sup #1'!C108</f>
        <v>0.44714033468360348</v>
      </c>
      <c r="D108" s="4">
        <f ca="1">D163*'Total Trip Tables Sup #1'!D108</f>
        <v>0.47784358956662221</v>
      </c>
      <c r="E108" s="4">
        <f ca="1">E163*'Total Trip Tables Sup #1'!E108</f>
        <v>0.49927158491215823</v>
      </c>
      <c r="F108" s="4">
        <f ca="1">F163*'Total Trip Tables Sup #1'!F108</f>
        <v>0.5142004813470975</v>
      </c>
      <c r="G108" s="4">
        <f ca="1">G163*'Total Trip Tables Sup #1'!G108</f>
        <v>0.52033247119832049</v>
      </c>
      <c r="H108" s="4">
        <f ca="1">H163*'Total Trip Tables Sup #1'!H108</f>
        <v>0.52355623651428562</v>
      </c>
      <c r="I108" s="1">
        <f ca="1">I163*'Total Trip Tables Sup #1'!I108</f>
        <v>0.52221786470636711</v>
      </c>
      <c r="J108" s="1">
        <f ca="1">J163*'Total Trip Tables Sup #1'!J108</f>
        <v>0.51923105184451257</v>
      </c>
      <c r="K108" s="1">
        <f ca="1">K163*'Total Trip Tables Sup #1'!K108</f>
        <v>0.51515887911473668</v>
      </c>
    </row>
    <row r="109" spans="1:11" x14ac:dyDescent="0.25">
      <c r="A109" t="str">
        <f ca="1">OFFSET(Nelson_Reference,35,2)</f>
        <v>Motorcyclist</v>
      </c>
      <c r="B109" s="4">
        <f ca="1">B164*'Total Trip Tables Sup #1'!B109</f>
        <v>1.5095151791999999</v>
      </c>
      <c r="C109" s="4">
        <f ca="1">C164*'Total Trip Tables Sup #1'!C109</f>
        <v>1.5685409060660096</v>
      </c>
      <c r="D109" s="4">
        <f ca="1">D164*'Total Trip Tables Sup #1'!D109</f>
        <v>1.5869255393464434</v>
      </c>
      <c r="E109" s="4">
        <f ca="1">E164*'Total Trip Tables Sup #1'!E109</f>
        <v>1.5966908955934564</v>
      </c>
      <c r="F109" s="4">
        <f ca="1">F164*'Total Trip Tables Sup #1'!F109</f>
        <v>1.5943369874468867</v>
      </c>
      <c r="G109" s="4">
        <f ca="1">G164*'Total Trip Tables Sup #1'!G109</f>
        <v>1.5612721029072001</v>
      </c>
      <c r="H109" s="4">
        <f ca="1">H164*'Total Trip Tables Sup #1'!H109</f>
        <v>1.5157285693827354</v>
      </c>
      <c r="I109" s="1">
        <f ca="1">I164*'Total Trip Tables Sup #1'!I109</f>
        <v>1.522271530416172</v>
      </c>
      <c r="J109" s="1">
        <f ca="1">J164*'Total Trip Tables Sup #1'!J109</f>
        <v>1.5240758724426162</v>
      </c>
      <c r="K109" s="1">
        <f ca="1">K164*'Total Trip Tables Sup #1'!K109</f>
        <v>1.5226976927021949</v>
      </c>
    </row>
    <row r="110" spans="1:11" x14ac:dyDescent="0.25">
      <c r="A110" t="str">
        <f ca="1">OFFSET(Nelson_Reference,42,2)</f>
        <v>Local Train</v>
      </c>
      <c r="B110" s="4">
        <f ca="1">B165*'Total Trip Tables Sup #1'!B110</f>
        <v>0</v>
      </c>
      <c r="C110" s="4">
        <f ca="1">C165*'Total Trip Tables Sup #1'!C110</f>
        <v>0</v>
      </c>
      <c r="D110" s="4">
        <f ca="1">D165*'Total Trip Tables Sup #1'!D110</f>
        <v>0</v>
      </c>
      <c r="E110" s="4">
        <f ca="1">E165*'Total Trip Tables Sup #1'!E110</f>
        <v>0</v>
      </c>
      <c r="F110" s="4">
        <f ca="1">F165*'Total Trip Tables Sup #1'!F110</f>
        <v>0</v>
      </c>
      <c r="G110" s="4">
        <f ca="1">G165*'Total Trip Tables Sup #1'!G110</f>
        <v>0</v>
      </c>
      <c r="H110" s="4">
        <f ca="1">H165*'Total Trip Tables Sup #1'!H110</f>
        <v>0</v>
      </c>
      <c r="I110" s="1">
        <f ca="1">I165*'Total Trip Tables Sup #1'!I110</f>
        <v>0</v>
      </c>
      <c r="J110" s="1">
        <f ca="1">J165*'Total Trip Tables Sup #1'!J110</f>
        <v>0</v>
      </c>
      <c r="K110" s="1">
        <f ca="1">K165*'Total Trip Tables Sup #1'!K110</f>
        <v>0</v>
      </c>
    </row>
    <row r="111" spans="1:11" x14ac:dyDescent="0.25">
      <c r="A111" t="str">
        <f ca="1">OFFSET(Nelson_Reference,49,2)</f>
        <v>Local Bus</v>
      </c>
      <c r="B111" s="4">
        <f ca="1">B166*'Total Trip Tables Sup #1'!B111</f>
        <v>2.0764681202999999</v>
      </c>
      <c r="C111" s="4">
        <f ca="1">C166*'Total Trip Tables Sup #1'!C111</f>
        <v>2.0094138484447233</v>
      </c>
      <c r="D111" s="4">
        <f ca="1">D166*'Total Trip Tables Sup #1'!D111</f>
        <v>1.9503322517722583</v>
      </c>
      <c r="E111" s="4">
        <f ca="1">E166*'Total Trip Tables Sup #1'!E111</f>
        <v>1.9166973547305988</v>
      </c>
      <c r="F111" s="4">
        <f ca="1">F166*'Total Trip Tables Sup #1'!F111</f>
        <v>1.8586702156097494</v>
      </c>
      <c r="G111" s="4">
        <f ca="1">G166*'Total Trip Tables Sup #1'!G111</f>
        <v>1.8095661948245714</v>
      </c>
      <c r="H111" s="4">
        <f ca="1">H166*'Total Trip Tables Sup #1'!H111</f>
        <v>1.7488207926168031</v>
      </c>
      <c r="I111" s="1">
        <f ca="1">I166*'Total Trip Tables Sup #1'!I111</f>
        <v>1.7484562970312785</v>
      </c>
      <c r="J111" s="1">
        <f ca="1">J166*'Total Trip Tables Sup #1'!J111</f>
        <v>1.7426201952944833</v>
      </c>
      <c r="K111" s="1">
        <f ca="1">K166*'Total Trip Tables Sup #1'!K111</f>
        <v>1.7331630193378516</v>
      </c>
    </row>
    <row r="112" spans="1:11" x14ac:dyDescent="0.25">
      <c r="A112" t="str">
        <f ca="1">OFFSET(Wellington_Reference,56,2)</f>
        <v>Local Ferry</v>
      </c>
      <c r="B112" s="4">
        <f ca="1">B167*'Total Trip Tables Sup #1'!B112</f>
        <v>0</v>
      </c>
      <c r="C112" s="4">
        <f ca="1">C167*'Total Trip Tables Sup #1'!C112</f>
        <v>0</v>
      </c>
      <c r="D112" s="4">
        <f ca="1">D167*'Total Trip Tables Sup #1'!D112</f>
        <v>0</v>
      </c>
      <c r="E112" s="4">
        <f ca="1">E167*'Total Trip Tables Sup #1'!E112</f>
        <v>0</v>
      </c>
      <c r="F112" s="4">
        <f ca="1">F167*'Total Trip Tables Sup #1'!F112</f>
        <v>0</v>
      </c>
      <c r="G112" s="4">
        <f ca="1">G167*'Total Trip Tables Sup #1'!G112</f>
        <v>0</v>
      </c>
      <c r="H112" s="4">
        <f ca="1">H167*'Total Trip Tables Sup #1'!H112</f>
        <v>0</v>
      </c>
      <c r="I112" s="1">
        <f ca="1">I167*'Total Trip Tables Sup #1'!I112</f>
        <v>0</v>
      </c>
      <c r="J112" s="1">
        <f ca="1">J167*'Total Trip Tables Sup #1'!J112</f>
        <v>0</v>
      </c>
      <c r="K112" s="1">
        <f ca="1">K167*'Total Trip Tables Sup #1'!K112</f>
        <v>0</v>
      </c>
    </row>
    <row r="113" spans="1:11" x14ac:dyDescent="0.25">
      <c r="A113" t="str">
        <f ca="1">OFFSET(Nelson_Reference,56,2)</f>
        <v>Other Household Travel</v>
      </c>
      <c r="B113" s="4">
        <f ca="1">B168*'Total Trip Tables Sup #1'!B113</f>
        <v>1.495105957</v>
      </c>
      <c r="C113" s="4">
        <f ca="1">C168*'Total Trip Tables Sup #1'!C113</f>
        <v>1.5658318868051664</v>
      </c>
      <c r="D113" s="4">
        <f ca="1">D168*'Total Trip Tables Sup #1'!D113</f>
        <v>1.6297323603047333</v>
      </c>
      <c r="E113" s="4">
        <f ca="1">E168*'Total Trip Tables Sup #1'!E113</f>
        <v>1.6751820594512545</v>
      </c>
      <c r="F113" s="4">
        <f ca="1">F168*'Total Trip Tables Sup #1'!F113</f>
        <v>1.7049529546689111</v>
      </c>
      <c r="G113" s="4">
        <f ca="1">G168*'Total Trip Tables Sup #1'!G113</f>
        <v>1.7184709336831885</v>
      </c>
      <c r="H113" s="4">
        <f ca="1">H168*'Total Trip Tables Sup #1'!H113</f>
        <v>1.7044703732852573</v>
      </c>
      <c r="I113" s="1">
        <f ca="1">I168*'Total Trip Tables Sup #1'!I113</f>
        <v>1.7081951091481424</v>
      </c>
      <c r="J113" s="1">
        <f ca="1">J168*'Total Trip Tables Sup #1'!J113</f>
        <v>1.7066040209436235</v>
      </c>
      <c r="K113" s="1">
        <f ca="1">K168*'Total Trip Tables Sup #1'!K113</f>
        <v>1.701473175270372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B159*'Total Trip Tables Sup #1'!B115</f>
        <v>5.2699511529</v>
      </c>
      <c r="C115" s="4">
        <f ca="1">C159*'Total Trip Tables Sup #1'!C115*(1+'Active Mode Assumptions'!C7)</f>
        <v>5.1137381642584669</v>
      </c>
      <c r="D115" s="4">
        <f ca="1">D159*'Total Trip Tables Sup #1'!D115*(1+'Active Mode Assumptions'!D7)</f>
        <v>5.3320141918653414</v>
      </c>
      <c r="E115" s="4">
        <f ca="1">E159*'Total Trip Tables Sup #1'!E115*(1+'Active Mode Assumptions'!E7)</f>
        <v>5.4771022831078113</v>
      </c>
      <c r="F115" s="4">
        <f ca="1">F159*'Total Trip Tables Sup #1'!F115*(1+'Active Mode Assumptions'!F7)</f>
        <v>5.5531880867255525</v>
      </c>
      <c r="G115" s="4">
        <f ca="1">G159*'Total Trip Tables Sup #1'!G115*(1+'Active Mode Assumptions'!G7)</f>
        <v>5.5818686544588108</v>
      </c>
      <c r="H115" s="4">
        <f ca="1">H159*'Total Trip Tables Sup #1'!H115*(1+'Active Mode Assumptions'!H7)</f>
        <v>5.5782629274478142</v>
      </c>
      <c r="I115" s="1">
        <f ca="1">I159*'Total Trip Tables Sup #1'!I115*(1+'Active Mode Assumptions'!I7)</f>
        <v>5.4359892570704149</v>
      </c>
      <c r="J115" s="1">
        <f ca="1">J159*'Total Trip Tables Sup #1'!J115*(1+'Active Mode Assumptions'!J7)</f>
        <v>5.2805476277561247</v>
      </c>
      <c r="K115" s="1">
        <f ca="1">K159*'Total Trip Tables Sup #1'!K115*(1+'Active Mode Assumptions'!K7)</f>
        <v>5.1185867824665765</v>
      </c>
    </row>
    <row r="116" spans="1:11" x14ac:dyDescent="0.25">
      <c r="A116" t="str">
        <f ca="1">OFFSET(West_Coast_Reference,7,2)</f>
        <v>Cyclist</v>
      </c>
      <c r="B116" s="4">
        <f ca="1">B160*'Total Trip Tables Sup #1'!B116</f>
        <v>0.73381292249999996</v>
      </c>
      <c r="C116" s="4">
        <f ca="1">C160*'Total Trip Tables Sup #1'!C116*(1+'Active Mode Assumptions'!C16)</f>
        <v>0.71042296595655852</v>
      </c>
      <c r="D116" s="4">
        <f ca="1">D160*'Total Trip Tables Sup #1'!D116*(1+'Active Mode Assumptions'!D16)</f>
        <v>0.97000514716749531</v>
      </c>
      <c r="E116" s="4">
        <f ca="1">E160*'Total Trip Tables Sup #1'!E116*(1+'Active Mode Assumptions'!E16)</f>
        <v>1.2008041221997192</v>
      </c>
      <c r="F116" s="4">
        <f ca="1">F160*'Total Trip Tables Sup #1'!F116*(1+'Active Mode Assumptions'!F16)</f>
        <v>1.4103101743722009</v>
      </c>
      <c r="G116" s="4">
        <f ca="1">G160*'Total Trip Tables Sup #1'!G116*(1+'Active Mode Assumptions'!G16)</f>
        <v>1.5986375031555977</v>
      </c>
      <c r="H116" s="4">
        <f ca="1">H160*'Total Trip Tables Sup #1'!H116*(1+'Active Mode Assumptions'!H16)</f>
        <v>1.7687048012963111</v>
      </c>
      <c r="I116" s="1">
        <f ca="1">I160*'Total Trip Tables Sup #1'!I116*(1+'Active Mode Assumptions'!I16)</f>
        <v>1.7334214157307697</v>
      </c>
      <c r="J116" s="1">
        <f ca="1">J160*'Total Trip Tables Sup #1'!J116*(1+'Active Mode Assumptions'!J16)</f>
        <v>1.6936047920506092</v>
      </c>
      <c r="K116" s="1">
        <f ca="1">K160*'Total Trip Tables Sup #1'!K116*(1+'Active Mode Assumptions'!K16)</f>
        <v>1.6513107085785073</v>
      </c>
    </row>
    <row r="117" spans="1:11" x14ac:dyDescent="0.25">
      <c r="A117" t="str">
        <f ca="1">OFFSET(West_Coast_Reference,14,2)</f>
        <v>Light Vehicle Driver</v>
      </c>
      <c r="B117" s="4">
        <f ca="1">B161*'Total Trip Tables Sup #1'!B117</f>
        <v>21.329902885999999</v>
      </c>
      <c r="C117" s="4">
        <f ca="1">C161*'Total Trip Tables Sup #1'!C117-(C115*'Active Mode Assumptions'!C7*'Active Mode Assumptions'!C14/(1+'Active Mode Assumptions'!C7))-(C116*'Active Mode Assumptions'!C16*'Active Mode Assumptions'!C23/(1+'Active Mode Assumptions'!C16))</f>
        <v>21.236703199468497</v>
      </c>
      <c r="D117" s="4">
        <f ca="1">D161*'Total Trip Tables Sup #1'!D117-(D115*'Active Mode Assumptions'!D7*'Active Mode Assumptions'!D14/(1+'Active Mode Assumptions'!D7))-(D116*'Active Mode Assumptions'!D16*'Active Mode Assumptions'!D23/(1+'Active Mode Assumptions'!D16))</f>
        <v>21.078107468771183</v>
      </c>
      <c r="E117" s="4">
        <f ca="1">E161*'Total Trip Tables Sup #1'!E117-(E115*'Active Mode Assumptions'!E7*'Active Mode Assumptions'!E14/(1+'Active Mode Assumptions'!E7))-(E116*'Active Mode Assumptions'!E16*'Active Mode Assumptions'!E23/(1+'Active Mode Assumptions'!E16))</f>
        <v>20.88847446975862</v>
      </c>
      <c r="F117" s="4">
        <f ca="1">F161*'Total Trip Tables Sup #1'!F117-(F115*'Active Mode Assumptions'!F7*'Active Mode Assumptions'!F14/(1+'Active Mode Assumptions'!F7))-(F116*'Active Mode Assumptions'!F16*'Active Mode Assumptions'!F23/(1+'Active Mode Assumptions'!F16))</f>
        <v>20.569316320895688</v>
      </c>
      <c r="G117" s="4">
        <f ca="1">G161*'Total Trip Tables Sup #1'!G117-(G115*'Active Mode Assumptions'!G7*'Active Mode Assumptions'!G14/(1+'Active Mode Assumptions'!G7))-(G116*'Active Mode Assumptions'!G16*'Active Mode Assumptions'!G23/(1+'Active Mode Assumptions'!G16))</f>
        <v>20.011633578017456</v>
      </c>
      <c r="H117" s="4">
        <f ca="1">H161*'Total Trip Tables Sup #1'!H117-(H115*'Active Mode Assumptions'!H7*'Active Mode Assumptions'!H14/(1+'Active Mode Assumptions'!H7))-(H116*'Active Mode Assumptions'!H16*'Active Mode Assumptions'!H23/(1+'Active Mode Assumptions'!H16))</f>
        <v>19.386676305040051</v>
      </c>
      <c r="I117" s="1">
        <f ca="1">I161*'Total Trip Tables Sup #1'!I117-(I115*'Active Mode Assumptions'!I7*'Active Mode Assumptions'!I14/(1+'Active Mode Assumptions'!I7))-(I116*'Active Mode Assumptions'!I16*'Active Mode Assumptions'!I23/(1+'Active Mode Assumptions'!I16))</f>
        <v>18.897550982342175</v>
      </c>
      <c r="J117" s="1">
        <f ca="1">J161*'Total Trip Tables Sup #1'!J117-(J115*'Active Mode Assumptions'!J7*'Active Mode Assumptions'!J14/(1+'Active Mode Assumptions'!J7))-(J116*'Active Mode Assumptions'!J16*'Active Mode Assumptions'!J23/(1+'Active Mode Assumptions'!J16))</f>
        <v>18.362144265662465</v>
      </c>
      <c r="K117" s="1">
        <f ca="1">K161*'Total Trip Tables Sup #1'!K117-(K115*'Active Mode Assumptions'!K7*'Active Mode Assumptions'!K14/(1+'Active Mode Assumptions'!K7))-(K116*'Active Mode Assumptions'!K16*'Active Mode Assumptions'!K23/(1+'Active Mode Assumptions'!K16))</f>
        <v>17.803571781887552</v>
      </c>
    </row>
    <row r="118" spans="1:11" x14ac:dyDescent="0.25">
      <c r="A118" t="str">
        <f ca="1">OFFSET(West_Coast_Reference,21,2)</f>
        <v>Light Vehicle Passenger</v>
      </c>
      <c r="B118" s="4">
        <f ca="1">B162*'Total Trip Tables Sup #1'!B118</f>
        <v>11.090105215000001</v>
      </c>
      <c r="C118" s="4">
        <f ca="1">C162*'Total Trip Tables Sup #1'!C118-(C115*'Active Mode Assumptions'!C7*'Active Mode Assumptions'!C15/(1+'Active Mode Assumptions'!C7))-(C116*'Active Mode Assumptions'!C16*'Active Mode Assumptions'!C24/(1+'Active Mode Assumptions'!C16))</f>
        <v>10.525188180313018</v>
      </c>
      <c r="D118" s="4">
        <f ca="1">D162*'Total Trip Tables Sup #1'!D118-(D115*'Active Mode Assumptions'!D7*'Active Mode Assumptions'!D15/(1+'Active Mode Assumptions'!D7))-(D116*'Active Mode Assumptions'!D16*'Active Mode Assumptions'!D24/(1+'Active Mode Assumptions'!D16))</f>
        <v>10.076086325966191</v>
      </c>
      <c r="E118" s="4">
        <f ca="1">E162*'Total Trip Tables Sup #1'!E118-(E115*'Active Mode Assumptions'!E7*'Active Mode Assumptions'!E15/(1+'Active Mode Assumptions'!E7))-(E116*'Active Mode Assumptions'!E16*'Active Mode Assumptions'!E24/(1+'Active Mode Assumptions'!E16))</f>
        <v>9.619894668951563</v>
      </c>
      <c r="F118" s="4">
        <f ca="1">F162*'Total Trip Tables Sup #1'!F118-(F115*'Active Mode Assumptions'!F7*'Active Mode Assumptions'!F15/(1+'Active Mode Assumptions'!F7))-(F116*'Active Mode Assumptions'!F16*'Active Mode Assumptions'!F24/(1+'Active Mode Assumptions'!F16))</f>
        <v>9.1491454580023497</v>
      </c>
      <c r="G118" s="4">
        <f ca="1">G162*'Total Trip Tables Sup #1'!G118-(G115*'Active Mode Assumptions'!G7*'Active Mode Assumptions'!G15/(1+'Active Mode Assumptions'!G7))-(G116*'Active Mode Assumptions'!G16*'Active Mode Assumptions'!G24/(1+'Active Mode Assumptions'!G16))</f>
        <v>8.6362533070488681</v>
      </c>
      <c r="H118" s="4">
        <f ca="1">H162*'Total Trip Tables Sup #1'!H118-(H115*'Active Mode Assumptions'!H7*'Active Mode Assumptions'!H15/(1+'Active Mode Assumptions'!H7))-(H116*'Active Mode Assumptions'!H16*'Active Mode Assumptions'!H24/(1+'Active Mode Assumptions'!H16))</f>
        <v>8.1121874786542563</v>
      </c>
      <c r="I118" s="1">
        <f ca="1">I162*'Total Trip Tables Sup #1'!I118-(I115*'Active Mode Assumptions'!I7*'Active Mode Assumptions'!I15/(1+'Active Mode Assumptions'!I7))-(I116*'Active Mode Assumptions'!I16*'Active Mode Assumptions'!I24/(1+'Active Mode Assumptions'!I16))</f>
        <v>7.9067582589525269</v>
      </c>
      <c r="J118" s="1">
        <f ca="1">J162*'Total Trip Tables Sup #1'!J118-(J115*'Active Mode Assumptions'!J7*'Active Mode Assumptions'!J15/(1+'Active Mode Assumptions'!J7))-(J116*'Active Mode Assumptions'!J16*'Active Mode Assumptions'!J24/(1+'Active Mode Assumptions'!J16))</f>
        <v>7.6819504960334495</v>
      </c>
      <c r="K118" s="1">
        <f ca="1">K162*'Total Trip Tables Sup #1'!K118-(K115*'Active Mode Assumptions'!K7*'Active Mode Assumptions'!K15/(1+'Active Mode Assumptions'!K7))-(K116*'Active Mode Assumptions'!K16*'Active Mode Assumptions'!K24/(1+'Active Mode Assumptions'!K16))</f>
        <v>7.4474443398817716</v>
      </c>
    </row>
    <row r="119" spans="1:11" x14ac:dyDescent="0.25">
      <c r="A119" t="str">
        <f ca="1">OFFSET(West_Coast_Reference,28,2)</f>
        <v>Taxi/Vehicle Share</v>
      </c>
      <c r="B119" s="4">
        <f ca="1">B163*'Total Trip Tables Sup #1'!B119</f>
        <v>0.29973375209999997</v>
      </c>
      <c r="C119" s="4">
        <f ca="1">C163*'Total Trip Tables Sup #1'!C119</f>
        <v>0.31190821939054675</v>
      </c>
      <c r="D119" s="4">
        <f ca="1">D163*'Total Trip Tables Sup #1'!D119</f>
        <v>0.3235602511164285</v>
      </c>
      <c r="E119" s="4">
        <f ca="1">E163*'Total Trip Tables Sup #1'!E119</f>
        <v>0.32871307115208148</v>
      </c>
      <c r="F119" s="4">
        <f ca="1">F163*'Total Trip Tables Sup #1'!F119</f>
        <v>0.32931544458502388</v>
      </c>
      <c r="G119" s="4">
        <f ca="1">G163*'Total Trip Tables Sup #1'!G119</f>
        <v>0.3243296428979569</v>
      </c>
      <c r="H119" s="4">
        <f ca="1">H163*'Total Trip Tables Sup #1'!H119</f>
        <v>0.31844625217179418</v>
      </c>
      <c r="I119" s="1">
        <f ca="1">I163*'Total Trip Tables Sup #1'!I119</f>
        <v>0.30993536895129864</v>
      </c>
      <c r="J119" s="1">
        <f ca="1">J163*'Total Trip Tables Sup #1'!J119</f>
        <v>0.30068113329126389</v>
      </c>
      <c r="K119" s="1">
        <f ca="1">K163*'Total Trip Tables Sup #1'!K119</f>
        <v>0.29106654587858261</v>
      </c>
    </row>
    <row r="120" spans="1:11" x14ac:dyDescent="0.25">
      <c r="A120" t="str">
        <f ca="1">OFFSET(West_Coast_Reference,35,2)</f>
        <v>Motorcyclist</v>
      </c>
      <c r="B120" s="4">
        <f ca="1">B164*'Total Trip Tables Sup #1'!B120</f>
        <v>6.1723256599999998E-2</v>
      </c>
      <c r="C120" s="4">
        <f ca="1">C164*'Total Trip Tables Sup #1'!C120</f>
        <v>6.0241887488842641E-2</v>
      </c>
      <c r="D120" s="4">
        <f ca="1">D164*'Total Trip Tables Sup #1'!D120</f>
        <v>5.9162388473717589E-2</v>
      </c>
      <c r="E120" s="4">
        <f ca="1">E164*'Total Trip Tables Sup #1'!E120</f>
        <v>5.787896052256665E-2</v>
      </c>
      <c r="F120" s="4">
        <f ca="1">F164*'Total Trip Tables Sup #1'!F120</f>
        <v>5.6218530772986428E-2</v>
      </c>
      <c r="G120" s="4">
        <f ca="1">G164*'Total Trip Tables Sup #1'!G120</f>
        <v>5.3580167193290215E-2</v>
      </c>
      <c r="H120" s="4">
        <f ca="1">H164*'Total Trip Tables Sup #1'!H120</f>
        <v>5.0759109097845846E-2</v>
      </c>
      <c r="I120" s="1">
        <f ca="1">I164*'Total Trip Tables Sup #1'!I120</f>
        <v>4.9742921625505386E-2</v>
      </c>
      <c r="J120" s="1">
        <f ca="1">J164*'Total Trip Tables Sup #1'!J120</f>
        <v>4.8592792664767522E-2</v>
      </c>
      <c r="K120" s="1">
        <f ca="1">K164*'Total Trip Tables Sup #1'!K120</f>
        <v>4.7367944778757519E-2</v>
      </c>
    </row>
    <row r="121" spans="1:11" x14ac:dyDescent="0.25">
      <c r="A121" t="str">
        <f ca="1">OFFSET(Nelson_Reference,42,2)</f>
        <v>Local Train</v>
      </c>
      <c r="B121" s="4">
        <f ca="1">B165*'Total Trip Tables Sup #1'!B121</f>
        <v>0</v>
      </c>
      <c r="C121" s="4">
        <f ca="1">C165*'Total Trip Tables Sup #1'!C121</f>
        <v>0</v>
      </c>
      <c r="D121" s="4">
        <f ca="1">D165*'Total Trip Tables Sup #1'!D121</f>
        <v>0</v>
      </c>
      <c r="E121" s="4">
        <f ca="1">E165*'Total Trip Tables Sup #1'!E121</f>
        <v>0</v>
      </c>
      <c r="F121" s="4">
        <f ca="1">F165*'Total Trip Tables Sup #1'!F121</f>
        <v>0</v>
      </c>
      <c r="G121" s="4">
        <f ca="1">G165*'Total Trip Tables Sup #1'!G121</f>
        <v>0</v>
      </c>
      <c r="H121" s="4">
        <f ca="1">H165*'Total Trip Tables Sup #1'!H121</f>
        <v>0</v>
      </c>
      <c r="I121" s="1">
        <f ca="1">I165*'Total Trip Tables Sup #1'!I121</f>
        <v>0</v>
      </c>
      <c r="J121" s="1">
        <f ca="1">J165*'Total Trip Tables Sup #1'!J121</f>
        <v>0</v>
      </c>
      <c r="K121" s="1">
        <f ca="1">K165*'Total Trip Tables Sup #1'!K121</f>
        <v>0</v>
      </c>
    </row>
    <row r="122" spans="1:11" x14ac:dyDescent="0.25">
      <c r="A122" t="str">
        <f ca="1">OFFSET(West_Coast_Reference,42,2)</f>
        <v>Local Bus</v>
      </c>
      <c r="B122" s="4">
        <f ca="1">B166*'Total Trip Tables Sup #1'!B122</f>
        <v>0.50805546800000001</v>
      </c>
      <c r="C122" s="4">
        <f ca="1">C166*'Total Trip Tables Sup #1'!C122</f>
        <v>0.46179223611569808</v>
      </c>
      <c r="D122" s="4">
        <f ca="1">D166*'Total Trip Tables Sup #1'!D122</f>
        <v>0.43508315221865712</v>
      </c>
      <c r="E122" s="4">
        <f ca="1">E166*'Total Trip Tables Sup #1'!E122</f>
        <v>0.41574585878585302</v>
      </c>
      <c r="F122" s="4">
        <f ca="1">F166*'Total Trip Tables Sup #1'!F122</f>
        <v>0.39217167594738439</v>
      </c>
      <c r="G122" s="4">
        <f ca="1">G166*'Total Trip Tables Sup #1'!G122</f>
        <v>0.3715989291194115</v>
      </c>
      <c r="H122" s="4">
        <f ca="1">H166*'Total Trip Tables Sup #1'!H122</f>
        <v>0.35043895545625259</v>
      </c>
      <c r="I122" s="1">
        <f ca="1">I166*'Total Trip Tables Sup #1'!I122</f>
        <v>0.34187587923365703</v>
      </c>
      <c r="J122" s="1">
        <f ca="1">J166*'Total Trip Tables Sup #1'!J122</f>
        <v>0.3324623945462658</v>
      </c>
      <c r="K122" s="1">
        <f ca="1">K166*'Total Trip Tables Sup #1'!K122</f>
        <v>0.32261516678200303</v>
      </c>
    </row>
    <row r="123" spans="1:11" x14ac:dyDescent="0.25">
      <c r="A123" t="str">
        <f ca="1">OFFSET(Wellington_Reference,56,2)</f>
        <v>Local Ferry</v>
      </c>
      <c r="B123" s="4">
        <f ca="1">B167*'Total Trip Tables Sup #1'!B123</f>
        <v>0</v>
      </c>
      <c r="C123" s="4">
        <f ca="1">C167*'Total Trip Tables Sup #1'!C123</f>
        <v>0</v>
      </c>
      <c r="D123" s="4">
        <f ca="1">D167*'Total Trip Tables Sup #1'!D123</f>
        <v>0</v>
      </c>
      <c r="E123" s="4">
        <f ca="1">E167*'Total Trip Tables Sup #1'!E123</f>
        <v>0</v>
      </c>
      <c r="F123" s="4">
        <f ca="1">F167*'Total Trip Tables Sup #1'!F123</f>
        <v>0</v>
      </c>
      <c r="G123" s="4">
        <f ca="1">G167*'Total Trip Tables Sup #1'!G123</f>
        <v>0</v>
      </c>
      <c r="H123" s="4">
        <f ca="1">H167*'Total Trip Tables Sup #1'!H123</f>
        <v>0</v>
      </c>
      <c r="I123" s="1">
        <f ca="1">I167*'Total Trip Tables Sup #1'!I123</f>
        <v>0</v>
      </c>
      <c r="J123" s="1">
        <f ca="1">J167*'Total Trip Tables Sup #1'!J123</f>
        <v>0</v>
      </c>
      <c r="K123" s="1">
        <f ca="1">K167*'Total Trip Tables Sup #1'!K123</f>
        <v>0</v>
      </c>
    </row>
    <row r="124" spans="1:11" x14ac:dyDescent="0.25">
      <c r="A124" t="str">
        <f ca="1">OFFSET(West_Coast_Reference,49,2)</f>
        <v>Other Household Travel</v>
      </c>
      <c r="B124" s="4">
        <f ca="1">B168*'Total Trip Tables Sup #1'!B124</f>
        <v>2.77012627E-2</v>
      </c>
      <c r="C124" s="4">
        <f ca="1">C168*'Total Trip Tables Sup #1'!C124</f>
        <v>2.7249849051803925E-2</v>
      </c>
      <c r="D124" s="4">
        <f ca="1">D168*'Total Trip Tables Sup #1'!D124</f>
        <v>2.7530980883524757E-2</v>
      </c>
      <c r="E124" s="4">
        <f ca="1">E168*'Total Trip Tables Sup #1'!E124</f>
        <v>2.7515545910296087E-2</v>
      </c>
      <c r="F124" s="4">
        <f ca="1">F168*'Total Trip Tables Sup #1'!F124</f>
        <v>2.7241311753474971E-2</v>
      </c>
      <c r="G124" s="4">
        <f ca="1">G168*'Total Trip Tables Sup #1'!G124</f>
        <v>2.6722919422160672E-2</v>
      </c>
      <c r="H124" s="4">
        <f ca="1">H168*'Total Trip Tables Sup #1'!H124</f>
        <v>2.5864152826737732E-2</v>
      </c>
      <c r="I124" s="1">
        <f ca="1">I168*'Total Trip Tables Sup #1'!I124</f>
        <v>2.5292565602647681E-2</v>
      </c>
      <c r="J124" s="1">
        <f ca="1">J168*'Total Trip Tables Sup #1'!J124</f>
        <v>2.465552657235388E-2</v>
      </c>
      <c r="K124" s="1">
        <f ca="1">K168*'Total Trip Tables Sup #1'!K124</f>
        <v>2.3983480322272186E-2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B159*'Total Trip Tables Sup #1'!B126</f>
        <v>131.04676542000001</v>
      </c>
      <c r="C126" s="4">
        <f ca="1">C159*'Total Trip Tables Sup #1'!C126*(1+'Active Mode Assumptions'!C7)</f>
        <v>142.95026946649415</v>
      </c>
      <c r="D126" s="4">
        <f ca="1">D159*'Total Trip Tables Sup #1'!D126*(1+'Active Mode Assumptions'!D7)</f>
        <v>158.85804526764042</v>
      </c>
      <c r="E126" s="4">
        <f ca="1">E159*'Total Trip Tables Sup #1'!E126*(1+'Active Mode Assumptions'!E7)</f>
        <v>171.63185705594765</v>
      </c>
      <c r="F126" s="4">
        <f ca="1">F159*'Total Trip Tables Sup #1'!F126*(1+'Active Mode Assumptions'!F7)</f>
        <v>183.15164043802696</v>
      </c>
      <c r="G126" s="4">
        <f ca="1">G159*'Total Trip Tables Sup #1'!G126*(1+'Active Mode Assumptions'!G7)</f>
        <v>193.89207651872314</v>
      </c>
      <c r="H126" s="4">
        <f ca="1">H159*'Total Trip Tables Sup #1'!H126*(1+'Active Mode Assumptions'!H7)</f>
        <v>203.91311528386407</v>
      </c>
      <c r="I126" s="1">
        <f ca="1">I159*'Total Trip Tables Sup #1'!I126*(1+'Active Mode Assumptions'!I7)</f>
        <v>209.11755816754766</v>
      </c>
      <c r="J126" s="1">
        <f ca="1">J159*'Total Trip Tables Sup #1'!J126*(1+'Active Mode Assumptions'!J7)</f>
        <v>213.77484667532809</v>
      </c>
      <c r="K126" s="1">
        <f ca="1">K159*'Total Trip Tables Sup #1'!K126*(1+'Active Mode Assumptions'!K7)</f>
        <v>218.06875326748983</v>
      </c>
    </row>
    <row r="127" spans="1:11" x14ac:dyDescent="0.25">
      <c r="A127" t="str">
        <f ca="1">OFFSET(Canterbury_Reference,7,2)</f>
        <v>Cyclist</v>
      </c>
      <c r="B127" s="4">
        <f ca="1">B160*'Total Trip Tables Sup #1'!B127</f>
        <v>23.740018446000001</v>
      </c>
      <c r="C127" s="4">
        <f ca="1">C160*'Total Trip Tables Sup #1'!C127*(1+'Active Mode Assumptions'!C16)</f>
        <v>25.836844061408033</v>
      </c>
      <c r="D127" s="4">
        <f ca="1">D160*'Total Trip Tables Sup #1'!D127*(1+'Active Mode Assumptions'!D16)</f>
        <v>37.598276458543317</v>
      </c>
      <c r="E127" s="4">
        <f ca="1">E160*'Total Trip Tables Sup #1'!E127*(1+'Active Mode Assumptions'!E16)</f>
        <v>48.954791008806183</v>
      </c>
      <c r="F127" s="4">
        <f ca="1">F160*'Total Trip Tables Sup #1'!F127*(1+'Active Mode Assumptions'!F16)</f>
        <v>60.514444240599559</v>
      </c>
      <c r="G127" s="4">
        <f ca="1">G160*'Total Trip Tables Sup #1'!G127*(1+'Active Mode Assumptions'!G16)</f>
        <v>72.244772262276697</v>
      </c>
      <c r="H127" s="4">
        <f ca="1">H160*'Total Trip Tables Sup #1'!H127*(1+'Active Mode Assumptions'!H16)</f>
        <v>84.115787329330459</v>
      </c>
      <c r="I127" s="1">
        <f ca="1">I160*'Total Trip Tables Sup #1'!I127*(1+'Active Mode Assumptions'!I16)</f>
        <v>86.754507285442031</v>
      </c>
      <c r="J127" s="1">
        <f ca="1">J160*'Total Trip Tables Sup #1'!J127*(1+'Active Mode Assumptions'!J16)</f>
        <v>89.200172427603349</v>
      </c>
      <c r="K127" s="1">
        <f ca="1">K160*'Total Trip Tables Sup #1'!K127*(1+'Active Mode Assumptions'!K16)</f>
        <v>91.526772372544571</v>
      </c>
    </row>
    <row r="128" spans="1:11" x14ac:dyDescent="0.25">
      <c r="A128" t="str">
        <f ca="1">OFFSET(Canterbury_Reference,14,2)</f>
        <v>Light Vehicle Driver</v>
      </c>
      <c r="B128" s="4">
        <f ca="1">B161*'Total Trip Tables Sup #1'!B128</f>
        <v>417.41567177000002</v>
      </c>
      <c r="C128" s="4">
        <f ca="1">C161*'Total Trip Tables Sup #1'!C128-(C126*'Active Mode Assumptions'!C7*'Active Mode Assumptions'!C14/(1+'Active Mode Assumptions'!C7))-(C127*'Active Mode Assumptions'!C16*'Active Mode Assumptions'!C23/(1+'Active Mode Assumptions'!C16))</f>
        <v>467.1902220709303</v>
      </c>
      <c r="D128" s="4">
        <f ca="1">D161*'Total Trip Tables Sup #1'!D128-(D126*'Active Mode Assumptions'!D7*'Active Mode Assumptions'!D14/(1+'Active Mode Assumptions'!D7))-(D127*'Active Mode Assumptions'!D16*'Active Mode Assumptions'!D23/(1+'Active Mode Assumptions'!D16))</f>
        <v>492.66794928261322</v>
      </c>
      <c r="E128" s="4">
        <f ca="1">E161*'Total Trip Tables Sup #1'!E128-(E126*'Active Mode Assumptions'!E7*'Active Mode Assumptions'!E14/(1+'Active Mode Assumptions'!E7))-(E127*'Active Mode Assumptions'!E16*'Active Mode Assumptions'!E23/(1+'Active Mode Assumptions'!E16))</f>
        <v>511.99809180953986</v>
      </c>
      <c r="F128" s="4">
        <f ca="1">F161*'Total Trip Tables Sup #1'!F128-(F126*'Active Mode Assumptions'!F7*'Active Mode Assumptions'!F14/(1+'Active Mode Assumptions'!F7))-(F127*'Active Mode Assumptions'!F16*'Active Mode Assumptions'!F23/(1+'Active Mode Assumptions'!F16))</f>
        <v>529.13763965347755</v>
      </c>
      <c r="G128" s="4">
        <f ca="1">G161*'Total Trip Tables Sup #1'!G128-(G126*'Active Mode Assumptions'!G7*'Active Mode Assumptions'!G14/(1+'Active Mode Assumptions'!G7))-(G127*'Active Mode Assumptions'!G16*'Active Mode Assumptions'!G23/(1+'Active Mode Assumptions'!G16))</f>
        <v>540.65517013863075</v>
      </c>
      <c r="H128" s="4">
        <f ca="1">H161*'Total Trip Tables Sup #1'!H128-(H126*'Active Mode Assumptions'!H7*'Active Mode Assumptions'!H14/(1+'Active Mode Assumptions'!H7))-(H127*'Active Mode Assumptions'!H16*'Active Mode Assumptions'!H23/(1+'Active Mode Assumptions'!H16))</f>
        <v>549.6665192776012</v>
      </c>
      <c r="I128" s="1">
        <f ca="1">I161*'Total Trip Tables Sup #1'!I128-(I126*'Active Mode Assumptions'!I7*'Active Mode Assumptions'!I14/(1+'Active Mode Assumptions'!I7))-(I127*'Active Mode Assumptions'!I16*'Active Mode Assumptions'!I23/(1+'Active Mode Assumptions'!I16))</f>
        <v>563.82461009982535</v>
      </c>
      <c r="J128" s="1">
        <f ca="1">J161*'Total Trip Tables Sup #1'!J128-(J126*'Active Mode Assumptions'!J7*'Active Mode Assumptions'!J14/(1+'Active Mode Assumptions'!J7))-(J127*'Active Mode Assumptions'!J16*'Active Mode Assumptions'!J23/(1+'Active Mode Assumptions'!J16))</f>
        <v>576.5060639032298</v>
      </c>
      <c r="K128" s="1">
        <f ca="1">K161*'Total Trip Tables Sup #1'!K128-(K126*'Active Mode Assumptions'!K7*'Active Mode Assumptions'!K14/(1+'Active Mode Assumptions'!K7))-(K127*'Active Mode Assumptions'!K16*'Active Mode Assumptions'!K23/(1+'Active Mode Assumptions'!K16))</f>
        <v>588.20540233415613</v>
      </c>
    </row>
    <row r="129" spans="1:11" x14ac:dyDescent="0.25">
      <c r="A129" t="str">
        <f ca="1">OFFSET(Canterbury_Reference,21,2)</f>
        <v>Light Vehicle Passenger</v>
      </c>
      <c r="B129" s="4">
        <f ca="1">B162*'Total Trip Tables Sup #1'!B129</f>
        <v>189.77500578000001</v>
      </c>
      <c r="C129" s="4">
        <f ca="1">C162*'Total Trip Tables Sup #1'!C129-(C126*'Active Mode Assumptions'!C7*'Active Mode Assumptions'!C15/(1+'Active Mode Assumptions'!C7))-(C127*'Active Mode Assumptions'!C16*'Active Mode Assumptions'!C24/(1+'Active Mode Assumptions'!C16))</f>
        <v>202.46967751289569</v>
      </c>
      <c r="D129" s="4">
        <f ca="1">D162*'Total Trip Tables Sup #1'!D129-(D126*'Active Mode Assumptions'!D7*'Active Mode Assumptions'!D15/(1+'Active Mode Assumptions'!D7))-(D127*'Active Mode Assumptions'!D16*'Active Mode Assumptions'!D24/(1+'Active Mode Assumptions'!D16))</f>
        <v>204.61634729931927</v>
      </c>
      <c r="E129" s="4">
        <f ca="1">E162*'Total Trip Tables Sup #1'!E129-(E126*'Active Mode Assumptions'!E7*'Active Mode Assumptions'!E15/(1+'Active Mode Assumptions'!E7))-(E127*'Active Mode Assumptions'!E16*'Active Mode Assumptions'!E24/(1+'Active Mode Assumptions'!E16))</f>
        <v>203.44811309183007</v>
      </c>
      <c r="F129" s="4">
        <f ca="1">F162*'Total Trip Tables Sup #1'!F129-(F126*'Active Mode Assumptions'!F7*'Active Mode Assumptions'!F15/(1+'Active Mode Assumptions'!F7))-(F127*'Active Mode Assumptions'!F16*'Active Mode Assumptions'!F24/(1+'Active Mode Assumptions'!F16))</f>
        <v>201.58501315812643</v>
      </c>
      <c r="G129" s="4">
        <f ca="1">G162*'Total Trip Tables Sup #1'!G129-(G126*'Active Mode Assumptions'!G7*'Active Mode Assumptions'!G15/(1+'Active Mode Assumptions'!G7))-(G127*'Active Mode Assumptions'!G16*'Active Mode Assumptions'!G24/(1+'Active Mode Assumptions'!G16))</f>
        <v>198.27656166903247</v>
      </c>
      <c r="H129" s="4">
        <f ca="1">H162*'Total Trip Tables Sup #1'!H129-(H126*'Active Mode Assumptions'!H7*'Active Mode Assumptions'!H15/(1+'Active Mode Assumptions'!H7))-(H127*'Active Mode Assumptions'!H16*'Active Mode Assumptions'!H24/(1+'Active Mode Assumptions'!H16))</f>
        <v>193.79208364804765</v>
      </c>
      <c r="I129" s="1">
        <f ca="1">I162*'Total Trip Tables Sup #1'!I129-(I126*'Active Mode Assumptions'!I7*'Active Mode Assumptions'!I15/(1+'Active Mode Assumptions'!I7))-(I127*'Active Mode Assumptions'!I16*'Active Mode Assumptions'!I24/(1+'Active Mode Assumptions'!I16))</f>
        <v>198.73856798793091</v>
      </c>
      <c r="J129" s="1">
        <f ca="1">J162*'Total Trip Tables Sup #1'!J129-(J126*'Active Mode Assumptions'!J7*'Active Mode Assumptions'!J15/(1+'Active Mode Assumptions'!J7))-(J127*'Active Mode Assumptions'!J16*'Active Mode Assumptions'!J24/(1+'Active Mode Assumptions'!J16))</f>
        <v>203.16019279517789</v>
      </c>
      <c r="K129" s="1">
        <f ca="1">K162*'Total Trip Tables Sup #1'!K129-(K126*'Active Mode Assumptions'!K7*'Active Mode Assumptions'!K15/(1+'Active Mode Assumptions'!K7))-(K127*'Active Mode Assumptions'!K16*'Active Mode Assumptions'!K24/(1+'Active Mode Assumptions'!K16))</f>
        <v>207.23139897402044</v>
      </c>
    </row>
    <row r="130" spans="1:11" x14ac:dyDescent="0.25">
      <c r="A130" t="str">
        <f ca="1">OFFSET(Canterbury_Reference,28,2)</f>
        <v>Taxi/Vehicle Share</v>
      </c>
      <c r="B130" s="4">
        <f ca="1">B163*'Total Trip Tables Sup #1'!B130</f>
        <v>2.2446435044999999</v>
      </c>
      <c r="C130" s="4">
        <f ca="1">C163*'Total Trip Tables Sup #1'!C130</f>
        <v>2.6258222255838879</v>
      </c>
      <c r="D130" s="4">
        <f ca="1">D163*'Total Trip Tables Sup #1'!D130</f>
        <v>2.9031206903093589</v>
      </c>
      <c r="E130" s="4">
        <f ca="1">E163*'Total Trip Tables Sup #1'!E130</f>
        <v>3.1021017147575187</v>
      </c>
      <c r="F130" s="4">
        <f ca="1">F163*'Total Trip Tables Sup #1'!F130</f>
        <v>3.2709397027171554</v>
      </c>
      <c r="G130" s="4">
        <f ca="1">G163*'Total Trip Tables Sup #1'!G130</f>
        <v>3.3928065840894344</v>
      </c>
      <c r="H130" s="4">
        <f ca="1">H163*'Total Trip Tables Sup #1'!H130</f>
        <v>3.5056966254923991</v>
      </c>
      <c r="I130" s="1">
        <f ca="1">I163*'Total Trip Tables Sup #1'!I130</f>
        <v>3.5906664049676951</v>
      </c>
      <c r="J130" s="1">
        <f ca="1">J163*'Total Trip Tables Sup #1'!J130</f>
        <v>3.6658595982426201</v>
      </c>
      <c r="K130" s="1">
        <f ca="1">K163*'Total Trip Tables Sup #1'!K130</f>
        <v>3.7344587906584428</v>
      </c>
    </row>
    <row r="131" spans="1:11" x14ac:dyDescent="0.25">
      <c r="A131" t="str">
        <f ca="1">OFFSET(Canterbury_Reference,35,2)</f>
        <v>Motorcyclist</v>
      </c>
      <c r="B131" s="4">
        <f ca="1">B164*'Total Trip Tables Sup #1'!B131</f>
        <v>1.4451657518000001</v>
      </c>
      <c r="C131" s="4">
        <f ca="1">C164*'Total Trip Tables Sup #1'!C131</f>
        <v>1.5856019619525874</v>
      </c>
      <c r="D131" s="4">
        <f ca="1">D164*'Total Trip Tables Sup #1'!D131</f>
        <v>1.6596355509854139</v>
      </c>
      <c r="E131" s="4">
        <f ca="1">E164*'Total Trip Tables Sup #1'!E131</f>
        <v>1.7077208698465667</v>
      </c>
      <c r="F131" s="4">
        <f ca="1">F164*'Total Trip Tables Sup #1'!F131</f>
        <v>1.7458102295234965</v>
      </c>
      <c r="G131" s="4">
        <f ca="1">G164*'Total Trip Tables Sup #1'!G131</f>
        <v>1.7524015398457877</v>
      </c>
      <c r="H131" s="4">
        <f ca="1">H164*'Total Trip Tables Sup #1'!H131</f>
        <v>1.7470658830813277</v>
      </c>
      <c r="I131" s="1">
        <f ca="1">I164*'Total Trip Tables Sup #1'!I131</f>
        <v>1.8017407947726636</v>
      </c>
      <c r="J131" s="1">
        <f ca="1">J164*'Total Trip Tables Sup #1'!J131</f>
        <v>1.8522457689210021</v>
      </c>
      <c r="K131" s="1">
        <f ca="1">K164*'Total Trip Tables Sup #1'!K131</f>
        <v>1.9001024782778368</v>
      </c>
    </row>
    <row r="132" spans="1:11" x14ac:dyDescent="0.25">
      <c r="A132" t="str">
        <f ca="1">OFFSET(Canterbury_Reference,42,2)</f>
        <v>Local Train</v>
      </c>
      <c r="B132" s="4">
        <f ca="1" xml:space="preserve"> 'Total Trip Tables Sup #1'!B132</f>
        <v>2.1901243099999999E-2</v>
      </c>
      <c r="C132" s="4">
        <f ca="1" xml:space="preserve"> 'Total Trip Tables Sup #1'!C132</f>
        <v>2.1881727399999999E-2</v>
      </c>
      <c r="D132" s="4">
        <f ca="1" xml:space="preserve"> 'Total Trip Tables Sup #1'!D132</f>
        <v>1.8407240299999999E-2</v>
      </c>
      <c r="E132" s="4">
        <f ca="1" xml:space="preserve"> 'Total Trip Tables Sup #1'!E132</f>
        <v>1.69883797E-2</v>
      </c>
      <c r="F132" s="4">
        <f ca="1" xml:space="preserve"> 'Total Trip Tables Sup #1'!F132</f>
        <v>1.5993343199999999E-2</v>
      </c>
      <c r="G132" s="4">
        <f ca="1" xml:space="preserve"> 'Total Trip Tables Sup #1'!G132</f>
        <v>1.33864925E-2</v>
      </c>
      <c r="H132" s="4">
        <f ca="1" xml:space="preserve"> 'Total Trip Tables Sup #1'!H132</f>
        <v>1.09840489E-2</v>
      </c>
      <c r="I132" s="1">
        <f ca="1" xml:space="preserve"> 'Total Trip Tables Sup #1'!I132</f>
        <v>1.09840489E-2</v>
      </c>
      <c r="J132" s="1">
        <f ca="1" xml:space="preserve"> 'Total Trip Tables Sup #1'!J132</f>
        <v>1.09840489E-2</v>
      </c>
      <c r="K132" s="1">
        <f ca="1" xml:space="preserve"> 'Total Trip Tables Sup #1'!K132</f>
        <v>1.09840489E-2</v>
      </c>
    </row>
    <row r="133" spans="1:11" x14ac:dyDescent="0.25">
      <c r="A133" t="str">
        <f ca="1">OFFSET(Canterbury_Reference,49,2)</f>
        <v>Local Bus</v>
      </c>
      <c r="B133" s="4">
        <f ca="1" xml:space="preserve"> 'Total Trip Tables Sup #1'!B133</f>
        <v>20.502079716000001</v>
      </c>
      <c r="C133" s="4">
        <f ca="1" xml:space="preserve"> 'Total Trip Tables Sup #1'!C133</f>
        <v>20.614719994000001</v>
      </c>
      <c r="D133" s="4">
        <f ca="1" xml:space="preserve"> 'Total Trip Tables Sup #1'!D133</f>
        <v>20.193307146999999</v>
      </c>
      <c r="E133" s="4">
        <f ca="1" xml:space="preserve"> 'Total Trip Tables Sup #1'!E133</f>
        <v>19.779883885</v>
      </c>
      <c r="F133" s="4">
        <f ca="1" xml:space="preserve"> 'Total Trip Tables Sup #1'!F133</f>
        <v>18.941076702</v>
      </c>
      <c r="G133" s="4">
        <f ca="1" xml:space="preserve"> 'Total Trip Tables Sup #1'!G133</f>
        <v>18.141836940000001</v>
      </c>
      <c r="H133" s="4">
        <f ca="1" xml:space="preserve"> 'Total Trip Tables Sup #1'!H133</f>
        <v>17.313158362999999</v>
      </c>
      <c r="I133" s="1">
        <f ca="1" xml:space="preserve"> 'Total Trip Tables Sup #1'!I133</f>
        <v>17.313158362999999</v>
      </c>
      <c r="J133" s="1">
        <f ca="1" xml:space="preserve"> 'Total Trip Tables Sup #1'!J133</f>
        <v>17.313158362999999</v>
      </c>
      <c r="K133" s="1">
        <f ca="1" xml:space="preserve"> 'Total Trip Tables Sup #1'!K133</f>
        <v>17.313158362999999</v>
      </c>
    </row>
    <row r="134" spans="1:11" x14ac:dyDescent="0.25">
      <c r="A134" t="str">
        <f ca="1">OFFSET(Wellington_Reference,56,2)</f>
        <v>Local Ferry</v>
      </c>
      <c r="B134" s="4">
        <f ca="1">B167*'Total Trip Tables Sup #1'!B134</f>
        <v>0</v>
      </c>
      <c r="C134" s="4">
        <f ca="1">C167*'Total Trip Tables Sup #1'!C134</f>
        <v>0</v>
      </c>
      <c r="D134" s="4">
        <f ca="1">D167*'Total Trip Tables Sup #1'!D134</f>
        <v>0</v>
      </c>
      <c r="E134" s="4">
        <f ca="1">E167*'Total Trip Tables Sup #1'!E134</f>
        <v>0</v>
      </c>
      <c r="F134" s="4">
        <f ca="1">F167*'Total Trip Tables Sup #1'!F134</f>
        <v>0</v>
      </c>
      <c r="G134" s="4">
        <f ca="1">G167*'Total Trip Tables Sup #1'!G134</f>
        <v>0</v>
      </c>
      <c r="H134" s="4">
        <f ca="1">H167*'Total Trip Tables Sup #1'!H134</f>
        <v>0</v>
      </c>
      <c r="I134" s="1">
        <f ca="1">I167*'Total Trip Tables Sup #1'!I134</f>
        <v>0</v>
      </c>
      <c r="J134" s="1">
        <f ca="1">J167*'Total Trip Tables Sup #1'!J134</f>
        <v>0</v>
      </c>
      <c r="K134" s="1">
        <f ca="1">K167*'Total Trip Tables Sup #1'!K134</f>
        <v>0</v>
      </c>
    </row>
    <row r="135" spans="1:11" x14ac:dyDescent="0.25">
      <c r="A135" t="str">
        <f ca="1">OFFSET(Canterbury_Reference,56,2)</f>
        <v>Other Household Travel</v>
      </c>
      <c r="B135" s="4">
        <f ca="1">B168*'Total Trip Tables Sup #1'!B135</f>
        <v>1.5386198845000001</v>
      </c>
      <c r="C135" s="4">
        <f ca="1">C168*'Total Trip Tables Sup #1'!C135</f>
        <v>1.7014635537469323</v>
      </c>
      <c r="D135" s="4">
        <f ca="1">D168*'Total Trip Tables Sup #1'!D135</f>
        <v>1.8321104898293932</v>
      </c>
      <c r="E135" s="4">
        <f ca="1">E168*'Total Trip Tables Sup #1'!E135</f>
        <v>1.9259155634236784</v>
      </c>
      <c r="F135" s="4">
        <f ca="1">F168*'Total Trip Tables Sup #1'!F135</f>
        <v>2.006820389032884</v>
      </c>
      <c r="G135" s="4">
        <f ca="1">G168*'Total Trip Tables Sup #1'!G135</f>
        <v>2.073368087569273</v>
      </c>
      <c r="H135" s="4">
        <f ca="1">H168*'Total Trip Tables Sup #1'!H135</f>
        <v>2.111818040816329</v>
      </c>
      <c r="I135" s="1">
        <f ca="1">I168*'Total Trip Tables Sup #1'!I135</f>
        <v>2.1732858542570899</v>
      </c>
      <c r="J135" s="1">
        <f ca="1">J168*'Total Trip Tables Sup #1'!J135</f>
        <v>2.2294820525891219</v>
      </c>
      <c r="K135" s="1">
        <f ca="1">K168*'Total Trip Tables Sup #1'!K135</f>
        <v>2.2822732174693123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B159*'Total Trip Tables Sup #1'!B137</f>
        <v>58.261736425999999</v>
      </c>
      <c r="C137" s="4">
        <f ca="1">C159*'Total Trip Tables Sup #1'!C137*(1+'Active Mode Assumptions'!C7)</f>
        <v>62.078232606074202</v>
      </c>
      <c r="D137" s="4">
        <f ca="1">D159*'Total Trip Tables Sup #1'!D137*(1+'Active Mode Assumptions'!D7)</f>
        <v>67.651934325984584</v>
      </c>
      <c r="E137" s="4">
        <f ca="1">E159*'Total Trip Tables Sup #1'!E137*(1+'Active Mode Assumptions'!E7)</f>
        <v>71.908194632007024</v>
      </c>
      <c r="F137" s="4">
        <f ca="1">F159*'Total Trip Tables Sup #1'!F137*(1+'Active Mode Assumptions'!F7)</f>
        <v>75.524646244277392</v>
      </c>
      <c r="G137" s="4">
        <f ca="1">G159*'Total Trip Tables Sup #1'!G137*(1+'Active Mode Assumptions'!G7)</f>
        <v>78.740976671978572</v>
      </c>
      <c r="H137" s="4">
        <f ca="1">H159*'Total Trip Tables Sup #1'!H137*(1+'Active Mode Assumptions'!H7)</f>
        <v>81.573183677571777</v>
      </c>
      <c r="I137" s="1">
        <f ca="1">I159*'Total Trip Tables Sup #1'!I137*(1+'Active Mode Assumptions'!I7)</f>
        <v>82.405133883236033</v>
      </c>
      <c r="J137" s="1">
        <f ca="1">J159*'Total Trip Tables Sup #1'!J137*(1+'Active Mode Assumptions'!J7)</f>
        <v>82.981616595972284</v>
      </c>
      <c r="K137" s="1">
        <f ca="1">K159*'Total Trip Tables Sup #1'!K137*(1+'Active Mode Assumptions'!K7)</f>
        <v>83.383524013387458</v>
      </c>
    </row>
    <row r="138" spans="1:11" x14ac:dyDescent="0.25">
      <c r="A138" t="str">
        <f ca="1">OFFSET(Otago_Reference,7,2)</f>
        <v>Cyclist</v>
      </c>
      <c r="B138" s="4">
        <f ca="1">B160*'Total Trip Tables Sup #1'!B138</f>
        <v>4.5847179276999999</v>
      </c>
      <c r="C138" s="4">
        <f ca="1">C160*'Total Trip Tables Sup #1'!C138*(1+'Active Mode Assumptions'!C16)</f>
        <v>4.8738064718476997</v>
      </c>
      <c r="D138" s="4">
        <f ca="1">D160*'Total Trip Tables Sup #1'!D138*(1+'Active Mode Assumptions'!D16)</f>
        <v>6.9552603625407032</v>
      </c>
      <c r="E138" s="4">
        <f ca="1">E160*'Total Trip Tables Sup #1'!E138*(1+'Active Mode Assumptions'!E16)</f>
        <v>8.9094344170308268</v>
      </c>
      <c r="F138" s="4">
        <f ca="1">F160*'Total Trip Tables Sup #1'!F138*(1+'Active Mode Assumptions'!F16)</f>
        <v>10.839553337932227</v>
      </c>
      <c r="G138" s="4">
        <f ca="1">G160*'Total Trip Tables Sup #1'!G138*(1+'Active Mode Assumptions'!G16)</f>
        <v>12.744465108466954</v>
      </c>
      <c r="H138" s="4">
        <f ca="1">H160*'Total Trip Tables Sup #1'!H138*(1+'Active Mode Assumptions'!H16)</f>
        <v>14.616864396016108</v>
      </c>
      <c r="I138" s="1">
        <f ca="1">I160*'Total Trip Tables Sup #1'!I138*(1+'Active Mode Assumptions'!I16)</f>
        <v>14.850130446284231</v>
      </c>
      <c r="J138" s="1">
        <f ca="1">J160*'Total Trip Tables Sup #1'!J138*(1+'Active Mode Assumptions'!J16)</f>
        <v>15.040609377395649</v>
      </c>
      <c r="K138" s="1">
        <f ca="1">K160*'Total Trip Tables Sup #1'!K138*(1+'Active Mode Assumptions'!K16)</f>
        <v>15.202303665022477</v>
      </c>
    </row>
    <row r="139" spans="1:11" x14ac:dyDescent="0.25">
      <c r="A139" t="str">
        <f ca="1">OFFSET(Otago_Reference,14,2)</f>
        <v>Light Vehicle Driver</v>
      </c>
      <c r="B139" s="4">
        <f ca="1">B161*'Total Trip Tables Sup #1'!B139</f>
        <v>150.49144967999999</v>
      </c>
      <c r="C139" s="4">
        <f ca="1">C161*'Total Trip Tables Sup #1'!C139-(C137*'Active Mode Assumptions'!C7*'Active Mode Assumptions'!C14/(1+'Active Mode Assumptions'!C7))-(C138*'Active Mode Assumptions'!C16*'Active Mode Assumptions'!C23/(1+'Active Mode Assumptions'!C16))</f>
        <v>164.52582122848023</v>
      </c>
      <c r="D139" s="4">
        <f ca="1">D161*'Total Trip Tables Sup #1'!D139-(D137*'Active Mode Assumptions'!D7*'Active Mode Assumptions'!D14/(1+'Active Mode Assumptions'!D7))-(D138*'Active Mode Assumptions'!D16*'Active Mode Assumptions'!D23/(1+'Active Mode Assumptions'!D16))</f>
        <v>170.39155710170797</v>
      </c>
      <c r="E139" s="4">
        <f ca="1">E161*'Total Trip Tables Sup #1'!E139-(E137*'Active Mode Assumptions'!E7*'Active Mode Assumptions'!E14/(1+'Active Mode Assumptions'!E7))-(E138*'Active Mode Assumptions'!E16*'Active Mode Assumptions'!E23/(1+'Active Mode Assumptions'!E16))</f>
        <v>174.44812070027294</v>
      </c>
      <c r="F139" s="4">
        <f ca="1">F161*'Total Trip Tables Sup #1'!F139-(F137*'Active Mode Assumptions'!F7*'Active Mode Assumptions'!F14/(1+'Active Mode Assumptions'!F7))-(F138*'Active Mode Assumptions'!F16*'Active Mode Assumptions'!F23/(1+'Active Mode Assumptions'!F16))</f>
        <v>177.67941988383984</v>
      </c>
      <c r="G139" s="4">
        <f ca="1">G161*'Total Trip Tables Sup #1'!G139-(G137*'Active Mode Assumptions'!G7*'Active Mode Assumptions'!G14/(1+'Active Mode Assumptions'!G7))-(G138*'Active Mode Assumptions'!G16*'Active Mode Assumptions'!G23/(1+'Active Mode Assumptions'!G16))</f>
        <v>179.0313723846991</v>
      </c>
      <c r="H139" s="4">
        <f ca="1">H161*'Total Trip Tables Sup #1'!H139-(H137*'Active Mode Assumptions'!H7*'Active Mode Assumptions'!H14/(1+'Active Mode Assumptions'!H7))-(H138*'Active Mode Assumptions'!H16*'Active Mode Assumptions'!H23/(1+'Active Mode Assumptions'!H16))</f>
        <v>179.53686767090525</v>
      </c>
      <c r="I139" s="1">
        <f ca="1">I161*'Total Trip Tables Sup #1'!I139-(I137*'Active Mode Assumptions'!I7*'Active Mode Assumptions'!I14/(1+'Active Mode Assumptions'!I7))-(I138*'Active Mode Assumptions'!I16*'Active Mode Assumptions'!I23/(1+'Active Mode Assumptions'!I16))</f>
        <v>181.42133041379802</v>
      </c>
      <c r="J139" s="1">
        <f ca="1">J161*'Total Trip Tables Sup #1'!J139-(J137*'Active Mode Assumptions'!J7*'Active Mode Assumptions'!J14/(1+'Active Mode Assumptions'!J7))-(J138*'Active Mode Assumptions'!J16*'Active Mode Assumptions'!J23/(1+'Active Mode Assumptions'!J16))</f>
        <v>182.74218140228737</v>
      </c>
      <c r="K139" s="1">
        <f ca="1">K161*'Total Trip Tables Sup #1'!K139-(K137*'Active Mode Assumptions'!K7*'Active Mode Assumptions'!K14/(1+'Active Mode Assumptions'!K7))-(K138*'Active Mode Assumptions'!K16*'Active Mode Assumptions'!K23/(1+'Active Mode Assumptions'!K16))</f>
        <v>183.67717485701215</v>
      </c>
    </row>
    <row r="140" spans="1:11" x14ac:dyDescent="0.25">
      <c r="A140" t="str">
        <f ca="1">OFFSET(Otago_Reference,21,2)</f>
        <v>Light Vehicle Passenger</v>
      </c>
      <c r="B140" s="4">
        <f ca="1">B162*'Total Trip Tables Sup #1'!B140</f>
        <v>71.232164202000021</v>
      </c>
      <c r="C140" s="4">
        <f ca="1">C162*'Total Trip Tables Sup #1'!C140-(C137*'Active Mode Assumptions'!C7*'Active Mode Assumptions'!C15/(1+'Active Mode Assumptions'!C7))-(C138*'Active Mode Assumptions'!C16*'Active Mode Assumptions'!C24/(1+'Active Mode Assumptions'!C16))</f>
        <v>74.2325474399493</v>
      </c>
      <c r="D140" s="4">
        <f ca="1">D162*'Total Trip Tables Sup #1'!D140-(D137*'Active Mode Assumptions'!D7*'Active Mode Assumptions'!D15/(1+'Active Mode Assumptions'!D7))-(D138*'Active Mode Assumptions'!D16*'Active Mode Assumptions'!D24/(1+'Active Mode Assumptions'!D16))</f>
        <v>73.888097605738409</v>
      </c>
      <c r="E140" s="4">
        <f ca="1">E162*'Total Trip Tables Sup #1'!E140-(E137*'Active Mode Assumptions'!E7*'Active Mode Assumptions'!E15/(1+'Active Mode Assumptions'!E7))-(E138*'Active Mode Assumptions'!E16*'Active Mode Assumptions'!E24/(1+'Active Mode Assumptions'!E16))</f>
        <v>72.597951846291224</v>
      </c>
      <c r="F140" s="4">
        <f ca="1">F162*'Total Trip Tables Sup #1'!F140-(F137*'Active Mode Assumptions'!F7*'Active Mode Assumptions'!F15/(1+'Active Mode Assumptions'!F7))-(F138*'Active Mode Assumptions'!F16*'Active Mode Assumptions'!F24/(1+'Active Mode Assumptions'!F16))</f>
        <v>71.126656491095218</v>
      </c>
      <c r="G140" s="4">
        <f ca="1">G162*'Total Trip Tables Sup #1'!G140-(G137*'Active Mode Assumptions'!G7*'Active Mode Assumptions'!G15/(1+'Active Mode Assumptions'!G7))-(G138*'Active Mode Assumptions'!G16*'Active Mode Assumptions'!G24/(1+'Active Mode Assumptions'!G16))</f>
        <v>69.238459781516951</v>
      </c>
      <c r="H140" s="4">
        <f ca="1">H162*'Total Trip Tables Sup #1'!H140-(H137*'Active Mode Assumptions'!H7*'Active Mode Assumptions'!H15/(1+'Active Mode Assumptions'!H7))-(H138*'Active Mode Assumptions'!H16*'Active Mode Assumptions'!H24/(1+'Active Mode Assumptions'!H16))</f>
        <v>67.017133076258887</v>
      </c>
      <c r="I140" s="1">
        <f ca="1">I162*'Total Trip Tables Sup #1'!I140-(I137*'Active Mode Assumptions'!I7*'Active Mode Assumptions'!I15/(1+'Active Mode Assumptions'!I7))-(I138*'Active Mode Assumptions'!I16*'Active Mode Assumptions'!I24/(1+'Active Mode Assumptions'!I16))</f>
        <v>67.713988573019222</v>
      </c>
      <c r="J140" s="1">
        <f ca="1">J162*'Total Trip Tables Sup #1'!J140-(J137*'Active Mode Assumptions'!J7*'Active Mode Assumptions'!J15/(1+'Active Mode Assumptions'!J7))-(J138*'Active Mode Assumptions'!J16*'Active Mode Assumptions'!J24/(1+'Active Mode Assumptions'!J16))</f>
        <v>68.199835571769924</v>
      </c>
      <c r="K140" s="1">
        <f ca="1">K162*'Total Trip Tables Sup #1'!K140-(K137*'Active Mode Assumptions'!K7*'Active Mode Assumptions'!K15/(1+'Active Mode Assumptions'!K7))-(K138*'Active Mode Assumptions'!K16*'Active Mode Assumptions'!K24/(1+'Active Mode Assumptions'!K16))</f>
        <v>68.541057967765397</v>
      </c>
    </row>
    <row r="141" spans="1:11" x14ac:dyDescent="0.25">
      <c r="A141" t="str">
        <f ca="1">OFFSET(Otago_Reference,28,2)</f>
        <v>Taxi/Vehicle Share</v>
      </c>
      <c r="B141" s="4">
        <f ca="1">B163*'Total Trip Tables Sup #1'!B141</f>
        <v>0.85820748670000002</v>
      </c>
      <c r="C141" s="4">
        <f ca="1">C163*'Total Trip Tables Sup #1'!C141</f>
        <v>0.98063522689952509</v>
      </c>
      <c r="D141" s="4">
        <f ca="1">D163*'Total Trip Tables Sup #1'!D141</f>
        <v>1.0632218666821733</v>
      </c>
      <c r="E141" s="4">
        <f ca="1">E163*'Total Trip Tables Sup #1'!E141</f>
        <v>1.1176976095761495</v>
      </c>
      <c r="F141" s="4">
        <f ca="1">F163*'Total Trip Tables Sup #1'!F141</f>
        <v>1.1599472238292152</v>
      </c>
      <c r="G141" s="4">
        <f ca="1">G163*'Total Trip Tables Sup #1'!G141</f>
        <v>1.1849162143447283</v>
      </c>
      <c r="H141" s="4">
        <f ca="1">H163*'Total Trip Tables Sup #1'!H141</f>
        <v>1.2060474315129819</v>
      </c>
      <c r="I141" s="1">
        <f ca="1">I163*'Total Trip Tables Sup #1'!I141</f>
        <v>1.2168208236298315</v>
      </c>
      <c r="J141" s="1">
        <f ca="1">J163*'Total Trip Tables Sup #1'!J141</f>
        <v>1.2237393346948959</v>
      </c>
      <c r="K141" s="1">
        <f ca="1">K163*'Total Trip Tables Sup #1'!K141</f>
        <v>1.2280110678432126</v>
      </c>
    </row>
    <row r="142" spans="1:11" x14ac:dyDescent="0.25">
      <c r="A142" t="str">
        <f ca="1">OFFSET(Otago_Reference,35,2)</f>
        <v>Motorcyclist</v>
      </c>
      <c r="B142" s="4">
        <f ca="1">B164*'Total Trip Tables Sup #1'!B142</f>
        <v>2.0937246197000001</v>
      </c>
      <c r="C142" s="4">
        <f ca="1">C164*'Total Trip Tables Sup #1'!C142</f>
        <v>2.2438474140380786</v>
      </c>
      <c r="D142" s="4">
        <f ca="1">D164*'Total Trip Tables Sup #1'!D142</f>
        <v>2.3031833602766532</v>
      </c>
      <c r="E142" s="4">
        <f ca="1">E164*'Total Trip Tables Sup #1'!E142</f>
        <v>2.3315361327026696</v>
      </c>
      <c r="F142" s="4">
        <f ca="1">F164*'Total Trip Tables Sup #1'!F142</f>
        <v>2.3459551306975786</v>
      </c>
      <c r="G142" s="4">
        <f ca="1">G164*'Total Trip Tables Sup #1'!G142</f>
        <v>2.3190982186194797</v>
      </c>
      <c r="H142" s="4">
        <f ca="1">H164*'Total Trip Tables Sup #1'!H142</f>
        <v>2.2774891485719007</v>
      </c>
      <c r="I142" s="1">
        <f ca="1">I164*'Total Trip Tables Sup #1'!I142</f>
        <v>2.3136670562815347</v>
      </c>
      <c r="J142" s="1">
        <f ca="1">J164*'Total Trip Tables Sup #1'!J142</f>
        <v>2.342980530201741</v>
      </c>
      <c r="K142" s="1">
        <f ca="1">K164*'Total Trip Tables Sup #1'!K142</f>
        <v>2.367601519737367</v>
      </c>
    </row>
    <row r="143" spans="1:11" x14ac:dyDescent="0.25">
      <c r="A143" t="str">
        <f ca="1">OFFSET(Canterbury_Reference,42,2)</f>
        <v>Local Train</v>
      </c>
      <c r="B143" s="4">
        <f ca="1">B165*'Total Trip Tables Sup #1'!B143</f>
        <v>0</v>
      </c>
      <c r="C143" s="4">
        <f ca="1">C165*'Total Trip Tables Sup #1'!C143</f>
        <v>0</v>
      </c>
      <c r="D143" s="4">
        <f ca="1">D165*'Total Trip Tables Sup #1'!D143</f>
        <v>0</v>
      </c>
      <c r="E143" s="4">
        <f ca="1">E165*'Total Trip Tables Sup #1'!E143</f>
        <v>0</v>
      </c>
      <c r="F143" s="4">
        <f ca="1">F165*'Total Trip Tables Sup #1'!F143</f>
        <v>0</v>
      </c>
      <c r="G143" s="4">
        <f ca="1">G165*'Total Trip Tables Sup #1'!G143</f>
        <v>0</v>
      </c>
      <c r="H143" s="4">
        <f ca="1">H165*'Total Trip Tables Sup #1'!H143</f>
        <v>0</v>
      </c>
      <c r="I143" s="1">
        <f ca="1">I165*'Total Trip Tables Sup #1'!I143</f>
        <v>0</v>
      </c>
      <c r="J143" s="1">
        <f ca="1">J165*'Total Trip Tables Sup #1'!J143</f>
        <v>0</v>
      </c>
      <c r="K143" s="1">
        <f ca="1">K165*'Total Trip Tables Sup #1'!K143</f>
        <v>0</v>
      </c>
    </row>
    <row r="144" spans="1:11" x14ac:dyDescent="0.25">
      <c r="A144" t="str">
        <f ca="1">OFFSET(Otago_Reference,42,2)</f>
        <v>Local Bus</v>
      </c>
      <c r="B144" s="4">
        <f ca="1">B166*'Total Trip Tables Sup #1'!B144</f>
        <v>4.2627057848999996</v>
      </c>
      <c r="C144" s="4">
        <f ca="1">C166*'Total Trip Tables Sup #1'!C144</f>
        <v>4.2544642407356434</v>
      </c>
      <c r="D144" s="4">
        <f ca="1">D166*'Total Trip Tables Sup #1'!D144</f>
        <v>4.1894651529558624</v>
      </c>
      <c r="E144" s="4">
        <f ca="1">E166*'Total Trip Tables Sup #1'!E144</f>
        <v>4.1424078870334533</v>
      </c>
      <c r="F144" s="4">
        <f ca="1">F166*'Total Trip Tables Sup #1'!F144</f>
        <v>4.0478082823257715</v>
      </c>
      <c r="G144" s="4">
        <f ca="1">G166*'Total Trip Tables Sup #1'!G144</f>
        <v>3.9782588005191437</v>
      </c>
      <c r="H144" s="4">
        <f ca="1">H166*'Total Trip Tables Sup #1'!H144</f>
        <v>3.8891814280036963</v>
      </c>
      <c r="I144" s="1">
        <f ca="1">I166*'Total Trip Tables Sup #1'!I144</f>
        <v>3.9331592797300994</v>
      </c>
      <c r="J144" s="1">
        <f ca="1">J166*'Total Trip Tables Sup #1'!J144</f>
        <v>3.9649968789110419</v>
      </c>
      <c r="K144" s="1">
        <f ca="1">K166*'Total Trip Tables Sup #1'!K144</f>
        <v>3.9885252838008722</v>
      </c>
    </row>
    <row r="145" spans="1:11" x14ac:dyDescent="0.25">
      <c r="A145" t="str">
        <f ca="1">OFFSET(Wellington_Reference,56,2)</f>
        <v>Local Ferry</v>
      </c>
      <c r="B145" s="4">
        <f ca="1">B167*'Total Trip Tables Sup #1'!B145</f>
        <v>0</v>
      </c>
      <c r="C145" s="4">
        <f ca="1">C167*'Total Trip Tables Sup #1'!C145</f>
        <v>0</v>
      </c>
      <c r="D145" s="4">
        <f ca="1">D167*'Total Trip Tables Sup #1'!D145</f>
        <v>0</v>
      </c>
      <c r="E145" s="4">
        <f ca="1">E167*'Total Trip Tables Sup #1'!E145</f>
        <v>0</v>
      </c>
      <c r="F145" s="4">
        <f ca="1">F167*'Total Trip Tables Sup #1'!F145</f>
        <v>0</v>
      </c>
      <c r="G145" s="4">
        <f ca="1">G167*'Total Trip Tables Sup #1'!G145</f>
        <v>0</v>
      </c>
      <c r="H145" s="4">
        <f ca="1">H167*'Total Trip Tables Sup #1'!H145</f>
        <v>0</v>
      </c>
      <c r="I145" s="1">
        <f ca="1">I167*'Total Trip Tables Sup #1'!I145</f>
        <v>0</v>
      </c>
      <c r="J145" s="1">
        <f ca="1">J167*'Total Trip Tables Sup #1'!J145</f>
        <v>0</v>
      </c>
      <c r="K145" s="1">
        <f ca="1">K167*'Total Trip Tables Sup #1'!K145</f>
        <v>0</v>
      </c>
    </row>
    <row r="146" spans="1:11" x14ac:dyDescent="0.25">
      <c r="A146" t="str">
        <f ca="1">OFFSET(Otago_Reference,49,2)</f>
        <v>Other Household Travel</v>
      </c>
      <c r="B146" s="4">
        <f ca="1">B168*'Total Trip Tables Sup #1'!B146</f>
        <v>0.77539158779999995</v>
      </c>
      <c r="C146" s="4">
        <f ca="1">C168*'Total Trip Tables Sup #1'!C146</f>
        <v>0.83754787720929336</v>
      </c>
      <c r="D146" s="4">
        <f ca="1">D168*'Total Trip Tables Sup #1'!D146</f>
        <v>0.88441335422371348</v>
      </c>
      <c r="E146" s="4">
        <f ca="1">E168*'Total Trip Tables Sup #1'!E146</f>
        <v>0.91464034101302094</v>
      </c>
      <c r="F146" s="4">
        <f ca="1">F168*'Total Trip Tables Sup #1'!F146</f>
        <v>0.93803494494491657</v>
      </c>
      <c r="G146" s="4">
        <f ca="1">G168*'Total Trip Tables Sup #1'!G146</f>
        <v>0.95444250359249538</v>
      </c>
      <c r="H146" s="4">
        <f ca="1">H168*'Total Trip Tables Sup #1'!H146</f>
        <v>0.95761595763708007</v>
      </c>
      <c r="I146" s="1">
        <f ca="1">I168*'Total Trip Tables Sup #1'!I146</f>
        <v>0.97076307675052453</v>
      </c>
      <c r="J146" s="1">
        <f ca="1">J168*'Total Trip Tables Sup #1'!J146</f>
        <v>0.98098393267528139</v>
      </c>
      <c r="K146" s="1">
        <f ca="1">K168*'Total Trip Tables Sup #1'!K146</f>
        <v>0.98920673551619465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B159*'Total Trip Tables Sup #1'!B148</f>
        <v>12.52065131</v>
      </c>
      <c r="C148" s="4">
        <f ca="1">C159*'Total Trip Tables Sup #1'!C148*(1+'Active Mode Assumptions'!C7)</f>
        <v>12.747641358388851</v>
      </c>
      <c r="D148" s="4">
        <f ca="1">D159*'Total Trip Tables Sup #1'!D148*(1+'Active Mode Assumptions'!D7)</f>
        <v>13.412355350372685</v>
      </c>
      <c r="E148" s="4">
        <f ca="1">E159*'Total Trip Tables Sup #1'!E148*(1+'Active Mode Assumptions'!E7)</f>
        <v>13.931867895408139</v>
      </c>
      <c r="F148" s="4">
        <f ca="1">F159*'Total Trip Tables Sup #1'!F148*(1+'Active Mode Assumptions'!F7)</f>
        <v>14.302525113261588</v>
      </c>
      <c r="G148" s="4">
        <f ca="1">G159*'Total Trip Tables Sup #1'!G148*(1+'Active Mode Assumptions'!G7)</f>
        <v>14.564591675166854</v>
      </c>
      <c r="H148" s="4">
        <f ca="1">H159*'Total Trip Tables Sup #1'!H148*(1+'Active Mode Assumptions'!H7)</f>
        <v>14.739263627019399</v>
      </c>
      <c r="I148" s="1">
        <f ca="1">I159*'Total Trip Tables Sup #1'!I148*(1+'Active Mode Assumptions'!I7)</f>
        <v>14.54499249865202</v>
      </c>
      <c r="J148" s="1">
        <f ca="1">J159*'Total Trip Tables Sup #1'!J148*(1+'Active Mode Assumptions'!J7)</f>
        <v>14.307771034314886</v>
      </c>
      <c r="K148" s="1">
        <f ca="1">K159*'Total Trip Tables Sup #1'!K148*(1+'Active Mode Assumptions'!K7)</f>
        <v>14.04433544841029</v>
      </c>
    </row>
    <row r="149" spans="1:11" x14ac:dyDescent="0.25">
      <c r="A149" t="str">
        <f ca="1">OFFSET(Southland_Reference,7,2)</f>
        <v>Cyclist</v>
      </c>
      <c r="B149" s="4">
        <f ca="1">B160*'Total Trip Tables Sup #1'!B149</f>
        <v>1.0312878256</v>
      </c>
      <c r="C149" s="4">
        <f ca="1">C160*'Total Trip Tables Sup #1'!C149*(1+'Active Mode Assumptions'!C16)</f>
        <v>1.0475687776647122</v>
      </c>
      <c r="D149" s="4">
        <f ca="1">D160*'Total Trip Tables Sup #1'!D149*(1+'Active Mode Assumptions'!D16)</f>
        <v>1.4433178994091107</v>
      </c>
      <c r="E149" s="4">
        <f ca="1">E160*'Total Trip Tables Sup #1'!E149*(1+'Active Mode Assumptions'!E16)</f>
        <v>1.8067783204126158</v>
      </c>
      <c r="F149" s="4">
        <f ca="1">F160*'Total Trip Tables Sup #1'!F149*(1+'Active Mode Assumptions'!F16)</f>
        <v>2.1486178481517428</v>
      </c>
      <c r="G149" s="4">
        <f ca="1">G160*'Total Trip Tables Sup #1'!G149*(1+'Active Mode Assumptions'!G16)</f>
        <v>2.4674189840395031</v>
      </c>
      <c r="H149" s="4">
        <f ca="1">H160*'Total Trip Tables Sup #1'!H149*(1+'Active Mode Assumptions'!H16)</f>
        <v>2.7644348874478655</v>
      </c>
      <c r="I149" s="1">
        <f ca="1">I160*'Total Trip Tables Sup #1'!I149*(1+'Active Mode Assumptions'!I16)</f>
        <v>2.743552491842852</v>
      </c>
      <c r="J149" s="1">
        <f ca="1">J160*'Total Trip Tables Sup #1'!J149*(1+'Active Mode Assumptions'!J16)</f>
        <v>2.7144340569520349</v>
      </c>
      <c r="K149" s="1">
        <f ca="1">K160*'Total Trip Tables Sup #1'!K149*(1+'Active Mode Assumptions'!K16)</f>
        <v>2.6801192906727591</v>
      </c>
    </row>
    <row r="150" spans="1:11" x14ac:dyDescent="0.25">
      <c r="A150" t="str">
        <f ca="1">OFFSET(Southland_Reference,14,2)</f>
        <v>Light Vehicle Driver</v>
      </c>
      <c r="B150" s="4">
        <f ca="1">B161*'Total Trip Tables Sup #1'!B150</f>
        <v>66.981547285000005</v>
      </c>
      <c r="C150" s="4">
        <f ca="1">C161*'Total Trip Tables Sup #1'!C150-(C148*'Active Mode Assumptions'!C7*'Active Mode Assumptions'!C14/(1+'Active Mode Assumptions'!C7))-(C149*'Active Mode Assumptions'!C16*'Active Mode Assumptions'!C23/(1+'Active Mode Assumptions'!C16))</f>
        <v>69.972020215810858</v>
      </c>
      <c r="D150" s="4">
        <f ca="1">D161*'Total Trip Tables Sup #1'!D150-(D148*'Active Mode Assumptions'!D7*'Active Mode Assumptions'!D14/(1+'Active Mode Assumptions'!D7))-(D149*'Active Mode Assumptions'!D16*'Active Mode Assumptions'!D23/(1+'Active Mode Assumptions'!D16))</f>
        <v>70.267885528222337</v>
      </c>
      <c r="E150" s="4">
        <f ca="1">E161*'Total Trip Tables Sup #1'!E150-(E148*'Active Mode Assumptions'!E7*'Active Mode Assumptions'!E14/(1+'Active Mode Assumptions'!E7))-(E149*'Active Mode Assumptions'!E16*'Active Mode Assumptions'!E23/(1+'Active Mode Assumptions'!E16))</f>
        <v>70.596029394942079</v>
      </c>
      <c r="F150" s="4">
        <f ca="1">F161*'Total Trip Tables Sup #1'!F150-(F148*'Active Mode Assumptions'!F7*'Active Mode Assumptions'!F14/(1+'Active Mode Assumptions'!F7))-(F149*'Active Mode Assumptions'!F16*'Active Mode Assumptions'!F23/(1+'Active Mode Assumptions'!F16))</f>
        <v>70.559441232100369</v>
      </c>
      <c r="G150" s="4">
        <f ca="1">G161*'Total Trip Tables Sup #1'!G150-(G148*'Active Mode Assumptions'!G7*'Active Mode Assumptions'!G14/(1+'Active Mode Assumptions'!G7))-(G149*'Active Mode Assumptions'!G16*'Active Mode Assumptions'!G23/(1+'Active Mode Assumptions'!G16))</f>
        <v>69.710935990785345</v>
      </c>
      <c r="H150" s="4">
        <f ca="1">H161*'Total Trip Tables Sup #1'!H150-(H148*'Active Mode Assumptions'!H7*'Active Mode Assumptions'!H14/(1+'Active Mode Assumptions'!H7))-(H149*'Active Mode Assumptions'!H16*'Active Mode Assumptions'!H23/(1+'Active Mode Assumptions'!H16))</f>
        <v>68.548191140330715</v>
      </c>
      <c r="I150" s="1">
        <f ca="1">I161*'Total Trip Tables Sup #1'!I150-(I148*'Active Mode Assumptions'!I7*'Active Mode Assumptions'!I14/(1+'Active Mode Assumptions'!I7))-(I149*'Active Mode Assumptions'!I16*'Active Mode Assumptions'!I23/(1+'Active Mode Assumptions'!I16))</f>
        <v>67.666747996960069</v>
      </c>
      <c r="J150" s="1">
        <f ca="1">J161*'Total Trip Tables Sup #1'!J150-(J148*'Active Mode Assumptions'!J7*'Active Mode Assumptions'!J14/(1+'Active Mode Assumptions'!J7))-(J149*'Active Mode Assumptions'!J16*'Active Mode Assumptions'!J23/(1+'Active Mode Assumptions'!J16))</f>
        <v>66.584141347133084</v>
      </c>
      <c r="K150" s="1">
        <f ca="1">K161*'Total Trip Tables Sup #1'!K150-(K148*'Active Mode Assumptions'!K7*'Active Mode Assumptions'!K14/(1+'Active Mode Assumptions'!K7))-(K149*'Active Mode Assumptions'!K16*'Active Mode Assumptions'!K23/(1+'Active Mode Assumptions'!K16))</f>
        <v>65.378156164737007</v>
      </c>
    </row>
    <row r="151" spans="1:11" x14ac:dyDescent="0.25">
      <c r="A151" t="str">
        <f ca="1">OFFSET(Southland_Reference,21,2)</f>
        <v>Light Vehicle Passenger</v>
      </c>
      <c r="B151" s="4">
        <f ca="1">B162*'Total Trip Tables Sup #1'!B151</f>
        <v>28.419434702000007</v>
      </c>
      <c r="C151" s="4">
        <f ca="1">C162*'Total Trip Tables Sup #1'!C151-(C148*'Active Mode Assumptions'!C7*'Active Mode Assumptions'!C15/(1+'Active Mode Assumptions'!C7))-(C149*'Active Mode Assumptions'!C16*'Active Mode Assumptions'!C24/(1+'Active Mode Assumptions'!C16))</f>
        <v>28.299623386224475</v>
      </c>
      <c r="D151" s="4">
        <f ca="1">D162*'Total Trip Tables Sup #1'!D151-(D148*'Active Mode Assumptions'!D7*'Active Mode Assumptions'!D15/(1+'Active Mode Assumptions'!D7))-(D149*'Active Mode Assumptions'!D16*'Active Mode Assumptions'!D24/(1+'Active Mode Assumptions'!D16))</f>
        <v>27.437701778438729</v>
      </c>
      <c r="E151" s="4">
        <f ca="1">E162*'Total Trip Tables Sup #1'!E151-(E148*'Active Mode Assumptions'!E7*'Active Mode Assumptions'!E15/(1+'Active Mode Assumptions'!E7))-(E149*'Active Mode Assumptions'!E16*'Active Mode Assumptions'!E24/(1+'Active Mode Assumptions'!E16))</f>
        <v>26.587602740133651</v>
      </c>
      <c r="F151" s="4">
        <f ca="1">F162*'Total Trip Tables Sup #1'!F151-(F148*'Active Mode Assumptions'!F7*'Active Mode Assumptions'!F15/(1+'Active Mode Assumptions'!F7))-(F149*'Active Mode Assumptions'!F16*'Active Mode Assumptions'!F24/(1+'Active Mode Assumptions'!F16))</f>
        <v>25.700306272307458</v>
      </c>
      <c r="G151" s="4">
        <f ca="1">G162*'Total Trip Tables Sup #1'!G151-(G148*'Active Mode Assumptions'!G7*'Active Mode Assumptions'!G15/(1+'Active Mode Assumptions'!G7))-(G149*'Active Mode Assumptions'!G16*'Active Mode Assumptions'!G24/(1+'Active Mode Assumptions'!G16))</f>
        <v>24.673402246764251</v>
      </c>
      <c r="H151" s="4">
        <f ca="1">H162*'Total Trip Tables Sup #1'!H151-(H148*'Active Mode Assumptions'!H7*'Active Mode Assumptions'!H15/(1+'Active Mode Assumptions'!H7))-(H149*'Active Mode Assumptions'!H16*'Active Mode Assumptions'!H24/(1+'Active Mode Assumptions'!H16))</f>
        <v>23.565489408441543</v>
      </c>
      <c r="I151" s="1">
        <f ca="1">I162*'Total Trip Tables Sup #1'!I151-(I148*'Active Mode Assumptions'!I7*'Active Mode Assumptions'!I15/(1+'Active Mode Assumptions'!I7))-(I149*'Active Mode Assumptions'!I16*'Active Mode Assumptions'!I24/(1+'Active Mode Assumptions'!I16))</f>
        <v>23.261267492392058</v>
      </c>
      <c r="J151" s="1">
        <f ca="1">J162*'Total Trip Tables Sup #1'!J151-(J148*'Active Mode Assumptions'!J7*'Active Mode Assumptions'!J15/(1+'Active Mode Assumptions'!J7))-(J149*'Active Mode Assumptions'!J16*'Active Mode Assumptions'!J24/(1+'Active Mode Assumptions'!J16))</f>
        <v>22.88778887886059</v>
      </c>
      <c r="K151" s="1">
        <f ca="1">K162*'Total Trip Tables Sup #1'!K151-(K148*'Active Mode Assumptions'!K7*'Active Mode Assumptions'!K15/(1+'Active Mode Assumptions'!K7))-(K149*'Active Mode Assumptions'!K16*'Active Mode Assumptions'!K24/(1+'Active Mode Assumptions'!K16))</f>
        <v>22.471808045927578</v>
      </c>
    </row>
    <row r="152" spans="1:11" x14ac:dyDescent="0.25">
      <c r="A152" t="str">
        <f ca="1">OFFSET(Southland_Reference,28,2)</f>
        <v>Taxi/Vehicle Share</v>
      </c>
      <c r="B152" s="4">
        <f ca="1">B163*'Total Trip Tables Sup #1'!B152</f>
        <v>0.47613164409999997</v>
      </c>
      <c r="C152" s="4">
        <f ca="1">C163*'Total Trip Tables Sup #1'!C152</f>
        <v>0.51986338842683188</v>
      </c>
      <c r="D152" s="4">
        <f ca="1">D163*'Total Trip Tables Sup #1'!D152</f>
        <v>0.54417675037782498</v>
      </c>
      <c r="E152" s="4">
        <f ca="1">E163*'Total Trip Tables Sup #1'!E152</f>
        <v>0.55904470054270861</v>
      </c>
      <c r="F152" s="4">
        <f ca="1">F163*'Total Trip Tables Sup #1'!F152</f>
        <v>0.56709197220359142</v>
      </c>
      <c r="G152" s="4">
        <f ca="1">G163*'Total Trip Tables Sup #1'!G152</f>
        <v>0.56581754353977032</v>
      </c>
      <c r="H152" s="4">
        <f ca="1">H163*'Total Trip Tables Sup #1'!H152</f>
        <v>0.56257964242133129</v>
      </c>
      <c r="I152" s="1">
        <f ca="1">I163*'Total Trip Tables Sup #1'!I152</f>
        <v>0.55446880317531522</v>
      </c>
      <c r="J152" s="1">
        <f ca="1">J163*'Total Trip Tables Sup #1'!J152</f>
        <v>0.54471616109616194</v>
      </c>
      <c r="K152" s="1">
        <f ca="1">K163*'Total Trip Tables Sup #1'!K152</f>
        <v>0.53396707621431738</v>
      </c>
    </row>
    <row r="153" spans="1:11" x14ac:dyDescent="0.25">
      <c r="A153" t="str">
        <f ca="1">OFFSET(Southland_Reference,35,2)</f>
        <v>Motorcyclist</v>
      </c>
      <c r="B153" s="4">
        <f ca="1">B164*'Total Trip Tables Sup #1'!B153</f>
        <v>0.62652592730000001</v>
      </c>
      <c r="C153" s="4">
        <f ca="1">C164*'Total Trip Tables Sup #1'!C153</f>
        <v>0.64159327725855553</v>
      </c>
      <c r="D153" s="4">
        <f ca="1">D164*'Total Trip Tables Sup #1'!D153</f>
        <v>0.63581290451370565</v>
      </c>
      <c r="E153" s="4">
        <f ca="1">E164*'Total Trip Tables Sup #1'!E153</f>
        <v>0.62899776755342596</v>
      </c>
      <c r="F153" s="4">
        <f ca="1">F164*'Total Trip Tables Sup #1'!F153</f>
        <v>0.61861395383631379</v>
      </c>
      <c r="G153" s="4">
        <f ca="1">G164*'Total Trip Tables Sup #1'!G153</f>
        <v>0.59730018569735144</v>
      </c>
      <c r="H153" s="4">
        <f ca="1">H164*'Total Trip Tables Sup #1'!H153</f>
        <v>0.57300799542669789</v>
      </c>
      <c r="I153" s="1">
        <f ca="1">I164*'Total Trip Tables Sup #1'!I153</f>
        <v>0.56863827200746675</v>
      </c>
      <c r="J153" s="1">
        <f ca="1">J164*'Total Trip Tables Sup #1'!J153</f>
        <v>0.56251584642955643</v>
      </c>
      <c r="K153" s="1">
        <f ca="1">K164*'Total Trip Tables Sup #1'!K153</f>
        <v>0.55527171274188447</v>
      </c>
    </row>
    <row r="154" spans="1:11" x14ac:dyDescent="0.25">
      <c r="A154" t="str">
        <f ca="1">OFFSET(Canterbury_Reference,42,2)</f>
        <v>Local Train</v>
      </c>
      <c r="B154" s="4">
        <f ca="1">B165*'Total Trip Tables Sup #1'!B154</f>
        <v>0</v>
      </c>
      <c r="C154" s="4">
        <f ca="1">C165*'Total Trip Tables Sup #1'!C154</f>
        <v>0</v>
      </c>
      <c r="D154" s="4">
        <f ca="1">D165*'Total Trip Tables Sup #1'!D154</f>
        <v>0</v>
      </c>
      <c r="E154" s="4">
        <f ca="1">E165*'Total Trip Tables Sup #1'!E154</f>
        <v>0</v>
      </c>
      <c r="F154" s="4">
        <f ca="1">F165*'Total Trip Tables Sup #1'!F154</f>
        <v>0</v>
      </c>
      <c r="G154" s="4">
        <f ca="1">G165*'Total Trip Tables Sup #1'!G154</f>
        <v>0</v>
      </c>
      <c r="H154" s="4">
        <f ca="1">H165*'Total Trip Tables Sup #1'!H154</f>
        <v>0</v>
      </c>
      <c r="I154" s="1">
        <f ca="1">I165*'Total Trip Tables Sup #1'!I154</f>
        <v>0</v>
      </c>
      <c r="J154" s="1">
        <f ca="1">J165*'Total Trip Tables Sup #1'!J154</f>
        <v>0</v>
      </c>
      <c r="K154" s="1">
        <f ca="1">K165*'Total Trip Tables Sup #1'!K154</f>
        <v>0</v>
      </c>
    </row>
    <row r="155" spans="1:11" x14ac:dyDescent="0.25">
      <c r="A155" t="str">
        <f ca="1">OFFSET(Southland_Reference,42,2)</f>
        <v>Local Bus</v>
      </c>
      <c r="B155" s="4">
        <f ca="1">B166*'Total Trip Tables Sup #1'!B155</f>
        <v>2.6369167839999998</v>
      </c>
      <c r="C155" s="4">
        <f ca="1">C166*'Total Trip Tables Sup #1'!C155</f>
        <v>2.5147970355310885</v>
      </c>
      <c r="D155" s="4">
        <f ca="1">D166*'Total Trip Tables Sup #1'!D155</f>
        <v>2.3908425938427507</v>
      </c>
      <c r="E155" s="4">
        <f ca="1">E166*'Total Trip Tables Sup #1'!E155</f>
        <v>2.3102096404049881</v>
      </c>
      <c r="F155" s="4">
        <f ca="1">F166*'Total Trip Tables Sup #1'!F155</f>
        <v>2.2065385702149367</v>
      </c>
      <c r="G155" s="4">
        <f ca="1">G166*'Total Trip Tables Sup #1'!G155</f>
        <v>2.1181568555551271</v>
      </c>
      <c r="H155" s="4">
        <f ca="1">H166*'Total Trip Tables Sup #1'!H155</f>
        <v>2.0228055976778068</v>
      </c>
      <c r="I155" s="1">
        <f ca="1">I166*'Total Trip Tables Sup #1'!I155</f>
        <v>1.9983351883390246</v>
      </c>
      <c r="J155" s="1">
        <f ca="1">J166*'Total Trip Tables Sup #1'!J155</f>
        <v>1.9678885982366778</v>
      </c>
      <c r="K155" s="1">
        <f ca="1">K166*'Total Trip Tables Sup #1'!K155</f>
        <v>1.9337524064924825</v>
      </c>
    </row>
    <row r="156" spans="1:11" x14ac:dyDescent="0.25">
      <c r="A156" t="str">
        <f ca="1">OFFSET(Wellington_Reference,56,2)</f>
        <v>Local Ferry</v>
      </c>
      <c r="B156" s="4">
        <f ca="1">B167*'Total Trip Tables Sup #1'!B156</f>
        <v>0</v>
      </c>
      <c r="C156" s="4">
        <f ca="1">C167*'Total Trip Tables Sup #1'!C156</f>
        <v>0</v>
      </c>
      <c r="D156" s="4">
        <f ca="1">D167*'Total Trip Tables Sup #1'!D156</f>
        <v>0</v>
      </c>
      <c r="E156" s="4">
        <f ca="1">E167*'Total Trip Tables Sup #1'!E156</f>
        <v>0</v>
      </c>
      <c r="F156" s="4">
        <f ca="1">F167*'Total Trip Tables Sup #1'!F156</f>
        <v>0</v>
      </c>
      <c r="G156" s="4">
        <f ca="1">G167*'Total Trip Tables Sup #1'!G156</f>
        <v>0</v>
      </c>
      <c r="H156" s="4">
        <f ca="1">H167*'Total Trip Tables Sup #1'!H156</f>
        <v>0</v>
      </c>
      <c r="I156" s="1">
        <f ca="1">I167*'Total Trip Tables Sup #1'!I156</f>
        <v>0</v>
      </c>
      <c r="J156" s="1">
        <f ca="1">J167*'Total Trip Tables Sup #1'!J156</f>
        <v>0</v>
      </c>
      <c r="K156" s="1">
        <f ca="1">K167*'Total Trip Tables Sup #1'!K156</f>
        <v>0</v>
      </c>
    </row>
    <row r="157" spans="1:11" x14ac:dyDescent="0.25">
      <c r="A157" t="str">
        <f ca="1">OFFSET(Southland_Reference,49,2)</f>
        <v>Other Household Travel</v>
      </c>
      <c r="B157" s="4">
        <f ca="1">B168*'Total Trip Tables Sup #1'!B157</f>
        <v>0.42937289560000003</v>
      </c>
      <c r="C157" s="4">
        <f ca="1">C168*'Total Trip Tables Sup #1'!C157</f>
        <v>0.44316982182290582</v>
      </c>
      <c r="D157" s="4">
        <f ca="1">D168*'Total Trip Tables Sup #1'!D157</f>
        <v>0.45180410055031439</v>
      </c>
      <c r="E157" s="4">
        <f ca="1">E168*'Total Trip Tables Sup #1'!E157</f>
        <v>0.45661624566582487</v>
      </c>
      <c r="F157" s="4">
        <f ca="1">F168*'Total Trip Tables Sup #1'!F157</f>
        <v>0.45773390338993947</v>
      </c>
      <c r="G157" s="4">
        <f ca="1">G168*'Total Trip Tables Sup #1'!G157</f>
        <v>0.45490146080983002</v>
      </c>
      <c r="H157" s="4">
        <f ca="1">H168*'Total Trip Tables Sup #1'!H157</f>
        <v>0.44585104897686872</v>
      </c>
      <c r="I157" s="1">
        <f ca="1">I168*'Total Trip Tables Sup #1'!I157</f>
        <v>0.44151201409113144</v>
      </c>
      <c r="J157" s="1">
        <f ca="1">J168*'Total Trip Tables Sup #1'!J157</f>
        <v>0.43583492471432267</v>
      </c>
      <c r="K157" s="1">
        <f ca="1">K168*'Total Trip Tables Sup #1'!K157</f>
        <v>0.4293169716310527</v>
      </c>
    </row>
    <row r="158" spans="1:11" x14ac:dyDescent="0.25">
      <c r="A158" t="s">
        <v>18</v>
      </c>
    </row>
    <row r="159" spans="1:11" x14ac:dyDescent="0.25">
      <c r="A159" t="str">
        <f ca="1">'Total Trip Tables'!A16</f>
        <v>Pedestrian</v>
      </c>
      <c r="B159" s="58">
        <f ca="1">('Total Trip Tables Sup #1'!B170*'Updated Population'!B$158)/('Total Trip Tables Sup #1'!B159*1000000)</f>
        <v>1</v>
      </c>
      <c r="C159" s="58">
        <f ca="1">('Total Trip Tables Sup #1'!C170*'Updated Population'!C$158)/('Total Trip Tables Sup #1'!C159*1000000)</f>
        <v>1.0009216319640077</v>
      </c>
      <c r="D159" s="58">
        <f ca="1">('Total Trip Tables Sup #1'!D170*'Updated Population'!D$158)/('Total Trip Tables Sup #1'!D159*1000000)</f>
        <v>1.0014079786566443</v>
      </c>
      <c r="E159" s="58">
        <f ca="1">('Total Trip Tables Sup #1'!E170*'Updated Population'!E$158)/('Total Trip Tables Sup #1'!E159*1000000)</f>
        <v>1.0017903502470789</v>
      </c>
      <c r="F159" s="58">
        <f ca="1">('Total Trip Tables Sup #1'!F170*'Updated Population'!F$158)/('Total Trip Tables Sup #1'!F159*1000000)</f>
        <v>1.0020399231415582</v>
      </c>
      <c r="G159" s="58">
        <f ca="1">('Total Trip Tables Sup #1'!G170*'Updated Population'!G$158)/('Total Trip Tables Sup #1'!G159*1000000)</f>
        <v>1.002221113931012</v>
      </c>
      <c r="H159" s="58">
        <f ca="1">('Total Trip Tables Sup #1'!H170*'Updated Population'!H$158)/('Total Trip Tables Sup #1'!H159*1000000)</f>
        <v>1.0024263338562147</v>
      </c>
      <c r="I159" s="58">
        <f ca="1">('Total Trip Tables Sup #1'!I170*'Updated Population'!I$158)/('Total Trip Tables Sup #1'!I159*1000000)</f>
        <v>1.0026448649202211</v>
      </c>
      <c r="J159" s="58">
        <f ca="1">('Total Trip Tables Sup #1'!J170*'Updated Population'!J$158)/('Total Trip Tables Sup #1'!J159*1000000)</f>
        <v>1.0028759229683617</v>
      </c>
      <c r="K159" s="58">
        <f ca="1">('Total Trip Tables Sup #1'!K170*'Updated Population'!K$158)/('Total Trip Tables Sup #1'!K159*1000000)</f>
        <v>1.0031187301917823</v>
      </c>
    </row>
    <row r="160" spans="1:11" x14ac:dyDescent="0.25">
      <c r="A160" t="str">
        <f ca="1">'Total Trip Tables'!A17</f>
        <v>Cyclist</v>
      </c>
      <c r="B160" s="58">
        <f ca="1">('Total Trip Tables Sup #1'!B171*'Updated Population'!B$158)/('Total Trip Tables Sup #1'!B160*1000000)</f>
        <v>1</v>
      </c>
      <c r="C160" s="58">
        <f ca="1">('Total Trip Tables Sup #1'!C171*'Updated Population'!C$158)/('Total Trip Tables Sup #1'!C160*1000000)</f>
        <v>1.0090099113507935</v>
      </c>
      <c r="D160" s="58">
        <f ca="1">('Total Trip Tables Sup #1'!D171*'Updated Population'!D$158)/('Total Trip Tables Sup #1'!D160*1000000)</f>
        <v>1.0171018580546958</v>
      </c>
      <c r="E160" s="58">
        <f ca="1">('Total Trip Tables Sup #1'!E171*'Updated Population'!E$158)/('Total Trip Tables Sup #1'!E160*1000000)</f>
        <v>1.0244407126351003</v>
      </c>
      <c r="F160" s="58">
        <f ca="1">('Total Trip Tables Sup #1'!F171*'Updated Population'!F$158)/('Total Trip Tables Sup #1'!F160*1000000)</f>
        <v>1.031178495000834</v>
      </c>
      <c r="G160" s="58">
        <f ca="1">('Total Trip Tables Sup #1'!G171*'Updated Population'!G$158)/('Total Trip Tables Sup #1'!G160*1000000)</f>
        <v>1.037396366681349</v>
      </c>
      <c r="H160" s="58">
        <f ca="1">('Total Trip Tables Sup #1'!H171*'Updated Population'!H$158)/('Total Trip Tables Sup #1'!H160*1000000)</f>
        <v>1.0434322537023424</v>
      </c>
      <c r="I160" s="58">
        <f ca="1">('Total Trip Tables Sup #1'!I171*'Updated Population'!I$158)/('Total Trip Tables Sup #1'!I160*1000000)</f>
        <v>1.0496103819804112</v>
      </c>
      <c r="J160" s="58">
        <f ca="1">('Total Trip Tables Sup #1'!J171*'Updated Population'!J$158)/('Total Trip Tables Sup #1'!J160*1000000)</f>
        <v>1.0559314630655776</v>
      </c>
      <c r="K160" s="58">
        <f ca="1">('Total Trip Tables Sup #1'!K171*'Updated Population'!K$158)/('Total Trip Tables Sup #1'!K160*1000000)</f>
        <v>1.0623961345123509</v>
      </c>
    </row>
    <row r="161" spans="1:11" x14ac:dyDescent="0.25">
      <c r="A161" t="str">
        <f ca="1">'Total Trip Tables'!A18</f>
        <v>Light Vehicle Driver</v>
      </c>
      <c r="B161" s="58">
        <f ca="1">('Total Trip Tables Sup #1'!B172*'Updated Population'!B$158)/('Total Trip Tables Sup #1'!B161*1000000)</f>
        <v>1</v>
      </c>
      <c r="C161" s="58">
        <f ca="1">('Total Trip Tables Sup #1'!C172*'Updated Population'!C$158)/('Total Trip Tables Sup #1'!C161*1000000)</f>
        <v>1.0011527253624997</v>
      </c>
      <c r="D161" s="58">
        <f ca="1">('Total Trip Tables Sup #1'!D172*'Updated Population'!D$158)/('Total Trip Tables Sup #1'!D161*1000000)</f>
        <v>1.0021212792116272</v>
      </c>
      <c r="E161" s="58">
        <f ca="1">('Total Trip Tables Sup #1'!E172*'Updated Population'!E$158)/('Total Trip Tables Sup #1'!E161*1000000)</f>
        <v>1.0028676373674104</v>
      </c>
      <c r="F161" s="58">
        <f ca="1">('Total Trip Tables Sup #1'!F172*'Updated Population'!F$158)/('Total Trip Tables Sup #1'!F161*1000000)</f>
        <v>1.0035366176729501</v>
      </c>
      <c r="G161" s="58">
        <f ca="1">('Total Trip Tables Sup #1'!G172*'Updated Population'!G$158)/('Total Trip Tables Sup #1'!G161*1000000)</f>
        <v>1.0041392775483224</v>
      </c>
      <c r="H161" s="58">
        <f ca="1">('Total Trip Tables Sup #1'!H172*'Updated Population'!H$158)/('Total Trip Tables Sup #1'!H161*1000000)</f>
        <v>1.004714086949992</v>
      </c>
      <c r="I161" s="58">
        <f ca="1">('Total Trip Tables Sup #1'!I172*'Updated Population'!I$158)/('Total Trip Tables Sup #1'!I161*1000000)</f>
        <v>1.0052924443198348</v>
      </c>
      <c r="J161" s="58">
        <f ca="1">('Total Trip Tables Sup #1'!J172*'Updated Population'!J$158)/('Total Trip Tables Sup #1'!J161*1000000)</f>
        <v>1.0058740435114897</v>
      </c>
      <c r="K161" s="58">
        <f ca="1">('Total Trip Tables Sup #1'!K172*'Updated Population'!K$158)/('Total Trip Tables Sup #1'!K161*1000000)</f>
        <v>1.0064585778794557</v>
      </c>
    </row>
    <row r="162" spans="1:11" x14ac:dyDescent="0.25">
      <c r="A162" t="str">
        <f ca="1">'Total Trip Tables'!A19</f>
        <v>Light Vehicle Passenger</v>
      </c>
      <c r="B162" s="58">
        <f ca="1">('Total Trip Tables Sup #1'!B173*'Updated Population'!B$158)/('Total Trip Tables Sup #1'!B162*1000000)</f>
        <v>1.0000000000000002</v>
      </c>
      <c r="C162" s="58">
        <f ca="1">('Total Trip Tables Sup #1'!C173*'Updated Population'!C$158)/('Total Trip Tables Sup #1'!C162*1000000)</f>
        <v>1.0012854301831999</v>
      </c>
      <c r="D162" s="58">
        <f ca="1">('Total Trip Tables Sup #1'!D173*'Updated Population'!D$158)/('Total Trip Tables Sup #1'!D162*1000000)</f>
        <v>1.0022338756861207</v>
      </c>
      <c r="E162" s="58">
        <f ca="1">('Total Trip Tables Sup #1'!E173*'Updated Population'!E$158)/('Total Trip Tables Sup #1'!E162*1000000)</f>
        <v>1.002932814323614</v>
      </c>
      <c r="F162" s="58">
        <f ca="1">('Total Trip Tables Sup #1'!F173*'Updated Population'!F$158)/('Total Trip Tables Sup #1'!F162*1000000)</f>
        <v>1.0035844122707487</v>
      </c>
      <c r="G162" s="58">
        <f ca="1">('Total Trip Tables Sup #1'!G173*'Updated Population'!G$158)/('Total Trip Tables Sup #1'!G162*1000000)</f>
        <v>1.0041952291044856</v>
      </c>
      <c r="H162" s="58">
        <f ca="1">('Total Trip Tables Sup #1'!H173*'Updated Population'!H$158)/('Total Trip Tables Sup #1'!H162*1000000)</f>
        <v>1.0047821505711747</v>
      </c>
      <c r="I162" s="58">
        <f ca="1">('Total Trip Tables Sup #1'!I173*'Updated Population'!I$158)/('Total Trip Tables Sup #1'!I162*1000000)</f>
        <v>1.0053686572822031</v>
      </c>
      <c r="J162" s="58">
        <f ca="1">('Total Trip Tables Sup #1'!J173*'Updated Population'!J$158)/('Total Trip Tables Sup #1'!J162*1000000)</f>
        <v>1.0059544041457218</v>
      </c>
      <c r="K162" s="58">
        <f ca="1">('Total Trip Tables Sup #1'!K173*'Updated Population'!K$158)/('Total Trip Tables Sup #1'!K162*1000000)</f>
        <v>1.0065390518860711</v>
      </c>
    </row>
    <row r="163" spans="1:11" x14ac:dyDescent="0.25">
      <c r="A163" t="str">
        <f ca="1">'Total Trip Tables'!A20</f>
        <v>Taxi/Vehicle Share</v>
      </c>
      <c r="B163" s="58">
        <f ca="1">('Total Trip Tables Sup #1'!B174*'Updated Population'!B$158)/('Total Trip Tables Sup #1'!B163*1000000)</f>
        <v>1</v>
      </c>
      <c r="C163" s="58">
        <f ca="1">('Total Trip Tables Sup #1'!C174*'Updated Population'!C$158)/('Total Trip Tables Sup #1'!C163*1000000)</f>
        <v>0.99966876229547019</v>
      </c>
      <c r="D163" s="58">
        <f ca="1">('Total Trip Tables Sup #1'!D174*'Updated Population'!D$158)/('Total Trip Tables Sup #1'!D163*1000000)</f>
        <v>0.99860003062273672</v>
      </c>
      <c r="E163" s="58">
        <f ca="1">('Total Trip Tables Sup #1'!E174*'Updated Population'!E$158)/('Total Trip Tables Sup #1'!E163*1000000)</f>
        <v>0.99776247839940979</v>
      </c>
      <c r="F163" s="58">
        <f ca="1">('Total Trip Tables Sup #1'!F174*'Updated Population'!F$158)/('Total Trip Tables Sup #1'!F163*1000000)</f>
        <v>0.99682194050612261</v>
      </c>
      <c r="G163" s="58">
        <f ca="1">('Total Trip Tables Sup #1'!G174*'Updated Population'!G$158)/('Total Trip Tables Sup #1'!G163*1000000)</f>
        <v>0.99582149023915845</v>
      </c>
      <c r="H163" s="58">
        <f ca="1">('Total Trip Tables Sup #1'!H174*'Updated Population'!H$158)/('Total Trip Tables Sup #1'!H163*1000000)</f>
        <v>0.99482706633900819</v>
      </c>
      <c r="I163" s="58">
        <f ca="1">('Total Trip Tables Sup #1'!I174*'Updated Population'!I$158)/('Total Trip Tables Sup #1'!I163*1000000)</f>
        <v>0.99379692305325951</v>
      </c>
      <c r="J163" s="58">
        <f ca="1">('Total Trip Tables Sup #1'!J174*'Updated Population'!J$158)/('Total Trip Tables Sup #1'!J163*1000000)</f>
        <v>0.99273282778056726</v>
      </c>
      <c r="K163" s="58">
        <f ca="1">('Total Trip Tables Sup #1'!K174*'Updated Population'!K$158)/('Total Trip Tables Sup #1'!K163*1000000)</f>
        <v>0.99163654821712599</v>
      </c>
    </row>
    <row r="164" spans="1:11" x14ac:dyDescent="0.25">
      <c r="A164" t="str">
        <f ca="1">'Total Trip Tables'!A21</f>
        <v>Motorcyclist</v>
      </c>
      <c r="B164" s="58">
        <f ca="1">('Total Trip Tables Sup #1'!B175*'Updated Population'!B$158)/('Total Trip Tables Sup #1'!B164*1000000)</f>
        <v>1</v>
      </c>
      <c r="C164" s="58">
        <f ca="1">('Total Trip Tables Sup #1'!C175*'Updated Population'!C$158)/('Total Trip Tables Sup #1'!C164*1000000)</f>
        <v>1.0104948164877448</v>
      </c>
      <c r="D164" s="58">
        <f ca="1">('Total Trip Tables Sup #1'!D175*'Updated Population'!D$158)/('Total Trip Tables Sup #1'!D164*1000000)</f>
        <v>1.0187981402360371</v>
      </c>
      <c r="E164" s="58">
        <f ca="1">('Total Trip Tables Sup #1'!E175*'Updated Population'!E$158)/('Total Trip Tables Sup #1'!E164*1000000)</f>
        <v>1.0253196386375223</v>
      </c>
      <c r="F164" s="58">
        <f ca="1">('Total Trip Tables Sup #1'!F175*'Updated Population'!F$158)/('Total Trip Tables Sup #1'!F164*1000000)</f>
        <v>1.0316357876037472</v>
      </c>
      <c r="G164" s="58">
        <f ca="1">('Total Trip Tables Sup #1'!G175*'Updated Population'!G$158)/('Total Trip Tables Sup #1'!G164*1000000)</f>
        <v>1.037706144374132</v>
      </c>
      <c r="H164" s="58">
        <f ca="1">('Total Trip Tables Sup #1'!H175*'Updated Population'!H$158)/('Total Trip Tables Sup #1'!H164*1000000)</f>
        <v>1.0437521219834005</v>
      </c>
      <c r="I164" s="58">
        <f ca="1">('Total Trip Tables Sup #1'!I175*'Updated Population'!I$158)/('Total Trip Tables Sup #1'!I164*1000000)</f>
        <v>1.0498559836358023</v>
      </c>
      <c r="J164" s="58">
        <f ca="1">('Total Trip Tables Sup #1'!J175*'Updated Population'!J$158)/('Total Trip Tables Sup #1'!J164*1000000)</f>
        <v>1.0560147730945537</v>
      </c>
      <c r="K164" s="58">
        <f ca="1">('Total Trip Tables Sup #1'!K175*'Updated Population'!K$158)/('Total Trip Tables Sup #1'!K164*1000000)</f>
        <v>1.0622254547623253</v>
      </c>
    </row>
    <row r="165" spans="1:11" x14ac:dyDescent="0.25">
      <c r="A165" t="str">
        <f ca="1">'Total Trip Tables'!A22</f>
        <v>Local Train</v>
      </c>
      <c r="B165" s="58">
        <f ca="1">('Total Trip Tables Sup #1'!B176*'Updated Population'!B$158)/('Total Trip Tables Sup #1'!B165*1000000)</f>
        <v>1</v>
      </c>
      <c r="C165" s="58">
        <f ca="1">('Total Trip Tables Sup #1'!C176*'Updated Population'!C$158)/('Total Trip Tables Sup #1'!C165*1000000)</f>
        <v>1.0265940606597859</v>
      </c>
      <c r="D165" s="58">
        <f ca="1">('Total Trip Tables Sup #1'!D176*'Updated Population'!D$158)/('Total Trip Tables Sup #1'!D165*1000000)</f>
        <v>1.0422788545098118</v>
      </c>
      <c r="E165" s="58">
        <f ca="1">('Total Trip Tables Sup #1'!E176*'Updated Population'!E$158)/('Total Trip Tables Sup #1'!E165*1000000)</f>
        <v>1.0459194565744785</v>
      </c>
      <c r="F165" s="58">
        <f ca="1">('Total Trip Tables Sup #1'!F176*'Updated Population'!F$158)/('Total Trip Tables Sup #1'!F165*1000000)</f>
        <v>1.0480526049570056</v>
      </c>
      <c r="G165" s="58">
        <f ca="1">('Total Trip Tables Sup #1'!G176*'Updated Population'!G$158)/('Total Trip Tables Sup #1'!G165*1000000)</f>
        <v>1.0492125268250101</v>
      </c>
      <c r="H165" s="58">
        <f ca="1">('Total Trip Tables Sup #1'!H176*'Updated Population'!H$158)/('Total Trip Tables Sup #1'!H165*1000000)</f>
        <v>1.0503121231467687</v>
      </c>
      <c r="I165" s="58">
        <f ca="1">('Total Trip Tables Sup #1'!I176*'Updated Population'!I$158)/('Total Trip Tables Sup #1'!I165*1000000)</f>
        <v>1.047035966160561</v>
      </c>
      <c r="J165" s="58">
        <f ca="1">('Total Trip Tables Sup #1'!J176*'Updated Population'!J$158)/('Total Trip Tables Sup #1'!J165*1000000)</f>
        <v>1.0437843865885117</v>
      </c>
      <c r="K165" s="58">
        <f ca="1">('Total Trip Tables Sup #1'!K176*'Updated Population'!K$158)/('Total Trip Tables Sup #1'!K165*1000000)</f>
        <v>1.0405560416314088</v>
      </c>
    </row>
    <row r="166" spans="1:11" x14ac:dyDescent="0.25">
      <c r="A166" t="str">
        <f ca="1">'Total Trip Tables'!A23</f>
        <v>Local Bus</v>
      </c>
      <c r="B166" s="58">
        <f ca="1">('Total Trip Tables Sup #1'!B177*'Updated Population'!B$169)/('Total Trip Tables Sup #1'!B166*1000000)</f>
        <v>1</v>
      </c>
      <c r="C166" s="58">
        <f ca="1">('Total Trip Tables Sup #1'!C177*'Updated Population'!C$169)/('Total Trip Tables Sup #1'!C166*1000000)</f>
        <v>1.0017631575018247</v>
      </c>
      <c r="D166" s="58">
        <f ca="1">('Total Trip Tables Sup #1'!D177*'Updated Population'!D$169)/('Total Trip Tables Sup #1'!D166*1000000)</f>
        <v>1.0031719338509424</v>
      </c>
      <c r="E166" s="58">
        <f ca="1">('Total Trip Tables Sup #1'!E177*'Updated Population'!E$169)/('Total Trip Tables Sup #1'!E166*1000000)</f>
        <v>1.0044434328787895</v>
      </c>
      <c r="F166" s="58">
        <f ca="1">('Total Trip Tables Sup #1'!F177*'Updated Population'!F$169)/('Total Trip Tables Sup #1'!F166*1000000)</f>
        <v>1.0057181684830085</v>
      </c>
      <c r="G166" s="58">
        <f ca="1">('Total Trip Tables Sup #1'!G177*'Updated Population'!G$169)/('Total Trip Tables Sup #1'!G166*1000000)</f>
        <v>1.0070120393535014</v>
      </c>
      <c r="H166" s="58">
        <f ca="1">('Total Trip Tables Sup #1'!H177*'Updated Population'!H$169)/('Total Trip Tables Sup #1'!H166*1000000)</f>
        <v>1.0083308877443655</v>
      </c>
      <c r="I166" s="58">
        <f ca="1">('Total Trip Tables Sup #1'!I177*'Updated Population'!I$169)/('Total Trip Tables Sup #1'!I166*1000000)</f>
        <v>1.0096578168062047</v>
      </c>
      <c r="J166" s="58">
        <f ca="1">('Total Trip Tables Sup #1'!J177*'Updated Population'!J$169)/('Total Trip Tables Sup #1'!J166*1000000)</f>
        <v>1.0109925996030056</v>
      </c>
      <c r="K166" s="58">
        <f ca="1">('Total Trip Tables Sup #1'!K177*'Updated Population'!K$169)/('Total Trip Tables Sup #1'!K166*1000000)</f>
        <v>1.0123350101429065</v>
      </c>
    </row>
    <row r="167" spans="1:11" x14ac:dyDescent="0.25">
      <c r="A167" t="str">
        <f ca="1">'Total Trip Tables'!A24</f>
        <v>Local Ferry</v>
      </c>
      <c r="B167" s="58">
        <f ca="1">('Total Trip Tables Sup #1'!B178*'Updated Population'!B$158)/('Total Trip Tables Sup #1'!B167*1000000)</f>
        <v>1</v>
      </c>
      <c r="C167" s="58">
        <f ca="1">('Total Trip Tables Sup #1'!C178*'Updated Population'!C$158)/('Total Trip Tables Sup #1'!C167*1000000)</f>
        <v>0.96928375846928416</v>
      </c>
      <c r="D167" s="58">
        <f ca="1">('Total Trip Tables Sup #1'!D178*'Updated Population'!D$158)/('Total Trip Tables Sup #1'!D167*1000000)</f>
        <v>0.94534548261603446</v>
      </c>
      <c r="E167" s="58">
        <f ca="1">('Total Trip Tables Sup #1'!E178*'Updated Population'!E$158)/('Total Trip Tables Sup #1'!E167*1000000)</f>
        <v>0.92698693231985252</v>
      </c>
      <c r="F167" s="58">
        <f ca="1">('Total Trip Tables Sup #1'!F178*'Updated Population'!F$158)/('Total Trip Tables Sup #1'!F167*1000000)</f>
        <v>0.91038248136929423</v>
      </c>
      <c r="G167" s="58">
        <f ca="1">('Total Trip Tables Sup #1'!G178*'Updated Population'!G$158)/('Total Trip Tables Sup #1'!G167*1000000)</f>
        <v>0.89530707711738966</v>
      </c>
      <c r="H167" s="58">
        <f ca="1">('Total Trip Tables Sup #1'!H178*'Updated Population'!H$158)/('Total Trip Tables Sup #1'!H167*1000000)</f>
        <v>0.88118110773534819</v>
      </c>
      <c r="I167" s="58">
        <f ca="1">('Total Trip Tables Sup #1'!I178*'Updated Population'!I$158)/('Total Trip Tables Sup #1'!I167*1000000)</f>
        <v>0.86746795054467019</v>
      </c>
      <c r="J167" s="58">
        <f ca="1">('Total Trip Tables Sup #1'!J178*'Updated Population'!J$158)/('Total Trip Tables Sup #1'!J167*1000000)</f>
        <v>0.85415613115451416</v>
      </c>
      <c r="K167" s="58">
        <f ca="1">('Total Trip Tables Sup #1'!K178*'Updated Population'!K$158)/('Total Trip Tables Sup #1'!K167*1000000)</f>
        <v>0.84123439841724468</v>
      </c>
    </row>
    <row r="168" spans="1:11" x14ac:dyDescent="0.25">
      <c r="A168" t="str">
        <f ca="1">'Total Trip Tables'!A25</f>
        <v>Other Household Travel</v>
      </c>
      <c r="B168" s="58">
        <f ca="1">('Total Trip Tables Sup #1'!B179*'Updated Population'!B$158)/('Total Trip Tables Sup #1'!B168*1000000)</f>
        <v>1</v>
      </c>
      <c r="C168" s="58">
        <f ca="1">('Total Trip Tables Sup #1'!C179*'Updated Population'!C$158)/('Total Trip Tables Sup #1'!C168*1000000)</f>
        <v>1.0051303354558561</v>
      </c>
      <c r="D168" s="58">
        <f ca="1">('Total Trip Tables Sup #1'!D179*'Updated Population'!D$158)/('Total Trip Tables Sup #1'!D168*1000000)</f>
        <v>1.0099405869016047</v>
      </c>
      <c r="E168" s="58">
        <f ca="1">('Total Trip Tables Sup #1'!E179*'Updated Population'!E$158)/('Total Trip Tables Sup #1'!E168*1000000)</f>
        <v>1.0139500718075505</v>
      </c>
      <c r="F168" s="58">
        <f ca="1">('Total Trip Tables Sup #1'!F179*'Updated Population'!F$158)/('Total Trip Tables Sup #1'!F168*1000000)</f>
        <v>1.0178163894665253</v>
      </c>
      <c r="G168" s="58">
        <f ca="1">('Total Trip Tables Sup #1'!G179*'Updated Population'!G$158)/('Total Trip Tables Sup #1'!G168*1000000)</f>
        <v>1.0215458787144609</v>
      </c>
      <c r="H168" s="58">
        <f ca="1">('Total Trip Tables Sup #1'!H179*'Updated Population'!H$158)/('Total Trip Tables Sup #1'!H168*1000000)</f>
        <v>1.0253109872238206</v>
      </c>
      <c r="I168" s="58">
        <f ca="1">('Total Trip Tables Sup #1'!I179*'Updated Population'!I$158)/('Total Trip Tables Sup #1'!I168*1000000)</f>
        <v>1.0291182887137378</v>
      </c>
      <c r="J168" s="58">
        <f ca="1">('Total Trip Tables Sup #1'!J179*'Updated Population'!J$158)/('Total Trip Tables Sup #1'!J168*1000000)</f>
        <v>1.0329668636022422</v>
      </c>
      <c r="K168" s="58">
        <f ca="1">('Total Trip Tables Sup #1'!K179*'Updated Population'!K$158)/('Total Trip Tables Sup #1'!K168*1000000)</f>
        <v>1.0368557512563397</v>
      </c>
    </row>
    <row r="169" spans="1:11" x14ac:dyDescent="0.25">
      <c r="A169" t="s">
        <v>123</v>
      </c>
    </row>
    <row r="170" spans="1:11" x14ac:dyDescent="0.25">
      <c r="A170" t="s">
        <v>34</v>
      </c>
      <c r="B170" s="4">
        <f>'[1]Transition '!B$38</f>
        <v>0</v>
      </c>
      <c r="C170" s="4">
        <f>'[1]Transition '!C$38</f>
        <v>11.712251088164892</v>
      </c>
      <c r="D170" s="4">
        <f>'[1]Transition '!D$38</f>
        <v>28.000682979208626</v>
      </c>
      <c r="E170" s="4">
        <f>'[1]Transition '!E$38</f>
        <v>44.25966355655089</v>
      </c>
      <c r="F170" s="4">
        <f>'[1]Transition '!F$38</f>
        <v>51.980302712231953</v>
      </c>
      <c r="G170" s="4">
        <f>'[1]Transition '!G$38</f>
        <v>59.922255752793333</v>
      </c>
      <c r="H170" s="4">
        <f>'[1]Transition '!H$38</f>
        <v>67.953214092293521</v>
      </c>
      <c r="I170" s="1">
        <f>'[1]Transition '!I$38</f>
        <v>75.847254183959393</v>
      </c>
      <c r="J170" s="1">
        <f>'[1]Transition '!J$38</f>
        <v>84.265331378817223</v>
      </c>
      <c r="K170" s="1">
        <f>'[1]Transition '!K$38</f>
        <v>93.587997994290433</v>
      </c>
    </row>
    <row r="171" spans="1:11" x14ac:dyDescent="0.25">
      <c r="A171" t="s">
        <v>41</v>
      </c>
      <c r="B171" s="4">
        <f>'[2]Transition '!B$38</f>
        <v>0</v>
      </c>
      <c r="C171" s="4">
        <f>'[2]Transition '!C$38</f>
        <v>0.28854635749980773</v>
      </c>
      <c r="D171" s="4">
        <f>'[2]Transition '!D$38</f>
        <v>1.2724689095795387</v>
      </c>
      <c r="E171" s="4">
        <f>'[2]Transition '!E$38</f>
        <v>2.2172709087787457</v>
      </c>
      <c r="F171" s="4">
        <f>'[2]Transition '!F$38</f>
        <v>3.005092854551604</v>
      </c>
      <c r="G171" s="4">
        <f>'[2]Transition '!G$38</f>
        <v>3.7246262519093296</v>
      </c>
      <c r="H171" s="4">
        <f>'[2]Transition '!H$38</f>
        <v>4.497124307268372</v>
      </c>
      <c r="I171" s="1">
        <f>'[2]Transition '!I$38</f>
        <v>5.5516150990482043</v>
      </c>
      <c r="J171" s="1">
        <f>'[2]Transition '!J$38</f>
        <v>6.713934060584716</v>
      </c>
      <c r="K171" s="1">
        <f>'[2]Transition '!K$38</f>
        <v>7.9795899905257315</v>
      </c>
    </row>
    <row r="172" spans="1:11" x14ac:dyDescent="0.25">
      <c r="A172" t="s">
        <v>124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5">
      <c r="A173" t="s">
        <v>34</v>
      </c>
      <c r="B173" s="4">
        <f>'[1]Transition '!B$41</f>
        <v>0</v>
      </c>
      <c r="C173" s="4">
        <f>'[1]Transition '!C$41</f>
        <v>5.87829619751016</v>
      </c>
      <c r="D173" s="4">
        <f>'[1]Transition '!D$41</f>
        <v>10.861423076137818</v>
      </c>
      <c r="E173" s="4">
        <f>'[1]Transition '!E$41</f>
        <v>15.097914622730613</v>
      </c>
      <c r="F173" s="4">
        <f>'[1]Transition '!F$41</f>
        <v>20.372765188747607</v>
      </c>
      <c r="G173" s="4">
        <f>'[1]Transition '!G$41</f>
        <v>25.756648355021383</v>
      </c>
      <c r="H173" s="4">
        <f>'[1]Transition '!H$41</f>
        <v>31.575560302421323</v>
      </c>
      <c r="I173" s="1">
        <f>'[1]Transition '!I$41</f>
        <v>36.401937959674001</v>
      </c>
      <c r="J173" s="1">
        <f>'[1]Transition '!J$41</f>
        <v>41.694102138376337</v>
      </c>
      <c r="K173" s="1">
        <f>'[1]Transition '!K$41</f>
        <v>47.656216567004762</v>
      </c>
    </row>
    <row r="174" spans="1:11" x14ac:dyDescent="0.25">
      <c r="A174" t="s">
        <v>41</v>
      </c>
      <c r="B174" s="4">
        <f>'[2]Transition '!B$41</f>
        <v>0</v>
      </c>
      <c r="C174" s="4">
        <f>'[2]Transition '!C$41</f>
        <v>0.41188752627259362</v>
      </c>
      <c r="D174" s="4">
        <f>'[2]Transition '!D$41</f>
        <v>3.0562724795702536</v>
      </c>
      <c r="E174" s="4">
        <f>'[2]Transition '!E$41</f>
        <v>4.9048596751611662</v>
      </c>
      <c r="F174" s="4">
        <f>'[2]Transition '!F$41</f>
        <v>5.849175684566692</v>
      </c>
      <c r="G174" s="4">
        <f>'[2]Transition '!G$41</f>
        <v>6.9538134562679588</v>
      </c>
      <c r="H174" s="4">
        <f>'[2]Transition '!H$41</f>
        <v>8.1774492106575707</v>
      </c>
      <c r="I174" s="1">
        <f>'[2]Transition '!I$41</f>
        <v>8.9683522881181439</v>
      </c>
      <c r="J174" s="1">
        <f>'[2]Transition '!J$41</f>
        <v>9.8617007749256409</v>
      </c>
      <c r="K174" s="1">
        <f>'[2]Transition '!K$41</f>
        <v>10.836612184069303</v>
      </c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0" spans="2:8" x14ac:dyDescent="0.25">
      <c r="B180" s="4"/>
      <c r="C180" s="4"/>
      <c r="D180" s="4"/>
      <c r="E180" s="4"/>
      <c r="F180" s="4"/>
      <c r="G180" s="4"/>
      <c r="H180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  <row r="191" spans="2:8" x14ac:dyDescent="0.25">
      <c r="B191" s="4"/>
      <c r="C191" s="4"/>
      <c r="D191" s="4"/>
      <c r="E191" s="4"/>
      <c r="F191" s="4"/>
      <c r="G191" s="4"/>
      <c r="H191" s="4"/>
    </row>
    <row r="193" spans="2:8" x14ac:dyDescent="0.25">
      <c r="B193" s="4"/>
      <c r="C193" s="4"/>
      <c r="D193" s="4"/>
      <c r="E193" s="4"/>
      <c r="F193" s="4"/>
      <c r="G193" s="4"/>
      <c r="H193" s="4"/>
    </row>
    <row r="194" spans="2:8" x14ac:dyDescent="0.25">
      <c r="B194" s="4"/>
      <c r="C194" s="4"/>
      <c r="D194" s="4"/>
      <c r="E194" s="4"/>
      <c r="F194" s="4"/>
      <c r="G194" s="4"/>
      <c r="H194" s="4"/>
    </row>
    <row r="195" spans="2:8" x14ac:dyDescent="0.25">
      <c r="B195" s="4"/>
      <c r="C195" s="4"/>
      <c r="D195" s="4"/>
      <c r="E195" s="4"/>
      <c r="F195" s="4"/>
      <c r="G195" s="4"/>
      <c r="H195" s="4"/>
    </row>
    <row r="196" spans="2:8" x14ac:dyDescent="0.25">
      <c r="B196" s="4"/>
      <c r="C196" s="4"/>
      <c r="D196" s="4"/>
      <c r="E196" s="4"/>
      <c r="F196" s="4"/>
      <c r="G196" s="4"/>
      <c r="H196" s="4"/>
    </row>
    <row r="197" spans="2:8" x14ac:dyDescent="0.25">
      <c r="B197" s="4"/>
      <c r="C197" s="4"/>
      <c r="D197" s="4"/>
      <c r="E197" s="4"/>
      <c r="F197" s="4"/>
      <c r="G197" s="4"/>
      <c r="H197" s="4"/>
    </row>
    <row r="198" spans="2:8" x14ac:dyDescent="0.25">
      <c r="B198" s="4"/>
      <c r="C198" s="4"/>
      <c r="D198" s="4"/>
      <c r="E198" s="4"/>
      <c r="F198" s="4"/>
      <c r="G198" s="4"/>
      <c r="H198" s="4"/>
    </row>
    <row r="199" spans="2:8" x14ac:dyDescent="0.25">
      <c r="B199" s="4"/>
      <c r="C199" s="4"/>
      <c r="D199" s="4"/>
      <c r="E199" s="4"/>
      <c r="F199" s="4"/>
      <c r="G199" s="4"/>
      <c r="H199" s="4"/>
    </row>
    <row r="200" spans="2:8" x14ac:dyDescent="0.25">
      <c r="B200" s="4"/>
      <c r="C200" s="4"/>
      <c r="D200" s="4"/>
      <c r="E200" s="4"/>
      <c r="F200" s="4"/>
      <c r="G200" s="4"/>
      <c r="H200" s="4"/>
    </row>
    <row r="201" spans="2:8" x14ac:dyDescent="0.25">
      <c r="B201" s="4"/>
      <c r="C201" s="4"/>
      <c r="D201" s="4"/>
      <c r="E201" s="4"/>
      <c r="F201" s="4"/>
      <c r="G201" s="4"/>
      <c r="H201" s="4"/>
    </row>
    <row r="202" spans="2:8" x14ac:dyDescent="0.25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K24" sqref="K24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17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$B5*('Updated Population'!C$4/'Updated Population'!$B$4)*('Total Trip Tables Sup #1'!C170/'Total Trip Tables Sup #1'!$B170)</f>
        <v>24.951822545528135</v>
      </c>
      <c r="D5" s="4">
        <f ca="1">$B5*('Updated Population'!D$4/'Updated Population'!$B$4)*('Total Trip Tables Sup #1'!D170/'Total Trip Tables Sup #1'!$B170)</f>
        <v>25.535322914902345</v>
      </c>
      <c r="E5" s="4">
        <f ca="1">$B5*('Updated Population'!E$4/'Updated Population'!$B$4)*('Total Trip Tables Sup #1'!E170/'Total Trip Tables Sup #1'!$B170)</f>
        <v>25.691118766056299</v>
      </c>
      <c r="F5" s="4">
        <f ca="1">$B5*('Updated Population'!F$4/'Updated Population'!$B$4)*('Total Trip Tables Sup #1'!F170/'Total Trip Tables Sup #1'!$B170)</f>
        <v>25.544844770334414</v>
      </c>
      <c r="G5" s="4">
        <f ca="1">$B5*('Updated Population'!G$4/'Updated Population'!$B$4)*('Total Trip Tables Sup #1'!G170/'Total Trip Tables Sup #1'!$B170)</f>
        <v>25.234527540885082</v>
      </c>
      <c r="H5" s="4">
        <f ca="1">$B5*('Updated Population'!H$4/'Updated Population'!$B$4)*('Total Trip Tables Sup #1'!H170/'Total Trip Tables Sup #1'!$B170)</f>
        <v>24.801272306804886</v>
      </c>
      <c r="I5" s="1">
        <f ca="1">$B5*('Updated Population'!I$4/'Updated Population'!$B$4)*('Total Trip Tables Sup #1'!I170/'Total Trip Tables Sup #1'!$B170)</f>
        <v>24.918902149939488</v>
      </c>
      <c r="J5" s="1">
        <f ca="1">$B5*('Updated Population'!J$4/'Updated Population'!$B$4)*('Total Trip Tables Sup #1'!J170/'Total Trip Tables Sup #1'!$B170)</f>
        <v>24.957392527980559</v>
      </c>
      <c r="K5" s="1">
        <f ca="1">$B5*('Updated Population'!K$4/'Updated Population'!$B$4)*('Total Trip Tables Sup #1'!K170/'Total Trip Tables Sup #1'!$B170)</f>
        <v>24.942224464788278</v>
      </c>
    </row>
    <row r="6" spans="1:11" x14ac:dyDescent="0.25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$B6*('Updated Population'!C$4/'Updated Population'!$B$4)*('Total Trip Tables Sup #1'!C171/'Total Trip Tables Sup #1'!$B171)</f>
        <v>0.69368256604227485</v>
      </c>
      <c r="D6" s="4">
        <f ca="1">$B6*('Updated Population'!D$4/'Updated Population'!$B$4)*('Total Trip Tables Sup #1'!D171/'Total Trip Tables Sup #1'!$B171)</f>
        <v>0.69859244389226605</v>
      </c>
      <c r="E6" s="4">
        <f ca="1">$B6*('Updated Population'!E$4/'Updated Population'!$B$4)*('Total Trip Tables Sup #1'!E171/'Total Trip Tables Sup #1'!$B171)</f>
        <v>0.6913774747531426</v>
      </c>
      <c r="F6" s="4">
        <f ca="1">$B6*('Updated Population'!F$4/'Updated Population'!$B$4)*('Total Trip Tables Sup #1'!F171/'Total Trip Tables Sup #1'!$B171)</f>
        <v>0.68212094680118607</v>
      </c>
      <c r="G6" s="4">
        <f ca="1">$B6*('Updated Population'!G$4/'Updated Population'!$B$4)*('Total Trip Tables Sup #1'!G171/'Total Trip Tables Sup #1'!$B171)</f>
        <v>0.67175063067603702</v>
      </c>
      <c r="H6" s="4">
        <f ca="1">$B6*('Updated Population'!H$4/'Updated Population'!$B$4)*('Total Trip Tables Sup #1'!H171/'Total Trip Tables Sup #1'!$B171)</f>
        <v>0.66041358884808932</v>
      </c>
      <c r="I6" s="1">
        <f ca="1">$B6*('Updated Population'!I$4/'Updated Population'!$B$4)*('Total Trip Tables Sup #1'!I171/'Total Trip Tables Sup #1'!$B171)</f>
        <v>0.66354586149520045</v>
      </c>
      <c r="J6" s="1">
        <f ca="1">$B6*('Updated Population'!J$4/'Updated Population'!$B$4)*('Total Trip Tables Sup #1'!J171/'Total Trip Tables Sup #1'!$B171)</f>
        <v>0.66457079152232845</v>
      </c>
      <c r="K6" s="1">
        <f ca="1">$B6*('Updated Population'!K$4/'Updated Population'!$B$4)*('Total Trip Tables Sup #1'!K171/'Total Trip Tables Sup #1'!$B171)</f>
        <v>0.6641668930882173</v>
      </c>
    </row>
    <row r="7" spans="1:11" x14ac:dyDescent="0.25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$B7*('Updated Population'!C$4/'Updated Population'!$B$4)*('Total Trip Tables Sup #1'!C172/'Total Trip Tables Sup #1'!$B172)</f>
        <v>93.2125809335475</v>
      </c>
      <c r="D7" s="4">
        <f ca="1">$B7*('Updated Population'!D$4/'Updated Population'!$B$4)*('Total Trip Tables Sup #1'!D172/'Total Trip Tables Sup #1'!$B172)</f>
        <v>96.866638541780603</v>
      </c>
      <c r="E7" s="4">
        <f ca="1">$B7*('Updated Population'!E$4/'Updated Population'!$B$4)*('Total Trip Tables Sup #1'!E172/'Total Trip Tables Sup #1'!$B172)</f>
        <v>99.953859515494031</v>
      </c>
      <c r="F7" s="4">
        <f ca="1">$B7*('Updated Population'!F$4/'Updated Population'!$B$4)*('Total Trip Tables Sup #1'!F172/'Total Trip Tables Sup #1'!$B172)</f>
        <v>102.27925463698075</v>
      </c>
      <c r="G7" s="4">
        <f ca="1">$B7*('Updated Population'!G$4/'Updated Population'!$B$4)*('Total Trip Tables Sup #1'!G172/'Total Trip Tables Sup #1'!$B172)</f>
        <v>103.34045546846339</v>
      </c>
      <c r="H7" s="4">
        <f ca="1">$B7*('Updated Population'!H$4/'Updated Population'!$B$4)*('Total Trip Tables Sup #1'!H172/'Total Trip Tables Sup #1'!$B172)</f>
        <v>103.78951974595387</v>
      </c>
      <c r="I7" s="1">
        <f ca="1">$B7*('Updated Population'!I$4/'Updated Population'!$B$4)*('Total Trip Tables Sup #1'!I172/'Total Trip Tables Sup #1'!$B172)</f>
        <v>104.28178259342813</v>
      </c>
      <c r="J7" s="1">
        <f ca="1">$B7*('Updated Population'!J$4/'Updated Population'!$B$4)*('Total Trip Tables Sup #1'!J172/'Total Trip Tables Sup #1'!$B172)</f>
        <v>104.44285892057393</v>
      </c>
      <c r="K7" s="1">
        <f ca="1">$B7*('Updated Population'!K$4/'Updated Population'!$B$4)*('Total Trip Tables Sup #1'!K172/'Total Trip Tables Sup #1'!$B172)</f>
        <v>104.37938290310483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$B8*('Updated Population'!C$4/'Updated Population'!$B$4)*('Total Trip Tables Sup #1'!C173/'Total Trip Tables Sup #1'!$B173)</f>
        <v>51.760309114922968</v>
      </c>
      <c r="D8" s="4">
        <f ca="1">$B8*('Updated Population'!D$4/'Updated Population'!$B$4)*('Total Trip Tables Sup #1'!D173/'Total Trip Tables Sup #1'!$B173)</f>
        <v>52.269084188653594</v>
      </c>
      <c r="E8" s="4">
        <f ca="1">$B8*('Updated Population'!E$4/'Updated Population'!$B$4)*('Total Trip Tables Sup #1'!E173/'Total Trip Tables Sup #1'!$B173)</f>
        <v>52.378436394718378</v>
      </c>
      <c r="F8" s="4">
        <f ca="1">$B8*('Updated Population'!F$4/'Updated Population'!$B$4)*('Total Trip Tables Sup #1'!F173/'Total Trip Tables Sup #1'!$B173)</f>
        <v>52.201800232740332</v>
      </c>
      <c r="G8" s="4">
        <f ca="1">$B8*('Updated Population'!G$4/'Updated Population'!$B$4)*('Total Trip Tables Sup #1'!G173/'Total Trip Tables Sup #1'!$B173)</f>
        <v>51.626578983054664</v>
      </c>
      <c r="H8" s="4">
        <f ca="1">$B8*('Updated Population'!H$4/'Updated Population'!$B$4)*('Total Trip Tables Sup #1'!H173/'Total Trip Tables Sup #1'!$B173)</f>
        <v>50.747445225894538</v>
      </c>
      <c r="I8" s="1">
        <f ca="1">$B8*('Updated Population'!I$4/'Updated Population'!$B$4)*('Total Trip Tables Sup #1'!I173/'Total Trip Tables Sup #1'!$B173)</f>
        <v>50.988135056140301</v>
      </c>
      <c r="J8" s="1">
        <f ca="1">$B8*('Updated Population'!J$4/'Updated Population'!$B$4)*('Total Trip Tables Sup #1'!J173/'Total Trip Tables Sup #1'!$B173)</f>
        <v>51.066892642735048</v>
      </c>
      <c r="K8" s="1">
        <f ca="1">$B8*('Updated Population'!K$4/'Updated Population'!$B$4)*('Total Trip Tables Sup #1'!K173/'Total Trip Tables Sup #1'!$B173)</f>
        <v>51.035856313368114</v>
      </c>
    </row>
    <row r="9" spans="1:11" x14ac:dyDescent="0.25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$B9*('Updated Population'!C$4/'Updated Population'!$B$4)*('Total Trip Tables Sup #1'!C174/'Total Trip Tables Sup #1'!$B174)</f>
        <v>0.20485271163153909</v>
      </c>
      <c r="D9" s="4">
        <f ca="1">$B9*('Updated Population'!D$4/'Updated Population'!$B$4)*('Total Trip Tables Sup #1'!D174/'Total Trip Tables Sup #1'!$B174)</f>
        <v>0.22143064081275093</v>
      </c>
      <c r="E9" s="4">
        <f ca="1">$B9*('Updated Population'!E$4/'Updated Population'!$B$4)*('Total Trip Tables Sup #1'!E174/'Total Trip Tables Sup #1'!$B174)</f>
        <v>0.23309019019611163</v>
      </c>
      <c r="F9" s="4">
        <f ca="1">$B9*('Updated Population'!F$4/'Updated Population'!$B$4)*('Total Trip Tables Sup #1'!F174/'Total Trip Tables Sup #1'!$B174)</f>
        <v>0.24156253897717272</v>
      </c>
      <c r="G9" s="4">
        <f ca="1">$B9*('Updated Population'!G$4/'Updated Population'!$B$4)*('Total Trip Tables Sup #1'!G174/'Total Trip Tables Sup #1'!$B174)</f>
        <v>0.24598753786015207</v>
      </c>
      <c r="H9" s="4">
        <f ca="1">$B9*('Updated Population'!H$4/'Updated Population'!$B$4)*('Total Trip Tables Sup #1'!H174/'Total Trip Tables Sup #1'!$B174)</f>
        <v>0.24932538992898484</v>
      </c>
      <c r="I9" s="1">
        <f ca="1">$B9*('Updated Population'!I$4/'Updated Population'!$B$4)*('Total Trip Tables Sup #1'!I174/'Total Trip Tables Sup #1'!$B174)</f>
        <v>0.25050791420209534</v>
      </c>
      <c r="J9" s="1">
        <f ca="1">$B9*('Updated Population'!J$4/'Updated Population'!$B$4)*('Total Trip Tables Sup #1'!J174/'Total Trip Tables Sup #1'!$B174)</f>
        <v>0.25089485517814242</v>
      </c>
      <c r="K9" s="1">
        <f ca="1">$B9*('Updated Population'!K$4/'Updated Population'!$B$4)*('Total Trip Tables Sup #1'!K174/'Total Trip Tables Sup #1'!$B174)</f>
        <v>0.25074237174007119</v>
      </c>
    </row>
    <row r="10" spans="1:11" x14ac:dyDescent="0.25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$B10*('Updated Population'!C$4/'Updated Population'!$B$4)*('Total Trip Tables Sup #1'!C175/'Total Trip Tables Sup #1'!$B175)</f>
        <v>1.4828415230968153</v>
      </c>
      <c r="D10" s="4">
        <f ca="1">$B10*('Updated Population'!D$4/'Updated Population'!$B$4)*('Total Trip Tables Sup #1'!D175/'Total Trip Tables Sup #1'!$B175)</f>
        <v>1.5034566920328947</v>
      </c>
      <c r="E10" s="4">
        <f ca="1">$B10*('Updated Population'!E$4/'Updated Population'!$B$4)*('Total Trip Tables Sup #1'!E175/'Total Trip Tables Sup #1'!$B175)</f>
        <v>1.5130555618874921</v>
      </c>
      <c r="F10" s="4">
        <f ca="1">$B10*('Updated Population'!F$4/'Updated Population'!$B$4)*('Total Trip Tables Sup #1'!F175/'Total Trip Tables Sup #1'!$B175)</f>
        <v>1.5095496647010236</v>
      </c>
      <c r="G10" s="4">
        <f ca="1">$B10*('Updated Population'!G$4/'Updated Population'!$B$4)*('Total Trip Tables Sup #1'!G175/'Total Trip Tables Sup #1'!$B175)</f>
        <v>1.477395838243537</v>
      </c>
      <c r="H10" s="4">
        <f ca="1">$B10*('Updated Population'!H$4/'Updated Population'!$B$4)*('Total Trip Tables Sup #1'!H175/'Total Trip Tables Sup #1'!$B175)</f>
        <v>1.4350063279600394</v>
      </c>
      <c r="I10" s="1">
        <f ca="1">$B10*('Updated Population'!I$4/'Updated Population'!$B$4)*('Total Trip Tables Sup #1'!I175/'Total Trip Tables Sup #1'!$B175)</f>
        <v>1.4418124130336984</v>
      </c>
      <c r="J10" s="1">
        <f ca="1">$B10*('Updated Population'!J$4/'Updated Population'!$B$4)*('Total Trip Tables Sup #1'!J175/'Total Trip Tables Sup #1'!$B175)</f>
        <v>1.444039473620399</v>
      </c>
      <c r="K10" s="1">
        <f ca="1">$B10*('Updated Population'!K$4/'Updated Population'!$B$4)*('Total Trip Tables Sup #1'!K175/'Total Trip Tables Sup #1'!$B175)</f>
        <v>1.4431618466021334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Trip Tables Sup #1'!C176/'Total Trip Tables Sup #1'!$B176)</f>
        <v>0</v>
      </c>
      <c r="D11" s="4">
        <f ca="1">$B11*('Updated Population'!D$4/'Updated Population'!$B$4)*('Total Trip Tables Sup #1'!D176/'Total Trip Tables Sup #1'!$B176)</f>
        <v>0</v>
      </c>
      <c r="E11" s="4">
        <f ca="1">$B11*('Updated Population'!E$4/'Updated Population'!$B$4)*('Total Trip Tables Sup #1'!E176/'Total Trip Tables Sup #1'!$B176)</f>
        <v>0</v>
      </c>
      <c r="F11" s="4">
        <f ca="1">$B11*('Updated Population'!F$4/'Updated Population'!$B$4)*('Total Trip Tables Sup #1'!F176/'Total Trip Tables Sup #1'!$B176)</f>
        <v>0</v>
      </c>
      <c r="G11" s="4">
        <f ca="1">$B11*('Updated Population'!G$4/'Updated Population'!$B$4)*('Total Trip Tables Sup #1'!G176/'Total Trip Tables Sup #1'!$B176)</f>
        <v>0</v>
      </c>
      <c r="H11" s="4">
        <f ca="1">$B11*('Updated Population'!H$4/'Updated Population'!$B$4)*('Total Trip Tables Sup #1'!H176/'Total Trip Tables Sup #1'!$B176)</f>
        <v>0</v>
      </c>
      <c r="I11" s="1">
        <f ca="1">$B11*('Updated Population'!I$4/'Updated Population'!$B$4)*('Total Trip Tables Sup #1'!I176/'Total Trip Tables Sup #1'!$B176)</f>
        <v>0</v>
      </c>
      <c r="J11" s="1">
        <f ca="1">$B11*('Updated Population'!J$4/'Updated Population'!$B$4)*('Total Trip Tables Sup #1'!J176/'Total Trip Tables Sup #1'!$B176)</f>
        <v>0</v>
      </c>
      <c r="K11" s="1">
        <f ca="1">$B11*('Updated Population'!K$4/'Updated Population'!$B$4)*('Total Trip Tables Sup #1'!K176/'Total Trip Tables Sup #1'!$B176)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$B12*('Updated Population'!C$4/'Updated Population'!$B$4)*('Total Trip Tables Sup #1'!C177/'Total Trip Tables Sup #1'!$B177)</f>
        <v>3.5796648802416806</v>
      </c>
      <c r="D12" s="4">
        <f ca="1">$B12*('Updated Population'!D$4/'Updated Population'!$B$4)*('Total Trip Tables Sup #1'!D177/'Total Trip Tables Sup #1'!$B177)</f>
        <v>3.5055874167322307</v>
      </c>
      <c r="E12" s="4">
        <f ca="1">$B12*('Updated Population'!E$4/'Updated Population'!$B$4)*('Total Trip Tables Sup #1'!E177/'Total Trip Tables Sup #1'!$B177)</f>
        <v>3.4635895330109303</v>
      </c>
      <c r="F12" s="4">
        <f ca="1">$B12*('Updated Population'!F$4/'Updated Population'!$B$4)*('Total Trip Tables Sup #1'!F177/'Total Trip Tables Sup #1'!$B177)</f>
        <v>3.3722889797933084</v>
      </c>
      <c r="G12" s="4">
        <f ca="1">$B12*('Updated Population'!G$4/'Updated Population'!$B$4)*('Total Trip Tables Sup #1'!G177/'Total Trip Tables Sup #1'!$B177)</f>
        <v>3.2963819468986051</v>
      </c>
      <c r="H12" s="4">
        <f ca="1">$B12*('Updated Population'!H$4/'Updated Population'!$B$4)*('Total Trip Tables Sup #1'!H177/'Total Trip Tables Sup #1'!$B177)</f>
        <v>3.2016735181806721</v>
      </c>
      <c r="I12" s="1">
        <f ca="1">$B12*('Updated Population'!I$4/'Updated Population'!$B$4)*('Total Trip Tables Sup #1'!I177/'Total Trip Tables Sup #1'!$B177)</f>
        <v>3.216858721143363</v>
      </c>
      <c r="J12" s="1">
        <f ca="1">$B12*('Updated Population'!J$4/'Updated Population'!$B$4)*('Total Trip Tables Sup #1'!J177/'Total Trip Tables Sup #1'!$B177)</f>
        <v>3.2218275639734566</v>
      </c>
      <c r="K12" s="1">
        <f ca="1">$B12*('Updated Population'!K$4/'Updated Population'!$B$4)*('Total Trip Tables Sup #1'!K177/'Total Trip Tables Sup #1'!$B177)</f>
        <v>3.2198694714351364</v>
      </c>
    </row>
    <row r="13" spans="1:11" x14ac:dyDescent="0.25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$B13*('Updated Population'!C$4/'Updated Population'!$B$4)*('Total Trip Tables Sup #1'!C178/'Total Trip Tables Sup #1'!$B178)</f>
        <v>5.3327347770565858E-2</v>
      </c>
      <c r="D13" s="4">
        <f ca="1">$B13*('Updated Population'!D$4/'Updated Population'!$B$4)*('Total Trip Tables Sup #1'!D178/'Total Trip Tables Sup #1'!$B178)</f>
        <v>5.8047625918217487E-2</v>
      </c>
      <c r="E13" s="4">
        <f ca="1">$B13*('Updated Population'!E$4/'Updated Population'!$B$4)*('Total Trip Tables Sup #1'!E178/'Total Trip Tables Sup #1'!$B178)</f>
        <v>6.0702635825218114E-2</v>
      </c>
      <c r="F13" s="4">
        <f ca="1">$B13*('Updated Population'!F$4/'Updated Population'!$B$4)*('Total Trip Tables Sup #1'!F178/'Total Trip Tables Sup #1'!$B178)</f>
        <v>6.2238815731720583E-2</v>
      </c>
      <c r="G13" s="4">
        <f ca="1">$B13*('Updated Population'!G$4/'Updated Population'!$B$4)*('Total Trip Tables Sup #1'!G178/'Total Trip Tables Sup #1'!$B178)</f>
        <v>6.4809669832177022E-2</v>
      </c>
      <c r="H13" s="4">
        <f ca="1">$B13*('Updated Population'!H$4/'Updated Population'!$B$4)*('Total Trip Tables Sup #1'!H178/'Total Trip Tables Sup #1'!$B178)</f>
        <v>6.6681353029227605E-2</v>
      </c>
      <c r="I13" s="1">
        <f ca="1">$B13*('Updated Population'!I$4/'Updated Population'!$B$4)*('Total Trip Tables Sup #1'!I178/'Total Trip Tables Sup #1'!$B178)</f>
        <v>6.6997615719294482E-2</v>
      </c>
      <c r="J13" s="1">
        <f ca="1">$B13*('Updated Population'!J$4/'Updated Population'!$B$4)*('Total Trip Tables Sup #1'!J178/'Total Trip Tables Sup #1'!$B178)</f>
        <v>6.7101101962041831E-2</v>
      </c>
      <c r="K13" s="1">
        <f ca="1">$B13*('Updated Population'!K$4/'Updated Population'!$B$4)*('Total Trip Tables Sup #1'!K178/'Total Trip Tables Sup #1'!$B178)</f>
        <v>6.7060320708403634E-2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$B14*('Updated Population'!C$4/'Updated Population'!$B$4)*('Total Trip Tables Sup #1'!C179/'Total Trip Tables Sup #1'!$B179)</f>
        <v>0.12583574824767516</v>
      </c>
      <c r="D14" s="4">
        <f ca="1">$B14*('Updated Population'!D$4/'Updated Population'!$B$4)*('Total Trip Tables Sup #1'!D179/'Total Trip Tables Sup #1'!$B179)</f>
        <v>0.13170167050469758</v>
      </c>
      <c r="E14" s="4">
        <f ca="1">$B14*('Updated Population'!E$4/'Updated Population'!$B$4)*('Total Trip Tables Sup #1'!E179/'Total Trip Tables Sup #1'!$B179)</f>
        <v>0.13573350062828662</v>
      </c>
      <c r="F14" s="4">
        <f ca="1">$B14*('Updated Population'!F$4/'Updated Population'!$B$4)*('Total Trip Tables Sup #1'!F179/'Total Trip Tables Sup #1'!$B179)</f>
        <v>0.13835184267047776</v>
      </c>
      <c r="G14" s="4">
        <f ca="1">$B14*('Updated Population'!G$4/'Updated Population'!$B$4)*('Total Trip Tables Sup #1'!G179/'Total Trip Tables Sup #1'!$B179)</f>
        <v>0.13967712214787112</v>
      </c>
      <c r="H14" s="4">
        <f ca="1">$B14*('Updated Population'!H$4/'Updated Population'!$B$4)*('Total Trip Tables Sup #1'!H179/'Total Trip Tables Sup #1'!$B179)</f>
        <v>0.13890308787212902</v>
      </c>
      <c r="I14" s="1">
        <f ca="1">$B14*('Updated Population'!I$4/'Updated Population'!$B$4)*('Total Trip Tables Sup #1'!I179/'Total Trip Tables Sup #1'!$B179)</f>
        <v>0.1395618907043058</v>
      </c>
      <c r="J14" s="1">
        <f ca="1">$B14*('Updated Population'!J$4/'Updated Population'!$B$4)*('Total Trip Tables Sup #1'!J179/'Total Trip Tables Sup #1'!$B179)</f>
        <v>0.13977746159507026</v>
      </c>
      <c r="K14" s="1">
        <f ca="1">$B14*('Updated Population'!K$4/'Updated Population'!$B$4)*('Total Trip Tables Sup #1'!K179/'Total Trip Tables Sup #1'!$B179)</f>
        <v>0.13969251067850502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$B16*('Updated Population'!C$15/'Updated Population'!$B$15)*('Total Trip Tables Sup #1'!C170/'Total Trip Tables Sup #1'!$B170)</f>
        <v>363.99755706439942</v>
      </c>
      <c r="D16" s="4">
        <f ca="1">$B16*('Updated Population'!D$15/'Updated Population'!$B$15)*('Total Trip Tables Sup #1'!D170/'Total Trip Tables Sup #1'!$B170)</f>
        <v>391.43579418569817</v>
      </c>
      <c r="E16" s="4">
        <f ca="1">$B16*('Updated Population'!E$15/'Updated Population'!$B$15)*('Total Trip Tables Sup #1'!E170/'Total Trip Tables Sup #1'!$B170)</f>
        <v>409.68343671910054</v>
      </c>
      <c r="F16" s="4">
        <f ca="1">$B16*('Updated Population'!F$15/'Updated Population'!$B$15)*('Total Trip Tables Sup #1'!F170/'Total Trip Tables Sup #1'!$B170)</f>
        <v>423.54408973741084</v>
      </c>
      <c r="G16" s="4">
        <f ca="1">$B16*('Updated Population'!G$15/'Updated Population'!$B$15)*('Total Trip Tables Sup #1'!G170/'Total Trip Tables Sup #1'!$B170)</f>
        <v>434.46113854695517</v>
      </c>
      <c r="H16" s="4">
        <f ca="1">$B16*('Updated Population'!H$15/'Updated Population'!$B$15)*('Total Trip Tables Sup #1'!H170/'Total Trip Tables Sup #1'!$B170)</f>
        <v>443.25008759855285</v>
      </c>
      <c r="I16" s="1">
        <f ca="1">$B16*('Updated Population'!I$15/'Updated Population'!$B$15)*('Total Trip Tables Sup #1'!I170/'Total Trip Tables Sup #1'!$B170)</f>
        <v>462.2989270297424</v>
      </c>
      <c r="J16" s="1">
        <f ca="1">$B16*('Updated Population'!J$15/'Updated Population'!$B$15)*('Total Trip Tables Sup #1'!J170/'Total Trip Tables Sup #1'!$B170)</f>
        <v>480.6315787861493</v>
      </c>
      <c r="K16" s="1">
        <f ca="1">$B16*('Updated Population'!K$15/'Updated Population'!$B$15)*('Total Trip Tables Sup #1'!K170/'Total Trip Tables Sup #1'!$B170)</f>
        <v>498.61735059322586</v>
      </c>
    </row>
    <row r="17" spans="1:11" x14ac:dyDescent="0.25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$B17*('Updated Population'!C$15/'Updated Population'!$B$15)*('Total Trip Tables Sup #1'!C171/'Total Trip Tables Sup #1'!$B171)</f>
        <v>7.8198824061860499</v>
      </c>
      <c r="D17" s="4">
        <f ca="1">$B17*('Updated Population'!D$15/'Updated Population'!$B$15)*('Total Trip Tables Sup #1'!D171/'Total Trip Tables Sup #1'!$B171)</f>
        <v>8.2753488918987408</v>
      </c>
      <c r="E17" s="4">
        <f ca="1">$B17*('Updated Population'!E$15/'Updated Population'!$B$15)*('Total Trip Tables Sup #1'!E171/'Total Trip Tables Sup #1'!$B171)</f>
        <v>8.5196913583696556</v>
      </c>
      <c r="F17" s="4">
        <f ca="1">$B17*('Updated Population'!F$15/'Updated Population'!$B$15)*('Total Trip Tables Sup #1'!F171/'Total Trip Tables Sup #1'!$B171)</f>
        <v>8.7397697412342179</v>
      </c>
      <c r="G17" s="4">
        <f ca="1">$B17*('Updated Population'!G$15/'Updated Population'!$B$15)*('Total Trip Tables Sup #1'!G171/'Total Trip Tables Sup #1'!$B171)</f>
        <v>8.9373154617141441</v>
      </c>
      <c r="H17" s="4">
        <f ca="1">$B17*('Updated Population'!H$15/'Updated Population'!$B$15)*('Total Trip Tables Sup #1'!H171/'Total Trip Tables Sup #1'!$B171)</f>
        <v>9.1208248711271782</v>
      </c>
      <c r="I17" s="1">
        <f ca="1">$B17*('Updated Population'!I$15/'Updated Population'!$B$15)*('Total Trip Tables Sup #1'!I171/'Total Trip Tables Sup #1'!$B171)</f>
        <v>9.5127957546331441</v>
      </c>
      <c r="J17" s="1">
        <f ca="1">$B17*('Updated Population'!J$15/'Updated Population'!$B$15)*('Total Trip Tables Sup #1'!J171/'Total Trip Tables Sup #1'!$B171)</f>
        <v>9.8900295347762146</v>
      </c>
      <c r="K17" s="1">
        <f ca="1">$B17*('Updated Population'!K$15/'Updated Population'!$B$15)*('Total Trip Tables Sup #1'!K171/'Total Trip Tables Sup #1'!$B171)</f>
        <v>10.260125513128228</v>
      </c>
    </row>
    <row r="18" spans="1:11" x14ac:dyDescent="0.25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$B18*('Updated Population'!C$15/'Updated Population'!$B$15)*('Total Trip Tables Sup #1'!C172/'Total Trip Tables Sup #1'!$B172)</f>
        <v>1128.0040866650156</v>
      </c>
      <c r="D18" s="4">
        <f ca="1">$B18*('Updated Population'!D$15/'Updated Population'!$B$15)*('Total Trip Tables Sup #1'!D172/'Total Trip Tables Sup #1'!$B172)</f>
        <v>1231.7805874396674</v>
      </c>
      <c r="E18" s="4">
        <f ca="1">$B18*('Updated Population'!E$15/'Updated Population'!$B$15)*('Total Trip Tables Sup #1'!E172/'Total Trip Tables Sup #1'!$B172)</f>
        <v>1322.2235906867541</v>
      </c>
      <c r="F18" s="4">
        <f ca="1">$B18*('Updated Population'!F$15/'Updated Population'!$B$15)*('Total Trip Tables Sup #1'!F172/'Total Trip Tables Sup #1'!$B172)</f>
        <v>1406.7692167099992</v>
      </c>
      <c r="G18" s="4">
        <f ca="1">$B18*('Updated Population'!G$15/'Updated Population'!$B$15)*('Total Trip Tables Sup #1'!G172/'Total Trip Tables Sup #1'!$B172)</f>
        <v>1475.9310638278223</v>
      </c>
      <c r="H18" s="4">
        <f ca="1">$B18*('Updated Population'!H$15/'Updated Population'!$B$15)*('Total Trip Tables Sup #1'!H172/'Total Trip Tables Sup #1'!$B172)</f>
        <v>1538.7508853464283</v>
      </c>
      <c r="I18" s="1">
        <f ca="1">$B18*('Updated Population'!I$15/'Updated Population'!$B$15)*('Total Trip Tables Sup #1'!I172/'Total Trip Tables Sup #1'!$B172)</f>
        <v>1604.8792840984031</v>
      </c>
      <c r="J18" s="1">
        <f ca="1">$B18*('Updated Population'!J$15/'Updated Population'!$B$15)*('Total Trip Tables Sup #1'!J172/'Total Trip Tables Sup #1'!$B172)</f>
        <v>1668.5214240780072</v>
      </c>
      <c r="K18" s="1">
        <f ca="1">$B18*('Updated Population'!K$15/'Updated Population'!$B$15)*('Total Trip Tables Sup #1'!K172/'Total Trip Tables Sup #1'!$B172)</f>
        <v>1730.9593638914416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$B19*('Updated Population'!C$15/'Updated Population'!$B$15)*('Total Trip Tables Sup #1'!C173/'Total Trip Tables Sup #1'!$B173)</f>
        <v>534.74428028060925</v>
      </c>
      <c r="D19" s="4">
        <f ca="1">$B19*('Updated Population'!D$15/'Updated Population'!$B$15)*('Total Trip Tables Sup #1'!D173/'Total Trip Tables Sup #1'!$B173)</f>
        <v>567.43636393488794</v>
      </c>
      <c r="E19" s="4">
        <f ca="1">$B19*('Updated Population'!E$15/'Updated Population'!$B$15)*('Total Trip Tables Sup #1'!E173/'Total Trip Tables Sup #1'!$B173)</f>
        <v>591.52214726518548</v>
      </c>
      <c r="F19" s="4">
        <f ca="1">$B19*('Updated Population'!F$15/'Updated Population'!$B$15)*('Total Trip Tables Sup #1'!F173/'Total Trip Tables Sup #1'!$B173)</f>
        <v>612.96253273231548</v>
      </c>
      <c r="G19" s="4">
        <f ca="1">$B19*('Updated Population'!G$15/'Updated Population'!$B$15)*('Total Trip Tables Sup #1'!G173/'Total Trip Tables Sup #1'!$B173)</f>
        <v>629.48037735759101</v>
      </c>
      <c r="H19" s="4">
        <f ca="1">$B19*('Updated Population'!H$15/'Updated Population'!$B$15)*('Total Trip Tables Sup #1'!H173/'Total Trip Tables Sup #1'!$B173)</f>
        <v>642.30624371867646</v>
      </c>
      <c r="I19" s="1">
        <f ca="1">$B19*('Updated Population'!I$15/'Updated Population'!$B$15)*('Total Trip Tables Sup #1'!I173/'Total Trip Tables Sup #1'!$B173)</f>
        <v>669.90959641858353</v>
      </c>
      <c r="J19" s="1">
        <f ca="1">$B19*('Updated Population'!J$15/'Updated Population'!$B$15)*('Total Trip Tables Sup #1'!J173/'Total Trip Tables Sup #1'!$B173)</f>
        <v>696.47513360968946</v>
      </c>
      <c r="K19" s="1">
        <f ca="1">$B19*('Updated Population'!K$15/'Updated Population'!$B$15)*('Total Trip Tables Sup #1'!K173/'Total Trip Tables Sup #1'!$B173)</f>
        <v>722.53801290289675</v>
      </c>
    </row>
    <row r="20" spans="1:11" x14ac:dyDescent="0.25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$B20*('Updated Population'!C$15/'Updated Population'!$B$15)*('Total Trip Tables Sup #1'!C174/'Total Trip Tables Sup #1'!$B174)</f>
        <v>7.2477510731689749</v>
      </c>
      <c r="D20" s="4">
        <f ca="1">$B20*('Updated Population'!D$15/'Updated Population'!$B$15)*('Total Trip Tables Sup #1'!D174/'Total Trip Tables Sup #1'!$B174)</f>
        <v>8.2323202180685922</v>
      </c>
      <c r="E20" s="4">
        <f ca="1">$B20*('Updated Population'!E$15/'Updated Population'!$B$15)*('Total Trip Tables Sup #1'!E174/'Total Trip Tables Sup #1'!$B174)</f>
        <v>9.0147718829075867</v>
      </c>
      <c r="F20" s="4">
        <f ca="1">$B20*('Updated Population'!F$15/'Updated Population'!$B$15)*('Total Trip Tables Sup #1'!F174/'Total Trip Tables Sup #1'!$B174)</f>
        <v>9.7138255469442409</v>
      </c>
      <c r="G20" s="4">
        <f ca="1">$B20*('Updated Population'!G$15/'Updated Population'!$B$15)*('Total Trip Tables Sup #1'!G174/'Total Trip Tables Sup #1'!$B174)</f>
        <v>10.271508256770622</v>
      </c>
      <c r="H20" s="4">
        <f ca="1">$B20*('Updated Population'!H$15/'Updated Population'!$B$15)*('Total Trip Tables Sup #1'!H174/'Total Trip Tables Sup #1'!$B174)</f>
        <v>10.807039337670712</v>
      </c>
      <c r="I20" s="1">
        <f ca="1">$B20*('Updated Population'!I$15/'Updated Population'!$B$15)*('Total Trip Tables Sup #1'!I174/'Total Trip Tables Sup #1'!$B174)</f>
        <v>11.271475922861612</v>
      </c>
      <c r="J20" s="1">
        <f ca="1">$B20*('Updated Population'!J$15/'Updated Population'!$B$15)*('Total Trip Tables Sup #1'!J174/'Total Trip Tables Sup #1'!$B174)</f>
        <v>11.718450879524777</v>
      </c>
      <c r="K20" s="1">
        <f ca="1">$B20*('Updated Population'!K$15/'Updated Population'!$B$15)*('Total Trip Tables Sup #1'!K174/'Total Trip Tables Sup #1'!$B174)</f>
        <v>12.156968431750254</v>
      </c>
    </row>
    <row r="21" spans="1:11" x14ac:dyDescent="0.25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$B21*('Updated Population'!C$15/'Updated Population'!$B$15)*('Total Trip Tables Sup #1'!C175/'Total Trip Tables Sup #1'!$B175)</f>
        <v>4.5965794939046321</v>
      </c>
      <c r="D21" s="4">
        <f ca="1">$B21*('Updated Population'!D$15/'Updated Population'!$B$15)*('Total Trip Tables Sup #1'!D175/'Total Trip Tables Sup #1'!$B175)</f>
        <v>4.8972688367486992</v>
      </c>
      <c r="E21" s="4">
        <f ca="1">$B21*('Updated Population'!E$15/'Updated Population'!$B$15)*('Total Trip Tables Sup #1'!E175/'Total Trip Tables Sup #1'!$B175)</f>
        <v>5.1270093111418191</v>
      </c>
      <c r="F21" s="4">
        <f ca="1">$B21*('Updated Population'!F$15/'Updated Population'!$B$15)*('Total Trip Tables Sup #1'!F175/'Total Trip Tables Sup #1'!$B175)</f>
        <v>5.3184686618912655</v>
      </c>
      <c r="G21" s="4">
        <f ca="1">$B21*('Updated Population'!G$15/'Updated Population'!$B$15)*('Total Trip Tables Sup #1'!G175/'Total Trip Tables Sup #1'!$B175)</f>
        <v>5.4050096035845279</v>
      </c>
      <c r="H21" s="4">
        <f ca="1">$B21*('Updated Population'!H$15/'Updated Population'!$B$15)*('Total Trip Tables Sup #1'!H175/'Total Trip Tables Sup #1'!$B175)</f>
        <v>5.4496991303022044</v>
      </c>
      <c r="I21" s="1">
        <f ca="1">$B21*('Updated Population'!I$15/'Updated Population'!$B$15)*('Total Trip Tables Sup #1'!I175/'Total Trip Tables Sup #1'!$B175)</f>
        <v>5.683902002644194</v>
      </c>
      <c r="J21" s="1">
        <f ca="1">$B21*('Updated Population'!J$15/'Updated Population'!$B$15)*('Total Trip Tables Sup #1'!J175/'Total Trip Tables Sup #1'!$B175)</f>
        <v>5.9092994455963304</v>
      </c>
      <c r="K21" s="1">
        <f ca="1">$B21*('Updated Population'!K$15/'Updated Population'!$B$15)*('Total Trip Tables Sup #1'!K175/'Total Trip Tables Sup #1'!$B175)</f>
        <v>6.1304320470716673</v>
      </c>
    </row>
    <row r="22" spans="1:11" x14ac:dyDescent="0.25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11.772808704999999</v>
      </c>
      <c r="D22" s="4">
        <f ca="1">OFFSET(Auckland_Reference,44,5)</f>
        <v>12.518159804</v>
      </c>
      <c r="E22" s="4">
        <f ca="1">OFFSET(Auckland_Reference,45,5)</f>
        <v>13.117502877</v>
      </c>
      <c r="F22" s="4">
        <f ca="1">OFFSET(Auckland_Reference,46,5)</f>
        <v>13.542770880999999</v>
      </c>
      <c r="G22" s="4">
        <f ca="1">OFFSET(Auckland_Reference,47,5)</f>
        <v>13.739815186</v>
      </c>
      <c r="H22" s="4">
        <f ca="1">OFFSET(Auckland_Reference,48,5)</f>
        <v>13.822090773999999</v>
      </c>
      <c r="I22" s="1">
        <f ca="1">OFFSET(Auckland_Reference,48,5)*('Updated Population'!I15/'Updated Population'!H15)</f>
        <v>14.416100330058372</v>
      </c>
      <c r="J22" s="1">
        <f ca="1">OFFSET(Auckland_Reference,48,5)*('Updated Population'!J15/'Updated Population'!H15)</f>
        <v>14.987776645066088</v>
      </c>
      <c r="K22" s="1">
        <f ca="1">OFFSET(Auckland_Reference,48,5)*('Updated Population'!K15/'Updated Population'!H15)</f>
        <v>15.548636027869005</v>
      </c>
    </row>
    <row r="23" spans="1:11" x14ac:dyDescent="0.25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58.696895283000003</v>
      </c>
      <c r="D23" s="4">
        <f ca="1">OFFSET(Auckland_Reference,51,5)</f>
        <v>60.869013830999997</v>
      </c>
      <c r="E23" s="4">
        <f ca="1">OFFSET(Auckland_Reference,52,5)</f>
        <v>61.567793471999998</v>
      </c>
      <c r="F23" s="4">
        <f ca="1">OFFSET(Auckland_Reference,53,5)</f>
        <v>61.040067092999998</v>
      </c>
      <c r="G23" s="4">
        <f ca="1">OFFSET(Auckland_Reference,54,5)</f>
        <v>60.164320037000003</v>
      </c>
      <c r="H23" s="4">
        <f ca="1">OFFSET(Auckland_Reference,55,5)</f>
        <v>58.737581425000002</v>
      </c>
      <c r="I23" s="1">
        <f ca="1">OFFSET(Auckland_Reference,55,5)*('Updated Population'!I15/'Updated Population'!H15)</f>
        <v>61.261851105809633</v>
      </c>
      <c r="J23" s="1">
        <f ca="1">OFFSET(Auckland_Reference,55,5)*('Updated Population'!J15/'Updated Population'!H15)</f>
        <v>63.691214698521172</v>
      </c>
      <c r="K23" s="1">
        <f ca="1">OFFSET(Auckland_Reference,55,5)*('Updated Population'!K15/'Updated Population'!H15)</f>
        <v>66.074611263050315</v>
      </c>
    </row>
    <row r="24" spans="1:11" x14ac:dyDescent="0.25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$B24*('Updated Population'!C$15/'Updated Population'!$B$15)*('Total Trip Tables Sup #1'!C178/'Total Trip Tables Sup #1'!$B178)</f>
        <v>5.2143092310629688</v>
      </c>
      <c r="D24" s="4">
        <f ca="1">$B24*('Updated Population'!D$15/'Updated Population'!$B$15)*('Total Trip Tables Sup #1'!D178/'Total Trip Tables Sup #1'!$B178)</f>
        <v>5.9642281363017684</v>
      </c>
      <c r="E24" s="4">
        <f ca="1">$B24*('Updated Population'!E$15/'Updated Population'!$B$15)*('Total Trip Tables Sup #1'!E178/'Total Trip Tables Sup #1'!$B178)</f>
        <v>6.4881897311847849</v>
      </c>
      <c r="F24" s="4">
        <f ca="1">$B24*('Updated Population'!F$15/'Updated Population'!$B$15)*('Total Trip Tables Sup #1'!F178/'Total Trip Tables Sup #1'!$B178)</f>
        <v>6.9168328531568992</v>
      </c>
      <c r="G24" s="4">
        <f ca="1">$B24*('Updated Population'!G$15/'Updated Population'!$B$15)*('Total Trip Tables Sup #1'!G178/'Total Trip Tables Sup #1'!$B178)</f>
        <v>7.4790454023355535</v>
      </c>
      <c r="H24" s="4">
        <f ca="1">$B24*('Updated Population'!H$15/'Updated Population'!$B$15)*('Total Trip Tables Sup #1'!H178/'Total Trip Tables Sup #1'!$B178)</f>
        <v>7.9878495342956155</v>
      </c>
      <c r="I24" s="1">
        <f ca="1">$B24*('Updated Population'!I$15/'Updated Population'!$B$15)*('Total Trip Tables Sup #1'!I178/'Total Trip Tables Sup #1'!$B178)</f>
        <v>8.331130376051723</v>
      </c>
      <c r="J24" s="1">
        <f ca="1">$B24*('Updated Population'!J$15/'Updated Population'!$B$15)*('Total Trip Tables Sup #1'!J178/'Total Trip Tables Sup #1'!$B178)</f>
        <v>8.661504735565547</v>
      </c>
      <c r="K24" s="1">
        <f ca="1">$B24*('Updated Population'!K$15/'Updated Population'!$B$15)*('Total Trip Tables Sup #1'!K178/'Total Trip Tables Sup #1'!$B178)</f>
        <v>8.9856279404395014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$B25*('Updated Population'!C$15/'Updated Population'!$B$15)*('Total Trip Tables Sup #1'!C179/'Total Trip Tables Sup #1'!$B179)</f>
        <v>2.5052860991378911</v>
      </c>
      <c r="D25" s="4">
        <f ca="1">$B25*('Updated Population'!D$15/'Updated Population'!$B$15)*('Total Trip Tables Sup #1'!D179/'Total Trip Tables Sup #1'!$B179)</f>
        <v>2.7552915658557291</v>
      </c>
      <c r="E25" s="4">
        <f ca="1">$B25*('Updated Population'!E$15/'Updated Population'!$B$15)*('Total Trip Tables Sup #1'!E179/'Total Trip Tables Sup #1'!$B179)</f>
        <v>2.9539935049117947</v>
      </c>
      <c r="F25" s="4">
        <f ca="1">$B25*('Updated Population'!F$15/'Updated Population'!$B$15)*('Total Trip Tables Sup #1'!F179/'Total Trip Tables Sup #1'!$B179)</f>
        <v>3.1306708006708712</v>
      </c>
      <c r="G25" s="4">
        <f ca="1">$B25*('Updated Population'!G$15/'Updated Population'!$B$15)*('Total Trip Tables Sup #1'!G179/'Total Trip Tables Sup #1'!$B179)</f>
        <v>3.2819966498984443</v>
      </c>
      <c r="H25" s="4">
        <f ca="1">$B25*('Updated Population'!H$15/'Updated Population'!$B$15)*('Total Trip Tables Sup #1'!H179/'Total Trip Tables Sup #1'!$B179)</f>
        <v>3.3880036281787804</v>
      </c>
      <c r="I25" s="1">
        <f ca="1">$B25*('Updated Population'!I$15/'Updated Population'!$B$15)*('Total Trip Tables Sup #1'!I179/'Total Trip Tables Sup #1'!$B179)</f>
        <v>3.5336043599352425</v>
      </c>
      <c r="J25" s="1">
        <f ca="1">$B25*('Updated Population'!J$15/'Updated Population'!$B$15)*('Total Trip Tables Sup #1'!J179/'Total Trip Tables Sup #1'!$B179)</f>
        <v>3.6737308763254619</v>
      </c>
      <c r="K25" s="1">
        <f ca="1">$B25*('Updated Population'!K$15/'Updated Population'!$B$15)*('Total Trip Tables Sup #1'!K179/'Total Trip Tables Sup #1'!$B179)</f>
        <v>3.8112059989320031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$B27*('Updated Population'!C$26/'Updated Population'!$B$26)*('Total Trip Tables Sup #1'!C170/'Total Trip Tables Sup #1'!$B170)</f>
        <v>74.400126835104373</v>
      </c>
      <c r="D27" s="4">
        <f ca="1">$B27*('Updated Population'!D$26/'Updated Population'!$B$26)*('Total Trip Tables Sup #1'!D170/'Total Trip Tables Sup #1'!$B170)</f>
        <v>77.266985850849224</v>
      </c>
      <c r="E27" s="4">
        <f ca="1">$B27*('Updated Population'!E$26/'Updated Population'!$B$26)*('Total Trip Tables Sup #1'!E170/'Total Trip Tables Sup #1'!$B170)</f>
        <v>78.784182866548932</v>
      </c>
      <c r="F27" s="4">
        <f ca="1">$B27*('Updated Population'!F$26/'Updated Population'!$B$26)*('Total Trip Tables Sup #1'!F170/'Total Trip Tables Sup #1'!$B170)</f>
        <v>79.492776797555763</v>
      </c>
      <c r="G27" s="4">
        <f ca="1">$B27*('Updated Population'!G$26/'Updated Population'!$B$26)*('Total Trip Tables Sup #1'!G170/'Total Trip Tables Sup #1'!$B170)</f>
        <v>79.733800498087376</v>
      </c>
      <c r="H27" s="4">
        <f ca="1">$B27*('Updated Population'!H$26/'Updated Population'!$B$26)*('Total Trip Tables Sup #1'!H170/'Total Trip Tables Sup #1'!$B170)</f>
        <v>79.654645798017071</v>
      </c>
      <c r="I27" s="1">
        <f ca="1">$B27*('Updated Population'!I$26/'Updated Population'!$B$26)*('Total Trip Tables Sup #1'!I170/'Total Trip Tables Sup #1'!$B170)</f>
        <v>81.349692871565608</v>
      </c>
      <c r="J27" s="1">
        <f ca="1">$B27*('Updated Population'!J$26/'Updated Population'!$B$26)*('Total Trip Tables Sup #1'!J170/'Total Trip Tables Sup #1'!$B170)</f>
        <v>82.816349931308892</v>
      </c>
      <c r="K27" s="1">
        <f ca="1">$B27*('Updated Population'!K$26/'Updated Population'!$B$26)*('Total Trip Tables Sup #1'!K170/'Total Trip Tables Sup #1'!$B170)</f>
        <v>84.128262961515176</v>
      </c>
    </row>
    <row r="28" spans="1:11" x14ac:dyDescent="0.25">
      <c r="A28" t="str">
        <f ca="1">OFFSET(Waikato_Reference,7,2)</f>
        <v>Cyclist</v>
      </c>
      <c r="B28" s="4">
        <f ca="1">OFFSET(Waikato_Reference,7,5)</f>
        <v>5.8956498267999997</v>
      </c>
      <c r="C28" s="4">
        <f ca="1">$B28*('Updated Population'!C$26/'Updated Population'!$B$26)*('Total Trip Tables Sup #1'!C171/'Total Trip Tables Sup #1'!$B171)</f>
        <v>6.320061561061781</v>
      </c>
      <c r="D28" s="4">
        <f ca="1">$B28*('Updated Population'!D$26/'Updated Population'!$B$26)*('Total Trip Tables Sup #1'!D171/'Total Trip Tables Sup #1'!$B171)</f>
        <v>6.4590050881362755</v>
      </c>
      <c r="E28" s="4">
        <f ca="1">$B28*('Updated Population'!E$26/'Updated Population'!$B$26)*('Total Trip Tables Sup #1'!E171/'Total Trip Tables Sup #1'!$B171)</f>
        <v>6.4782897752733364</v>
      </c>
      <c r="F28" s="4">
        <f ca="1">$B28*('Updated Population'!F$26/'Updated Population'!$B$26)*('Total Trip Tables Sup #1'!F171/'Total Trip Tables Sup #1'!$B171)</f>
        <v>6.4859696492410013</v>
      </c>
      <c r="G28" s="4">
        <f ca="1">$B28*('Updated Population'!G$26/'Updated Population'!$B$26)*('Total Trip Tables Sup #1'!G171/'Total Trip Tables Sup #1'!$B171)</f>
        <v>6.4855154171990153</v>
      </c>
      <c r="H28" s="4">
        <f ca="1">$B28*('Updated Population'!H$26/'Updated Population'!$B$26)*('Total Trip Tables Sup #1'!H171/'Total Trip Tables Sup #1'!$B171)</f>
        <v>6.4810038123429168</v>
      </c>
      <c r="I28" s="1">
        <f ca="1">$B28*('Updated Population'!I$26/'Updated Population'!$B$26)*('Total Trip Tables Sup #1'!I171/'Total Trip Tables Sup #1'!$B171)</f>
        <v>6.6189192651794695</v>
      </c>
      <c r="J28" s="1">
        <f ca="1">$B28*('Updated Population'!J$26/'Updated Population'!$B$26)*('Total Trip Tables Sup #1'!J171/'Total Trip Tables Sup #1'!$B171)</f>
        <v>6.7382520410692655</v>
      </c>
      <c r="K28" s="1">
        <f ca="1">$B28*('Updated Population'!K$26/'Updated Population'!$B$26)*('Total Trip Tables Sup #1'!K171/'Total Trip Tables Sup #1'!$B171)</f>
        <v>6.8449942563543527</v>
      </c>
    </row>
    <row r="29" spans="1:11" x14ac:dyDescent="0.25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$B29*('Updated Population'!C$26/'Updated Population'!$B$26)*('Total Trip Tables Sup #1'!C172/'Total Trip Tables Sup #1'!$B172)</f>
        <v>339.34492678839371</v>
      </c>
      <c r="D29" s="4">
        <f ca="1">$B29*('Updated Population'!D$26/'Updated Population'!$B$26)*('Total Trip Tables Sup #1'!D172/'Total Trip Tables Sup #1'!$B172)</f>
        <v>357.86750933504783</v>
      </c>
      <c r="E29" s="4">
        <f ca="1">$B29*('Updated Population'!E$26/'Updated Population'!$B$26)*('Total Trip Tables Sup #1'!E172/'Total Trip Tables Sup #1'!$B172)</f>
        <v>374.24069517830276</v>
      </c>
      <c r="F29" s="4">
        <f ca="1">$B29*('Updated Population'!F$26/'Updated Population'!$B$26)*('Total Trip Tables Sup #1'!F172/'Total Trip Tables Sup #1'!$B172)</f>
        <v>388.60410072765887</v>
      </c>
      <c r="G29" s="4">
        <f ca="1">$B29*('Updated Population'!G$26/'Updated Population'!$B$26)*('Total Trip Tables Sup #1'!G172/'Total Trip Tables Sup #1'!$B172)</f>
        <v>398.66956604605701</v>
      </c>
      <c r="H29" s="4">
        <f ca="1">$B29*('Updated Population'!H$26/'Updated Population'!$B$26)*('Total Trip Tables Sup #1'!H172/'Total Trip Tables Sup #1'!$B172)</f>
        <v>406.99219180534016</v>
      </c>
      <c r="I29" s="1">
        <f ca="1">$B29*('Updated Population'!I$26/'Updated Population'!$B$26)*('Total Trip Tables Sup #1'!I172/'Total Trip Tables Sup #1'!$B172)</f>
        <v>415.6529662870455</v>
      </c>
      <c r="J29" s="1">
        <f ca="1">$B29*('Updated Population'!J$26/'Updated Population'!$B$26)*('Total Trip Tables Sup #1'!J172/'Total Trip Tables Sup #1'!$B172)</f>
        <v>423.14679122834673</v>
      </c>
      <c r="K29" s="1">
        <f ca="1">$B29*('Updated Population'!K$26/'Updated Population'!$B$26)*('Total Trip Tables Sup #1'!K172/'Total Trip Tables Sup #1'!$B172)</f>
        <v>429.84995780792781</v>
      </c>
    </row>
    <row r="30" spans="1:11" x14ac:dyDescent="0.25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$B30*('Updated Population'!C$26/'Updated Population'!$B$26)*('Total Trip Tables Sup #1'!C173/'Total Trip Tables Sup #1'!$B173)</f>
        <v>147.27520239629675</v>
      </c>
      <c r="D30" s="4">
        <f ca="1">$B30*('Updated Population'!D$26/'Updated Population'!$B$26)*('Total Trip Tables Sup #1'!D173/'Total Trip Tables Sup #1'!$B173)</f>
        <v>150.92419625813616</v>
      </c>
      <c r="E30" s="4">
        <f ca="1">$B30*('Updated Population'!E$26/'Updated Population'!$B$26)*('Total Trip Tables Sup #1'!E173/'Total Trip Tables Sup #1'!$B173)</f>
        <v>153.27450137548348</v>
      </c>
      <c r="F30" s="4">
        <f ca="1">$B30*('Updated Population'!F$26/'Updated Population'!$B$26)*('Total Trip Tables Sup #1'!F173/'Total Trip Tables Sup #1'!$B173)</f>
        <v>155.01411470136415</v>
      </c>
      <c r="G30" s="4">
        <f ca="1">$B30*('Updated Population'!G$26/'Updated Population'!$B$26)*('Total Trip Tables Sup #1'!G173/'Total Trip Tables Sup #1'!$B173)</f>
        <v>155.66178238105491</v>
      </c>
      <c r="H30" s="4">
        <f ca="1">$B30*('Updated Population'!H$26/'Updated Population'!$B$26)*('Total Trip Tables Sup #1'!H173/'Total Trip Tables Sup #1'!$B173)</f>
        <v>155.52947201518498</v>
      </c>
      <c r="I30" s="1">
        <f ca="1">$B30*('Updated Population'!I$26/'Updated Population'!$B$26)*('Total Trip Tables Sup #1'!I173/'Total Trip Tables Sup #1'!$B173)</f>
        <v>158.83913178140102</v>
      </c>
      <c r="J30" s="1">
        <f ca="1">$B30*('Updated Population'!J$26/'Updated Population'!$B$26)*('Total Trip Tables Sup #1'!J173/'Total Trip Tables Sup #1'!$B173)</f>
        <v>161.70284921864427</v>
      </c>
      <c r="K30" s="1">
        <f ca="1">$B30*('Updated Population'!K$26/'Updated Population'!$B$26)*('Total Trip Tables Sup #1'!K173/'Total Trip Tables Sup #1'!$B173)</f>
        <v>164.26442160244744</v>
      </c>
    </row>
    <row r="31" spans="1:11" x14ac:dyDescent="0.25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$B31*('Updated Population'!C$26/'Updated Population'!$B$26)*('Total Trip Tables Sup #1'!C174/'Total Trip Tables Sup #1'!$B174)</f>
        <v>0.80391666271356699</v>
      </c>
      <c r="D31" s="4">
        <f ca="1">$B31*('Updated Population'!D$26/'Updated Population'!$B$26)*('Total Trip Tables Sup #1'!D174/'Total Trip Tables Sup #1'!$B174)</f>
        <v>0.88183685199958672</v>
      </c>
      <c r="E31" s="4">
        <f ca="1">$B31*('Updated Population'!E$26/'Updated Population'!$B$26)*('Total Trip Tables Sup #1'!E174/'Total Trip Tables Sup #1'!$B174)</f>
        <v>0.94075801016437688</v>
      </c>
      <c r="F31" s="4">
        <f ca="1">$B31*('Updated Population'!F$26/'Updated Population'!$B$26)*('Total Trip Tables Sup #1'!F174/'Total Trip Tables Sup #1'!$B174)</f>
        <v>0.98935441461536133</v>
      </c>
      <c r="G31" s="4">
        <f ca="1">$B31*('Updated Population'!G$26/'Updated Population'!$B$26)*('Total Trip Tables Sup #1'!G174/'Total Trip Tables Sup #1'!$B174)</f>
        <v>1.0229591780712635</v>
      </c>
      <c r="H31" s="4">
        <f ca="1">$B31*('Updated Population'!H$26/'Updated Population'!$B$26)*('Total Trip Tables Sup #1'!H174/'Total Trip Tables Sup #1'!$B174)</f>
        <v>1.0539052487405818</v>
      </c>
      <c r="I31" s="1">
        <f ca="1">$B31*('Updated Population'!I$26/'Updated Population'!$B$26)*('Total Trip Tables Sup #1'!I174/'Total Trip Tables Sup #1'!$B174)</f>
        <v>1.0763323023013376</v>
      </c>
      <c r="J31" s="1">
        <f ca="1">$B31*('Updated Population'!J$26/'Updated Population'!$B$26)*('Total Trip Tables Sup #1'!J174/'Total Trip Tables Sup #1'!$B174)</f>
        <v>1.0957375429860481</v>
      </c>
      <c r="K31" s="1">
        <f ca="1">$B31*('Updated Population'!K$26/'Updated Population'!$B$26)*('Total Trip Tables Sup #1'!K174/'Total Trip Tables Sup #1'!$B174)</f>
        <v>1.113095375847819</v>
      </c>
    </row>
    <row r="32" spans="1:11" x14ac:dyDescent="0.25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$B32*('Updated Population'!C$26/'Updated Population'!$B$26)*('Total Trip Tables Sup #1'!C175/'Total Trip Tables Sup #1'!$B175)</f>
        <v>2.0158972479490451</v>
      </c>
      <c r="D32" s="4">
        <f ca="1">$B32*('Updated Population'!D$26/'Updated Population'!$B$26)*('Total Trip Tables Sup #1'!D175/'Total Trip Tables Sup #1'!$B175)</f>
        <v>2.0741768824816464</v>
      </c>
      <c r="E32" s="4">
        <f ca="1">$B32*('Updated Population'!E$26/'Updated Population'!$B$26)*('Total Trip Tables Sup #1'!E175/'Total Trip Tables Sup #1'!$B175)</f>
        <v>2.1155005609118822</v>
      </c>
      <c r="F32" s="4">
        <f ca="1">$B32*('Updated Population'!F$26/'Updated Population'!$B$26)*('Total Trip Tables Sup #1'!F175/'Total Trip Tables Sup #1'!$B175)</f>
        <v>2.1417760420685998</v>
      </c>
      <c r="G32" s="4">
        <f ca="1">$B32*('Updated Population'!G$26/'Updated Population'!$B$26)*('Total Trip Tables Sup #1'!G175/'Total Trip Tables Sup #1'!$B175)</f>
        <v>2.128366471701439</v>
      </c>
      <c r="H32" s="4">
        <f ca="1">$B32*('Updated Population'!H$26/'Updated Population'!$B$26)*('Total Trip Tables Sup #1'!H175/'Total Trip Tables Sup #1'!$B175)</f>
        <v>2.1013249473592222</v>
      </c>
      <c r="I32" s="1">
        <f ca="1">$B32*('Updated Population'!I$26/'Updated Population'!$B$26)*('Total Trip Tables Sup #1'!I175/'Total Trip Tables Sup #1'!$B175)</f>
        <v>2.1460410422826448</v>
      </c>
      <c r="J32" s="1">
        <f ca="1">$B32*('Updated Population'!J$26/'Updated Population'!$B$26)*('Total Trip Tables Sup #1'!J175/'Total Trip Tables Sup #1'!$B175)</f>
        <v>2.1847321071663433</v>
      </c>
      <c r="K32" s="1">
        <f ca="1">$B32*('Updated Population'!K$26/'Updated Population'!$B$26)*('Total Trip Tables Sup #1'!K175/'Total Trip Tables Sup #1'!$B175)</f>
        <v>2.2193409557968233</v>
      </c>
    </row>
    <row r="33" spans="1:11" x14ac:dyDescent="0.25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Trip Tables Sup #1'!C176/'Total Trip Tables Sup #1'!$B176)</f>
        <v>0</v>
      </c>
      <c r="D33" s="4">
        <f ca="1">$B33*('Updated Population'!D$26/'Updated Population'!$B$26)*('Total Trip Tables Sup #1'!D176/'Total Trip Tables Sup #1'!$B176)</f>
        <v>0</v>
      </c>
      <c r="E33" s="4">
        <f ca="1">$B33*('Updated Population'!E$26/'Updated Population'!$B$26)*('Total Trip Tables Sup #1'!E176/'Total Trip Tables Sup #1'!$B176)</f>
        <v>0</v>
      </c>
      <c r="F33" s="4">
        <f ca="1">$B33*('Updated Population'!F$26/'Updated Population'!$B$26)*('Total Trip Tables Sup #1'!F176/'Total Trip Tables Sup #1'!$B176)</f>
        <v>0</v>
      </c>
      <c r="G33" s="4">
        <f ca="1">$B33*('Updated Population'!G$26/'Updated Population'!$B$26)*('Total Trip Tables Sup #1'!G176/'Total Trip Tables Sup #1'!$B176)</f>
        <v>0</v>
      </c>
      <c r="H33" s="4">
        <f ca="1">$B33*('Updated Population'!H$26/'Updated Population'!$B$26)*('Total Trip Tables Sup #1'!H176/'Total Trip Tables Sup #1'!$B176)</f>
        <v>0</v>
      </c>
      <c r="I33" s="1">
        <f ca="1">$B33*('Updated Population'!I$26/'Updated Population'!$B$26)*('Total Trip Tables Sup #1'!I176/'Total Trip Tables Sup #1'!$B176)</f>
        <v>0</v>
      </c>
      <c r="J33" s="1">
        <f ca="1">$B33*('Updated Population'!J$26/'Updated Population'!$B$26)*('Total Trip Tables Sup #1'!J176/'Total Trip Tables Sup #1'!$B176)</f>
        <v>0</v>
      </c>
      <c r="K33" s="1">
        <f ca="1">$B33*('Updated Population'!K$26/'Updated Population'!$B$26)*('Total Trip Tables Sup #1'!K176/'Total Trip Tables Sup #1'!$B176)</f>
        <v>0</v>
      </c>
    </row>
    <row r="34" spans="1:11" x14ac:dyDescent="0.25">
      <c r="A34" t="str">
        <f ca="1">OFFSET(Waikato_Reference,49,2)</f>
        <v>Local Bus</v>
      </c>
      <c r="B34" s="4">
        <f ca="1">OFFSET(Waikato_Reference,49,5)</f>
        <v>5.7199103379</v>
      </c>
      <c r="C34" s="4">
        <f ca="1">$B34*('Updated Population'!C$26/'Updated Population'!$B$26)*('Total Trip Tables Sup #1'!C177/'Total Trip Tables Sup #1'!$B177)</f>
        <v>5.7984656152044538</v>
      </c>
      <c r="D34" s="4">
        <f ca="1">$B34*('Updated Population'!D$26/'Updated Population'!$B$26)*('Total Trip Tables Sup #1'!D177/'Total Trip Tables Sup #1'!$B177)</f>
        <v>5.7625237781991094</v>
      </c>
      <c r="E34" s="4">
        <f ca="1">$B34*('Updated Population'!E$26/'Updated Population'!$B$26)*('Total Trip Tables Sup #1'!E177/'Total Trip Tables Sup #1'!$B177)</f>
        <v>5.7700788648799755</v>
      </c>
      <c r="F34" s="4">
        <f ca="1">$B34*('Updated Population'!F$26/'Updated Population'!$B$26)*('Total Trip Tables Sup #1'!F177/'Total Trip Tables Sup #1'!$B177)</f>
        <v>5.7009665862791952</v>
      </c>
      <c r="G34" s="4">
        <f ca="1">$B34*('Updated Population'!G$26/'Updated Population'!$B$26)*('Total Trip Tables Sup #1'!G177/'Total Trip Tables Sup #1'!$B177)</f>
        <v>5.6582759856741225</v>
      </c>
      <c r="H34" s="4">
        <f ca="1">$B34*('Updated Population'!H$26/'Updated Population'!$B$26)*('Total Trip Tables Sup #1'!H177/'Total Trip Tables Sup #1'!$B177)</f>
        <v>5.5861617444256977</v>
      </c>
      <c r="I34" s="1">
        <f ca="1">$B34*('Updated Population'!I$26/'Updated Population'!$B$26)*('Total Trip Tables Sup #1'!I177/'Total Trip Tables Sup #1'!$B177)</f>
        <v>5.7050350006230559</v>
      </c>
      <c r="J34" s="1">
        <f ca="1">$B34*('Updated Population'!J$26/'Updated Population'!$B$26)*('Total Trip Tables Sup #1'!J177/'Total Trip Tables Sup #1'!$B177)</f>
        <v>5.8078913183839189</v>
      </c>
      <c r="K34" s="1">
        <f ca="1">$B34*('Updated Population'!K$26/'Updated Population'!$B$26)*('Total Trip Tables Sup #1'!K177/'Total Trip Tables Sup #1'!$B177)</f>
        <v>5.8998954734200879</v>
      </c>
    </row>
    <row r="35" spans="1:11" x14ac:dyDescent="0.25">
      <c r="A35" t="str">
        <f ca="1">OFFSET(Waikato_Reference,56,2)</f>
        <v>Local Ferry</v>
      </c>
      <c r="B35" s="4">
        <f ca="1">OFFSET(Waikato_Reference,56,5)</f>
        <v>0.2446181519</v>
      </c>
      <c r="C35" s="4">
        <f ca="1">$B35*('Updated Population'!C$26/'Updated Population'!$B$26)*('Total Trip Tables Sup #1'!C178/'Total Trip Tables Sup #1'!$B178)</f>
        <v>0.28613032149553885</v>
      </c>
      <c r="D35" s="4">
        <f ca="1">$B35*('Updated Population'!D$26/'Updated Population'!$B$26)*('Total Trip Tables Sup #1'!D178/'Total Trip Tables Sup #1'!$B178)</f>
        <v>0.31606730574417141</v>
      </c>
      <c r="E35" s="4">
        <f ca="1">$B35*('Updated Population'!E$26/'Updated Population'!$B$26)*('Total Trip Tables Sup #1'!E178/'Total Trip Tables Sup #1'!$B178)</f>
        <v>0.33497011543913913</v>
      </c>
      <c r="F35" s="4">
        <f ca="1">$B35*('Updated Population'!F$26/'Updated Population'!$B$26)*('Total Trip Tables Sup #1'!F178/'Total Trip Tables Sup #1'!$B178)</f>
        <v>0.34852040948987711</v>
      </c>
      <c r="G35" s="4">
        <f ca="1">$B35*('Updated Population'!G$26/'Updated Population'!$B$26)*('Total Trip Tables Sup #1'!G178/'Total Trip Tables Sup #1'!$B178)</f>
        <v>0.36849329634896383</v>
      </c>
      <c r="H35" s="4">
        <f ca="1">$B35*('Updated Population'!H$26/'Updated Population'!$B$26)*('Total Trip Tables Sup #1'!H178/'Total Trip Tables Sup #1'!$B178)</f>
        <v>0.3853754536193546</v>
      </c>
      <c r="I35" s="1">
        <f ca="1">$B35*('Updated Population'!I$26/'Updated Population'!$B$26)*('Total Trip Tables Sup #1'!I178/'Total Trip Tables Sup #1'!$B178)</f>
        <v>0.39357622494073291</v>
      </c>
      <c r="J35" s="1">
        <f ca="1">$B35*('Updated Population'!J$26/'Updated Population'!$B$26)*('Total Trip Tables Sup #1'!J178/'Total Trip Tables Sup #1'!$B178)</f>
        <v>0.40067202737686236</v>
      </c>
      <c r="K35" s="1">
        <f ca="1">$B35*('Updated Population'!K$26/'Updated Population'!$B$26)*('Total Trip Tables Sup #1'!K178/'Total Trip Tables Sup #1'!$B178)</f>
        <v>0.4070191660033638</v>
      </c>
    </row>
    <row r="36" spans="1:11" x14ac:dyDescent="0.25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$B36*('Updated Population'!C$26/'Updated Population'!$B$26)*('Total Trip Tables Sup #1'!C179/'Total Trip Tables Sup #1'!$B179)</f>
        <v>2.0616021232507609</v>
      </c>
      <c r="D36" s="4">
        <f ca="1">$B36*('Updated Population'!D$26/'Updated Population'!$B$26)*('Total Trip Tables Sup #1'!D179/'Total Trip Tables Sup #1'!$B179)</f>
        <v>2.1896430067007961</v>
      </c>
      <c r="E36" s="4">
        <f ca="1">$B36*('Updated Population'!E$26/'Updated Population'!$B$26)*('Total Trip Tables Sup #1'!E179/'Total Trip Tables Sup #1'!$B179)</f>
        <v>2.2870332686378267</v>
      </c>
      <c r="F36" s="4">
        <f ca="1">$B36*('Updated Population'!F$26/'Updated Population'!$B$26)*('Total Trip Tables Sup #1'!F179/'Total Trip Tables Sup #1'!$B179)</f>
        <v>2.3655861115317109</v>
      </c>
      <c r="G36" s="4">
        <f ca="1">$B36*('Updated Population'!G$26/'Updated Population'!$B$26)*('Total Trip Tables Sup #1'!G179/'Total Trip Tables Sup #1'!$B179)</f>
        <v>2.4249454852428505</v>
      </c>
      <c r="H36" s="4">
        <f ca="1">$B36*('Updated Population'!H$26/'Updated Population'!$B$26)*('Total Trip Tables Sup #1'!H179/'Total Trip Tables Sup #1'!$B179)</f>
        <v>2.4511984005969847</v>
      </c>
      <c r="I36" s="1">
        <f ca="1">$B36*('Updated Population'!I$26/'Updated Population'!$B$26)*('Total Trip Tables Sup #1'!I179/'Total Trip Tables Sup #1'!$B179)</f>
        <v>2.5033597859624339</v>
      </c>
      <c r="J36" s="1">
        <f ca="1">$B36*('Updated Population'!J$26/'Updated Population'!$B$26)*('Total Trip Tables Sup #1'!J179/'Total Trip Tables Sup #1'!$B179)</f>
        <v>2.5484929656163007</v>
      </c>
      <c r="K36" s="1">
        <f ca="1">$B36*('Updated Population'!K$26/'Updated Population'!$B$26)*('Total Trip Tables Sup #1'!K179/'Total Trip Tables Sup #1'!$B179)</f>
        <v>2.5888642344750972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OFFSET(BOP_Reference,0,5)</f>
        <v>43.402809341999998</v>
      </c>
      <c r="C38" s="4">
        <f ca="1">$B38*('Updated Population'!C$37/'Updated Population'!$B$37)*('Total Trip Tables Sup #1'!C170/'Total Trip Tables Sup #1'!$B170)</f>
        <v>46.360324937314054</v>
      </c>
      <c r="D38" s="4">
        <f ca="1">$B38*('Updated Population'!D$37/'Updated Population'!$B$37)*('Total Trip Tables Sup #1'!D170/'Total Trip Tables Sup #1'!$B170)</f>
        <v>47.818594499562082</v>
      </c>
      <c r="E38" s="4">
        <f ca="1">$B38*('Updated Population'!E$37/'Updated Population'!$B$37)*('Total Trip Tables Sup #1'!E170/'Total Trip Tables Sup #1'!$B170)</f>
        <v>48.432494567012441</v>
      </c>
      <c r="F38" s="4">
        <f ca="1">$B38*('Updated Population'!F$37/'Updated Population'!$B$37)*('Total Trip Tables Sup #1'!F170/'Total Trip Tables Sup #1'!$B170)</f>
        <v>48.554471437060002</v>
      </c>
      <c r="G38" s="4">
        <f ca="1">$B38*('Updated Population'!G$37/'Updated Population'!$B$37)*('Total Trip Tables Sup #1'!G170/'Total Trip Tables Sup #1'!$B170)</f>
        <v>48.371222894141361</v>
      </c>
      <c r="H38" s="4">
        <f ca="1">$B38*('Updated Population'!H$37/'Updated Population'!$B$37)*('Total Trip Tables Sup #1'!H170/'Total Trip Tables Sup #1'!$B170)</f>
        <v>47.996788244324854</v>
      </c>
      <c r="I38" s="1">
        <f ca="1">$B38*('Updated Population'!I$37/'Updated Population'!$B$37)*('Total Trip Tables Sup #1'!I170/'Total Trip Tables Sup #1'!$B170)</f>
        <v>48.687048575296757</v>
      </c>
      <c r="J38" s="1">
        <f ca="1">$B38*('Updated Population'!J$37/'Updated Population'!$B$37)*('Total Trip Tables Sup #1'!J170/'Total Trip Tables Sup #1'!$B170)</f>
        <v>49.230027725212622</v>
      </c>
      <c r="K38" s="1">
        <f ca="1">$B38*('Updated Population'!K$37/'Updated Population'!$B$37)*('Total Trip Tables Sup #1'!K170/'Total Trip Tables Sup #1'!$B170)</f>
        <v>49.672083994814031</v>
      </c>
    </row>
    <row r="39" spans="1:11" x14ac:dyDescent="0.25">
      <c r="A39" t="str">
        <f ca="1">OFFSET(BOP_Reference,7,2)</f>
        <v>Cyclist</v>
      </c>
      <c r="B39" s="4">
        <f ca="1">OFFSET(BOP_Reference,7,5)</f>
        <v>5.1579391552000002</v>
      </c>
      <c r="C39" s="4">
        <f ca="1">$B39*('Updated Population'!C$37/'Updated Population'!$B$37)*('Total Trip Tables Sup #1'!C171/'Total Trip Tables Sup #1'!$B171)</f>
        <v>5.4526701613327875</v>
      </c>
      <c r="D39" s="4">
        <f ca="1">$B39*('Updated Population'!D$37/'Updated Population'!$B$37)*('Total Trip Tables Sup #1'!D171/'Total Trip Tables Sup #1'!$B171)</f>
        <v>5.5345661976932838</v>
      </c>
      <c r="E39" s="4">
        <f ca="1">$B39*('Updated Population'!E$37/'Updated Population'!$B$37)*('Total Trip Tables Sup #1'!E171/'Total Trip Tables Sup #1'!$B171)</f>
        <v>5.5140829776142537</v>
      </c>
      <c r="F39" s="4">
        <f ca="1">$B39*('Updated Population'!F$37/'Updated Population'!$B$37)*('Total Trip Tables Sup #1'!F171/'Total Trip Tables Sup #1'!$B171)</f>
        <v>5.4851890280828748</v>
      </c>
      <c r="G39" s="4">
        <f ca="1">$B39*('Updated Population'!G$37/'Updated Population'!$B$37)*('Total Trip Tables Sup #1'!G171/'Total Trip Tables Sup #1'!$B171)</f>
        <v>5.4475875866009797</v>
      </c>
      <c r="H39" s="4">
        <f ca="1">$B39*('Updated Population'!H$37/'Updated Population'!$B$37)*('Total Trip Tables Sup #1'!H171/'Total Trip Tables Sup #1'!$B171)</f>
        <v>5.4070261104034119</v>
      </c>
      <c r="I39" s="1">
        <f ca="1">$B39*('Updated Population'!I$37/'Updated Population'!$B$37)*('Total Trip Tables Sup #1'!I171/'Total Trip Tables Sup #1'!$B171)</f>
        <v>5.4847866391609195</v>
      </c>
      <c r="J39" s="1">
        <f ca="1">$B39*('Updated Population'!J$37/'Updated Population'!$B$37)*('Total Trip Tables Sup #1'!J171/'Total Trip Tables Sup #1'!$B171)</f>
        <v>5.5459553662443799</v>
      </c>
      <c r="K39" s="1">
        <f ca="1">$B39*('Updated Population'!K$37/'Updated Population'!$B$37)*('Total Trip Tables Sup #1'!K171/'Total Trip Tables Sup #1'!$B171)</f>
        <v>5.5957547357320863</v>
      </c>
    </row>
    <row r="40" spans="1:11" x14ac:dyDescent="0.25">
      <c r="A40" t="str">
        <f ca="1">OFFSET(BOP_Reference,14,2)</f>
        <v>Light Vehicle Driver</v>
      </c>
      <c r="B40" s="4">
        <f ca="1">OFFSET(BOP_Reference,14,5)</f>
        <v>178.59124365</v>
      </c>
      <c r="C40" s="4">
        <f ca="1">$B40*('Updated Population'!C$37/'Updated Population'!$B$37)*('Total Trip Tables Sup #1'!C172/'Total Trip Tables Sup #1'!$B172)</f>
        <v>195.6837916713221</v>
      </c>
      <c r="D40" s="4">
        <f ca="1">$B40*('Updated Population'!D$37/'Updated Population'!$B$37)*('Total Trip Tables Sup #1'!D172/'Total Trip Tables Sup #1'!$B172)</f>
        <v>204.95843936063835</v>
      </c>
      <c r="E40" s="4">
        <f ca="1">$B40*('Updated Population'!E$37/'Updated Population'!$B$37)*('Total Trip Tables Sup #1'!E172/'Total Trip Tables Sup #1'!$B172)</f>
        <v>212.90679059686732</v>
      </c>
      <c r="F40" s="4">
        <f ca="1">$B40*('Updated Population'!F$37/'Updated Population'!$B$37)*('Total Trip Tables Sup #1'!F172/'Total Trip Tables Sup #1'!$B172)</f>
        <v>219.65932304084546</v>
      </c>
      <c r="G40" s="4">
        <f ca="1">$B40*('Updated Population'!G$37/'Updated Population'!$B$37)*('Total Trip Tables Sup #1'!G172/'Total Trip Tables Sup #1'!$B172)</f>
        <v>223.81973853219739</v>
      </c>
      <c r="H40" s="4">
        <f ca="1">$B40*('Updated Population'!H$37/'Updated Population'!$B$37)*('Total Trip Tables Sup #1'!H172/'Total Trip Tables Sup #1'!$B172)</f>
        <v>226.94877468782204</v>
      </c>
      <c r="I40" s="1">
        <f ca="1">$B40*('Updated Population'!I$37/'Updated Population'!$B$37)*('Total Trip Tables Sup #1'!I172/'Total Trip Tables Sup #1'!$B172)</f>
        <v>230.21261258322971</v>
      </c>
      <c r="J40" s="1">
        <f ca="1">$B40*('Updated Population'!J$37/'Updated Population'!$B$37)*('Total Trip Tables Sup #1'!J172/'Total Trip Tables Sup #1'!$B172)</f>
        <v>232.78004380648477</v>
      </c>
      <c r="K40" s="1">
        <f ca="1">$B40*('Updated Population'!K$37/'Updated Population'!$B$37)*('Total Trip Tables Sup #1'!K172/'Total Trip Tables Sup #1'!$B172)</f>
        <v>234.87026968198322</v>
      </c>
    </row>
    <row r="41" spans="1:11" x14ac:dyDescent="0.25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$B41*('Updated Population'!C$37/'Updated Population'!$B$37)*('Total Trip Tables Sup #1'!C173/'Total Trip Tables Sup #1'!$B173)</f>
        <v>103.09472000803909</v>
      </c>
      <c r="D41" s="4">
        <f ca="1">$B41*('Updated Population'!D$37/'Updated Population'!$B$37)*('Total Trip Tables Sup #1'!D173/'Total Trip Tables Sup #1'!$B173)</f>
        <v>104.92904197916938</v>
      </c>
      <c r="E41" s="4">
        <f ca="1">$B41*('Updated Population'!E$37/'Updated Population'!$B$37)*('Total Trip Tables Sup #1'!E173/'Total Trip Tables Sup #1'!$B173)</f>
        <v>105.85264521515198</v>
      </c>
      <c r="F41" s="4">
        <f ca="1">$B41*('Updated Population'!F$37/'Updated Population'!$B$37)*('Total Trip Tables Sup #1'!F173/'Total Trip Tables Sup #1'!$B173)</f>
        <v>106.36697471437414</v>
      </c>
      <c r="G41" s="4">
        <f ca="1">$B41*('Updated Population'!G$37/'Updated Population'!$B$37)*('Total Trip Tables Sup #1'!G173/'Total Trip Tables Sup #1'!$B173)</f>
        <v>106.08661710248988</v>
      </c>
      <c r="H41" s="4">
        <f ca="1">$B41*('Updated Population'!H$37/'Updated Population'!$B$37)*('Total Trip Tables Sup #1'!H173/'Total Trip Tables Sup #1'!$B173)</f>
        <v>105.28045758594261</v>
      </c>
      <c r="I41" s="1">
        <f ca="1">$B41*('Updated Population'!I$37/'Updated Population'!$B$37)*('Total Trip Tables Sup #1'!I173/'Total Trip Tables Sup #1'!$B173)</f>
        <v>106.79453646822573</v>
      </c>
      <c r="J41" s="1">
        <f ca="1">$B41*('Updated Population'!J$37/'Updated Population'!$B$37)*('Total Trip Tables Sup #1'!J173/'Total Trip Tables Sup #1'!$B173)</f>
        <v>107.98555560625165</v>
      </c>
      <c r="K41" s="1">
        <f ca="1">$B41*('Updated Population'!K$37/'Updated Population'!$B$37)*('Total Trip Tables Sup #1'!K173/'Total Trip Tables Sup #1'!$B173)</f>
        <v>108.95520145224998</v>
      </c>
    </row>
    <row r="42" spans="1:11" x14ac:dyDescent="0.25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$B42*('Updated Population'!C$37/'Updated Population'!$B$37)*('Total Trip Tables Sup #1'!C174/'Total Trip Tables Sup #1'!$B174)</f>
        <v>0.17837075452018561</v>
      </c>
      <c r="D42" s="4">
        <f ca="1">$B42*('Updated Population'!D$37/'Updated Population'!$B$37)*('Total Trip Tables Sup #1'!D174/'Total Trip Tables Sup #1'!$B174)</f>
        <v>0.19432599669841483</v>
      </c>
      <c r="E42" s="4">
        <f ca="1">$B42*('Updated Population'!E$37/'Updated Population'!$B$37)*('Total Trip Tables Sup #1'!E174/'Total Trip Tables Sup #1'!$B174)</f>
        <v>0.20592807134089211</v>
      </c>
      <c r="F42" s="4">
        <f ca="1">$B42*('Updated Population'!F$37/'Updated Population'!$B$37)*('Total Trip Tables Sup #1'!F174/'Total Trip Tables Sup #1'!$B174)</f>
        <v>0.21517572885477793</v>
      </c>
      <c r="G42" s="4">
        <f ca="1">$B42*('Updated Population'!G$37/'Updated Population'!$B$37)*('Total Trip Tables Sup #1'!G174/'Total Trip Tables Sup #1'!$B174)</f>
        <v>0.22097478952809321</v>
      </c>
      <c r="H42" s="4">
        <f ca="1">$B42*('Updated Population'!H$37/'Updated Population'!$B$37)*('Total Trip Tables Sup #1'!H174/'Total Trip Tables Sup #1'!$B174)</f>
        <v>0.22612181225596284</v>
      </c>
      <c r="I42" s="1">
        <f ca="1">$B42*('Updated Population'!I$37/'Updated Population'!$B$37)*('Total Trip Tables Sup #1'!I174/'Total Trip Tables Sup #1'!$B174)</f>
        <v>0.2293737572855602</v>
      </c>
      <c r="J42" s="1">
        <f ca="1">$B42*('Updated Population'!J$37/'Updated Population'!$B$37)*('Total Trip Tables Sup #1'!J174/'Total Trip Tables Sup #1'!$B174)</f>
        <v>0.23193183322954164</v>
      </c>
      <c r="K42" s="1">
        <f ca="1">$B42*('Updated Population'!K$37/'Updated Population'!$B$37)*('Total Trip Tables Sup #1'!K174/'Total Trip Tables Sup #1'!$B174)</f>
        <v>0.23401444268025207</v>
      </c>
    </row>
    <row r="43" spans="1:11" x14ac:dyDescent="0.25">
      <c r="A43" t="str">
        <f ca="1">OFFSET(BOP_Reference,35,2)</f>
        <v>Motorcyclist</v>
      </c>
      <c r="B43" s="4">
        <f ca="1">OFFSET(BOP_Reference,35,5)</f>
        <v>0.90641599910000004</v>
      </c>
      <c r="C43" s="4">
        <f ca="1">$B43*('Updated Population'!C$37/'Updated Population'!$B$37)*('Total Trip Tables Sup #1'!C175/'Total Trip Tables Sup #1'!$B175)</f>
        <v>0.96458392316875308</v>
      </c>
      <c r="D43" s="4">
        <f ca="1">$B43*('Updated Population'!D$37/'Updated Population'!$B$37)*('Total Trip Tables Sup #1'!D175/'Total Trip Tables Sup #1'!$B175)</f>
        <v>0.98570613039215982</v>
      </c>
      <c r="E43" s="4">
        <f ca="1">$B43*('Updated Population'!E$37/'Updated Population'!$B$37)*('Total Trip Tables Sup #1'!E175/'Total Trip Tables Sup #1'!$B175)</f>
        <v>0.99864189172463969</v>
      </c>
      <c r="F43" s="4">
        <f ca="1">$B43*('Updated Population'!F$37/'Updated Population'!$B$37)*('Total Trip Tables Sup #1'!F175/'Total Trip Tables Sup #1'!$B175)</f>
        <v>1.0045566920210045</v>
      </c>
      <c r="G43" s="4">
        <f ca="1">$B43*('Updated Population'!G$37/'Updated Population'!$B$37)*('Total Trip Tables Sup #1'!G175/'Total Trip Tables Sup #1'!$B175)</f>
        <v>0.991493434447974</v>
      </c>
      <c r="H43" s="4">
        <f ca="1">$B43*('Updated Population'!H$37/'Updated Population'!$B$37)*('Total Trip Tables Sup #1'!H175/'Total Trip Tables Sup #1'!$B175)</f>
        <v>0.97228394575338561</v>
      </c>
      <c r="I43" s="1">
        <f ca="1">$B43*('Updated Population'!I$37/'Updated Population'!$B$37)*('Total Trip Tables Sup #1'!I175/'Total Trip Tables Sup #1'!$B175)</f>
        <v>0.98626673632633122</v>
      </c>
      <c r="J43" s="1">
        <f ca="1">$B43*('Updated Population'!J$37/'Updated Population'!$B$37)*('Total Trip Tables Sup #1'!J175/'Total Trip Tables Sup #1'!$B175)</f>
        <v>0.99726601210400667</v>
      </c>
      <c r="K43" s="1">
        <f ca="1">$B43*('Updated Population'!K$37/'Updated Population'!$B$37)*('Total Trip Tables Sup #1'!K175/'Total Trip Tables Sup #1'!$B175)</f>
        <v>1.0062208657468208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Trip Tables Sup #1'!C176/'Total Trip Tables Sup #1'!$B176)</f>
        <v>0</v>
      </c>
      <c r="D44" s="4">
        <f ca="1">$B44*('Updated Population'!D$37/'Updated Population'!$B$37)*('Total Trip Tables Sup #1'!D176/'Total Trip Tables Sup #1'!$B176)</f>
        <v>0</v>
      </c>
      <c r="E44" s="4">
        <f ca="1">$B44*('Updated Population'!E$37/'Updated Population'!$B$37)*('Total Trip Tables Sup #1'!E176/'Total Trip Tables Sup #1'!$B176)</f>
        <v>0</v>
      </c>
      <c r="F44" s="4">
        <f ca="1">$B44*('Updated Population'!F$37/'Updated Population'!$B$37)*('Total Trip Tables Sup #1'!F176/'Total Trip Tables Sup #1'!$B176)</f>
        <v>0</v>
      </c>
      <c r="G44" s="4">
        <f ca="1">$B44*('Updated Population'!G$37/'Updated Population'!$B$37)*('Total Trip Tables Sup #1'!G176/'Total Trip Tables Sup #1'!$B176)</f>
        <v>0</v>
      </c>
      <c r="H44" s="4">
        <f ca="1">$B44*('Updated Population'!H$37/'Updated Population'!$B$37)*('Total Trip Tables Sup #1'!H176/'Total Trip Tables Sup #1'!$B176)</f>
        <v>0</v>
      </c>
      <c r="I44" s="1">
        <f ca="1">$B44*('Updated Population'!I$37/'Updated Population'!$B$37)*('Total Trip Tables Sup #1'!I176/'Total Trip Tables Sup #1'!$B176)</f>
        <v>0</v>
      </c>
      <c r="J44" s="1">
        <f ca="1">$B44*('Updated Population'!J$37/'Updated Population'!$B$37)*('Total Trip Tables Sup #1'!J176/'Total Trip Tables Sup #1'!$B176)</f>
        <v>0</v>
      </c>
      <c r="K44" s="1">
        <f ca="1">$B44*('Updated Population'!K$37/'Updated Population'!$B$37)*('Total Trip Tables Sup #1'!K176/'Total Trip Tables Sup #1'!$B176)</f>
        <v>0</v>
      </c>
    </row>
    <row r="45" spans="1:11" x14ac:dyDescent="0.25">
      <c r="A45" t="str">
        <f ca="1">OFFSET(BOP_Reference,42,2)</f>
        <v>Local Bus</v>
      </c>
      <c r="B45" s="4">
        <f ca="1">OFFSET(BOP_Reference,42,5)</f>
        <v>7.4672006229000001</v>
      </c>
      <c r="C45" s="4">
        <f ca="1">$B45*('Updated Population'!C$37/'Updated Population'!$B$37)*('Total Trip Tables Sup #1'!C177/'Total Trip Tables Sup #1'!$B177)</f>
        <v>7.4649184831008011</v>
      </c>
      <c r="D45" s="4">
        <f ca="1">$B45*('Updated Population'!D$37/'Updated Population'!$B$37)*('Total Trip Tables Sup #1'!D177/'Total Trip Tables Sup #1'!$B177)</f>
        <v>7.3680871598501341</v>
      </c>
      <c r="E45" s="4">
        <f ca="1">$B45*('Updated Population'!E$37/'Updated Population'!$B$37)*('Total Trip Tables Sup #1'!E177/'Total Trip Tables Sup #1'!$B177)</f>
        <v>7.3285615664419659</v>
      </c>
      <c r="F45" s="4">
        <f ca="1">$B45*('Updated Population'!F$37/'Updated Population'!$B$37)*('Total Trip Tables Sup #1'!F177/'Total Trip Tables Sup #1'!$B177)</f>
        <v>7.1943116435017966</v>
      </c>
      <c r="G45" s="4">
        <f ca="1">$B45*('Updated Population'!G$37/'Updated Population'!$B$37)*('Total Trip Tables Sup #1'!G177/'Total Trip Tables Sup #1'!$B177)</f>
        <v>7.0919867685411537</v>
      </c>
      <c r="H45" s="4">
        <f ca="1">$B45*('Updated Population'!H$37/'Updated Population'!$B$37)*('Total Trip Tables Sup #1'!H177/'Total Trip Tables Sup #1'!$B177)</f>
        <v>6.9543054290447213</v>
      </c>
      <c r="I45" s="1">
        <f ca="1">$B45*('Updated Population'!I$37/'Updated Population'!$B$37)*('Total Trip Tables Sup #1'!I177/'Total Trip Tables Sup #1'!$B177)</f>
        <v>7.0543179786906816</v>
      </c>
      <c r="J45" s="1">
        <f ca="1">$B45*('Updated Population'!J$37/'Updated Population'!$B$37)*('Total Trip Tables Sup #1'!J177/'Total Trip Tables Sup #1'!$B177)</f>
        <v>7.1329908021907924</v>
      </c>
      <c r="K45" s="1">
        <f ca="1">$B45*('Updated Population'!K$37/'Updated Population'!$B$37)*('Total Trip Tables Sup #1'!K177/'Total Trip Tables Sup #1'!$B177)</f>
        <v>7.1970408027863169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Trip Tables Sup #1'!C178/'Total Trip Tables Sup #1'!$B178)</f>
        <v>0</v>
      </c>
      <c r="D46" s="4">
        <f ca="1">$B46*('Updated Population'!D$37/'Updated Population'!$B$37)*('Total Trip Tables Sup #1'!D178/'Total Trip Tables Sup #1'!$B178)</f>
        <v>0</v>
      </c>
      <c r="E46" s="4">
        <f ca="1">$B46*('Updated Population'!E$37/'Updated Population'!$B$37)*('Total Trip Tables Sup #1'!E178/'Total Trip Tables Sup #1'!$B178)</f>
        <v>0</v>
      </c>
      <c r="F46" s="4">
        <f ca="1">$B46*('Updated Population'!F$37/'Updated Population'!$B$37)*('Total Trip Tables Sup #1'!F178/'Total Trip Tables Sup #1'!$B178)</f>
        <v>0</v>
      </c>
      <c r="G46" s="4">
        <f ca="1">$B46*('Updated Population'!G$37/'Updated Population'!$B$37)*('Total Trip Tables Sup #1'!G178/'Total Trip Tables Sup #1'!$B178)</f>
        <v>0</v>
      </c>
      <c r="H46" s="4">
        <f ca="1">$B46*('Updated Population'!H$37/'Updated Population'!$B$37)*('Total Trip Tables Sup #1'!H178/'Total Trip Tables Sup #1'!$B178)</f>
        <v>0</v>
      </c>
      <c r="I46" s="1">
        <f ca="1">$B46*('Updated Population'!I$37/'Updated Population'!$B$37)*('Total Trip Tables Sup #1'!I178/'Total Trip Tables Sup #1'!$B178)</f>
        <v>0</v>
      </c>
      <c r="J46" s="1">
        <f ca="1">$B46*('Updated Population'!J$37/'Updated Population'!$B$37)*('Total Trip Tables Sup #1'!J178/'Total Trip Tables Sup #1'!$B178)</f>
        <v>0</v>
      </c>
      <c r="K46" s="1">
        <f ca="1">$B46*('Updated Population'!K$37/'Updated Population'!$B$37)*('Total Trip Tables Sup #1'!K178/'Total Trip Tables Sup #1'!$B178)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$B47*('Updated Population'!C$37/'Updated Population'!$B$37)*('Total Trip Tables Sup #1'!C179/'Total Trip Tables Sup #1'!$B179)</f>
        <v>0.64540125895712919</v>
      </c>
      <c r="D47" s="4">
        <f ca="1">$B47*('Updated Population'!D$37/'Updated Population'!$B$37)*('Total Trip Tables Sup #1'!D179/'Total Trip Tables Sup #1'!$B179)</f>
        <v>0.68081373784642452</v>
      </c>
      <c r="E47" s="4">
        <f ca="1">$B47*('Updated Population'!E$37/'Updated Population'!$B$37)*('Total Trip Tables Sup #1'!E179/'Total Trip Tables Sup #1'!$B179)</f>
        <v>0.70635405992349587</v>
      </c>
      <c r="F47" s="4">
        <f ca="1">$B47*('Updated Population'!F$37/'Updated Population'!$B$37)*('Total Trip Tables Sup #1'!F179/'Total Trip Tables Sup #1'!$B179)</f>
        <v>0.72592622281396568</v>
      </c>
      <c r="G47" s="4">
        <f ca="1">$B47*('Updated Population'!G$37/'Updated Population'!$B$37)*('Total Trip Tables Sup #1'!G179/'Total Trip Tables Sup #1'!$B179)</f>
        <v>0.73909240898421757</v>
      </c>
      <c r="H47" s="4">
        <f ca="1">$B47*('Updated Population'!H$37/'Updated Population'!$B$37)*('Total Trip Tables Sup #1'!H179/'Total Trip Tables Sup #1'!$B179)</f>
        <v>0.74204747383076131</v>
      </c>
      <c r="I47" s="1">
        <f ca="1">$B47*('Updated Population'!I$37/'Updated Population'!$B$37)*('Total Trip Tables Sup #1'!I179/'Total Trip Tables Sup #1'!$B179)</f>
        <v>0.75271914486583003</v>
      </c>
      <c r="J47" s="1">
        <f ca="1">$B47*('Updated Population'!J$37/'Updated Population'!$B$37)*('Total Trip Tables Sup #1'!J179/'Total Trip Tables Sup #1'!$B179)</f>
        <v>0.76111379628472975</v>
      </c>
      <c r="K47" s="1">
        <f ca="1">$B47*('Updated Population'!K$37/'Updated Population'!$B$37)*('Total Trip Tables Sup #1'!K179/'Total Trip Tables Sup #1'!$B179)</f>
        <v>0.76794814395980682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OFFSET(Gisborne_Reference,0,5)</f>
        <v>12.564280467</v>
      </c>
      <c r="C49" s="4">
        <f ca="1">$B49*('Updated Population'!C$48/'Updated Population'!$B$48)*('Total Trip Tables Sup #1'!C170/'Total Trip Tables Sup #1'!$B170)</f>
        <v>12.762739477781791</v>
      </c>
      <c r="D49" s="4">
        <f ca="1">$B49*('Updated Population'!D$48/'Updated Population'!$B$48)*('Total Trip Tables Sup #1'!D170/'Total Trip Tables Sup #1'!$B170)</f>
        <v>12.781007410327405</v>
      </c>
      <c r="E49" s="4">
        <f ca="1">$B49*('Updated Population'!E$48/'Updated Population'!$B$48)*('Total Trip Tables Sup #1'!E170/'Total Trip Tables Sup #1'!$B170)</f>
        <v>12.64941908142746</v>
      </c>
      <c r="F49" s="4">
        <f ca="1">$B49*('Updated Population'!F$48/'Updated Population'!$B$48)*('Total Trip Tables Sup #1'!F170/'Total Trip Tables Sup #1'!$B170)</f>
        <v>12.3965194913477</v>
      </c>
      <c r="G49" s="4">
        <f ca="1">$B49*('Updated Population'!G$48/'Updated Population'!$B$48)*('Total Trip Tables Sup #1'!G170/'Total Trip Tables Sup #1'!$B170)</f>
        <v>12.058710645252988</v>
      </c>
      <c r="H49" s="4">
        <f ca="1">$B49*('Updated Population'!H$48/'Updated Population'!$B$48)*('Total Trip Tables Sup #1'!H170/'Total Trip Tables Sup #1'!$B170)</f>
        <v>11.685018246399949</v>
      </c>
      <c r="I49" s="1">
        <f ca="1">$B49*('Updated Population'!I$48/'Updated Population'!$B$48)*('Total Trip Tables Sup #1'!I170/'Total Trip Tables Sup #1'!$B170)</f>
        <v>11.575348543037684</v>
      </c>
      <c r="J49" s="1">
        <f ca="1">$B49*('Updated Population'!J$48/'Updated Population'!$B$48)*('Total Trip Tables Sup #1'!J170/'Total Trip Tables Sup #1'!$B170)</f>
        <v>11.430207636556911</v>
      </c>
      <c r="K49" s="1">
        <f ca="1">$B49*('Updated Population'!K$48/'Updated Population'!$B$48)*('Total Trip Tables Sup #1'!K170/'Total Trip Tables Sup #1'!$B170)</f>
        <v>11.262630373648154</v>
      </c>
    </row>
    <row r="50" spans="1:11" x14ac:dyDescent="0.25">
      <c r="A50" t="str">
        <f ca="1">OFFSET(Gisborne_Reference,7,2)</f>
        <v>Cyclist</v>
      </c>
      <c r="B50" s="4">
        <f ca="1">OFFSET(Gisborne_Reference,7,5)</f>
        <v>1.1119455742</v>
      </c>
      <c r="C50" s="4">
        <f ca="1">$B50*('Updated Population'!C$48/'Updated Population'!$B$48)*('Total Trip Tables Sup #1'!C171/'Total Trip Tables Sup #1'!$B171)</f>
        <v>1.1178774483589669</v>
      </c>
      <c r="D50" s="4">
        <f ca="1">$B50*('Updated Population'!D$48/'Updated Population'!$B$48)*('Total Trip Tables Sup #1'!D171/'Total Trip Tables Sup #1'!$B171)</f>
        <v>1.1016392488941853</v>
      </c>
      <c r="E50" s="4">
        <f ca="1">$B50*('Updated Population'!E$48/'Updated Population'!$B$48)*('Total Trip Tables Sup #1'!E171/'Total Trip Tables Sup #1'!$B171)</f>
        <v>1.0724932672723795</v>
      </c>
      <c r="F50" s="4">
        <f ca="1">$B50*('Updated Population'!F$48/'Updated Population'!$B$48)*('Total Trip Tables Sup #1'!F171/'Total Trip Tables Sup #1'!$B171)</f>
        <v>1.0429168157505768</v>
      </c>
      <c r="G50" s="4">
        <f ca="1">$B50*('Updated Population'!G$48/'Updated Population'!$B$48)*('Total Trip Tables Sup #1'!G171/'Total Trip Tables Sup #1'!$B171)</f>
        <v>1.011359511384837</v>
      </c>
      <c r="H50" s="4">
        <f ca="1">$B50*('Updated Population'!H$48/'Updated Population'!$B$48)*('Total Trip Tables Sup #1'!H171/'Total Trip Tables Sup #1'!$B171)</f>
        <v>0.98030951758291229</v>
      </c>
      <c r="I50" s="1">
        <f ca="1">$B50*('Updated Population'!I$48/'Updated Population'!$B$48)*('Total Trip Tables Sup #1'!I171/'Total Trip Tables Sup #1'!$B171)</f>
        <v>0.97110882557460965</v>
      </c>
      <c r="J50" s="1">
        <f ca="1">$B50*('Updated Population'!J$48/'Updated Population'!$B$48)*('Total Trip Tables Sup #1'!J171/'Total Trip Tables Sup #1'!$B171)</f>
        <v>0.95893229242648637</v>
      </c>
      <c r="K50" s="1">
        <f ca="1">$B50*('Updated Population'!K$48/'Updated Population'!$B$48)*('Total Trip Tables Sup #1'!K171/'Total Trip Tables Sup #1'!$B171)</f>
        <v>0.94487347092566742</v>
      </c>
    </row>
    <row r="51" spans="1:11" x14ac:dyDescent="0.25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$B51*('Updated Population'!C$48/'Updated Population'!$B$48)*('Total Trip Tables Sup #1'!C172/'Total Trip Tables Sup #1'!$B172)</f>
        <v>29.985273362383541</v>
      </c>
      <c r="D51" s="4">
        <f ca="1">$B51*('Updated Population'!D$48/'Updated Population'!$B$48)*('Total Trip Tables Sup #1'!D172/'Total Trip Tables Sup #1'!$B172)</f>
        <v>30.49227372731692</v>
      </c>
      <c r="E51" s="4">
        <f ca="1">$B51*('Updated Population'!E$48/'Updated Population'!$B$48)*('Total Trip Tables Sup #1'!E172/'Total Trip Tables Sup #1'!$B172)</f>
        <v>30.951306129873437</v>
      </c>
      <c r="F51" s="4">
        <f ca="1">$B51*('Updated Population'!F$48/'Updated Population'!$B$48)*('Total Trip Tables Sup #1'!F172/'Total Trip Tables Sup #1'!$B172)</f>
        <v>31.2159029825212</v>
      </c>
      <c r="G51" s="4">
        <f ca="1">$B51*('Updated Population'!G$48/'Updated Population'!$B$48)*('Total Trip Tables Sup #1'!G172/'Total Trip Tables Sup #1'!$B172)</f>
        <v>31.057601680056166</v>
      </c>
      <c r="H51" s="4">
        <f ca="1">$B51*('Updated Population'!H$48/'Updated Population'!$B$48)*('Total Trip Tables Sup #1'!H172/'Total Trip Tables Sup #1'!$B172)</f>
        <v>30.75394155827183</v>
      </c>
      <c r="I51" s="1">
        <f ca="1">$B51*('Updated Population'!I$48/'Updated Population'!$B$48)*('Total Trip Tables Sup #1'!I172/'Total Trip Tables Sup #1'!$B172)</f>
        <v>30.465300532918256</v>
      </c>
      <c r="J51" s="1">
        <f ca="1">$B51*('Updated Population'!J$48/'Updated Population'!$B$48)*('Total Trip Tables Sup #1'!J172/'Total Trip Tables Sup #1'!$B172)</f>
        <v>30.083302416911934</v>
      </c>
      <c r="K51" s="1">
        <f ca="1">$B51*('Updated Population'!K$48/'Updated Population'!$B$48)*('Total Trip Tables Sup #1'!K172/'Total Trip Tables Sup #1'!$B172)</f>
        <v>29.642253781700866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$B52*('Updated Population'!C$48/'Updated Population'!$B$48)*('Total Trip Tables Sup #1'!C173/'Total Trip Tables Sup #1'!$B173)</f>
        <v>18.662130958577336</v>
      </c>
      <c r="D52" s="4">
        <f ca="1">$B52*('Updated Population'!D$48/'Updated Population'!$B$48)*('Total Trip Tables Sup #1'!D173/'Total Trip Tables Sup #1'!$B173)</f>
        <v>18.441292808993769</v>
      </c>
      <c r="E52" s="4">
        <f ca="1">$B52*('Updated Population'!E$48/'Updated Population'!$B$48)*('Total Trip Tables Sup #1'!E173/'Total Trip Tables Sup #1'!$B173)</f>
        <v>18.178700492901694</v>
      </c>
      <c r="F52" s="4">
        <f ca="1">$B52*('Updated Population'!F$48/'Updated Population'!$B$48)*('Total Trip Tables Sup #1'!F173/'Total Trip Tables Sup #1'!$B173)</f>
        <v>17.85684464756816</v>
      </c>
      <c r="G52" s="4">
        <f ca="1">$B52*('Updated Population'!G$48/'Updated Population'!$B$48)*('Total Trip Tables Sup #1'!G173/'Total Trip Tables Sup #1'!$B173)</f>
        <v>17.390088178416789</v>
      </c>
      <c r="H52" s="4">
        <f ca="1">$B52*('Updated Population'!H$48/'Updated Population'!$B$48)*('Total Trip Tables Sup #1'!H173/'Total Trip Tables Sup #1'!$B173)</f>
        <v>16.853587415303416</v>
      </c>
      <c r="I52" s="1">
        <f ca="1">$B52*('Updated Population'!I$48/'Updated Population'!$B$48)*('Total Trip Tables Sup #1'!I173/'Total Trip Tables Sup #1'!$B173)</f>
        <v>16.69540812165997</v>
      </c>
      <c r="J52" s="1">
        <f ca="1">$B52*('Updated Population'!J$48/'Updated Population'!$B$48)*('Total Trip Tables Sup #1'!J173/'Total Trip Tables Sup #1'!$B173)</f>
        <v>16.486067844791879</v>
      </c>
      <c r="K52" s="1">
        <f ca="1">$B52*('Updated Population'!K$48/'Updated Population'!$B$48)*('Total Trip Tables Sup #1'!K173/'Total Trip Tables Sup #1'!$B173)</f>
        <v>16.244367062671131</v>
      </c>
    </row>
    <row r="53" spans="1:11" x14ac:dyDescent="0.25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$B53*('Updated Population'!C$48/'Updated Population'!$B$48)*('Total Trip Tables Sup #1'!C174/'Total Trip Tables Sup #1'!$B174)</f>
        <v>2.4760853627599746E-2</v>
      </c>
      <c r="D53" s="4">
        <f ca="1">$B53*('Updated Population'!D$48/'Updated Population'!$B$48)*('Total Trip Tables Sup #1'!D174/'Total Trip Tables Sup #1'!$B174)</f>
        <v>2.6190495442018649E-2</v>
      </c>
      <c r="E53" s="4">
        <f ca="1">$B53*('Updated Population'!E$48/'Updated Population'!$B$48)*('Total Trip Tables Sup #1'!E174/'Total Trip Tables Sup #1'!$B174)</f>
        <v>2.7120258536333295E-2</v>
      </c>
      <c r="F53" s="4">
        <f ca="1">$B53*('Updated Population'!F$48/'Updated Population'!$B$48)*('Total Trip Tables Sup #1'!F174/'Total Trip Tables Sup #1'!$B174)</f>
        <v>2.7701823000140589E-2</v>
      </c>
      <c r="G53" s="4">
        <f ca="1">$B53*('Updated Population'!G$48/'Updated Population'!$B$48)*('Total Trip Tables Sup #1'!G174/'Total Trip Tables Sup #1'!$B174)</f>
        <v>2.777800594204494E-2</v>
      </c>
      <c r="H53" s="4">
        <f ca="1">$B53*('Updated Population'!H$48/'Updated Population'!$B$48)*('Total Trip Tables Sup #1'!H174/'Total Trip Tables Sup #1'!$B174)</f>
        <v>2.7759024856695465E-2</v>
      </c>
      <c r="I53" s="1">
        <f ca="1">$B53*('Updated Population'!I$48/'Updated Population'!$B$48)*('Total Trip Tables Sup #1'!I174/'Total Trip Tables Sup #1'!$B174)</f>
        <v>2.7498492612974115E-2</v>
      </c>
      <c r="J53" s="1">
        <f ca="1">$B53*('Updated Population'!J$48/'Updated Population'!$B$48)*('Total Trip Tables Sup #1'!J174/'Total Trip Tables Sup #1'!$B174)</f>
        <v>2.7153694689191293E-2</v>
      </c>
      <c r="K53" s="1">
        <f ca="1">$B53*('Updated Population'!K$48/'Updated Population'!$B$48)*('Total Trip Tables Sup #1'!K174/'Total Trip Tables Sup #1'!$B174)</f>
        <v>2.6755596773688727E-2</v>
      </c>
    </row>
    <row r="54" spans="1:11" x14ac:dyDescent="0.25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$B54*('Updated Population'!C$48/'Updated Population'!$B$48)*('Total Trip Tables Sup #1'!C175/'Total Trip Tables Sup #1'!$B175)</f>
        <v>0.20313478686516379</v>
      </c>
      <c r="D54" s="4">
        <f ca="1">$B54*('Updated Population'!D$48/'Updated Population'!$B$48)*('Total Trip Tables Sup #1'!D175/'Total Trip Tables Sup #1'!$B175)</f>
        <v>0.2015406188623261</v>
      </c>
      <c r="E54" s="4">
        <f ca="1">$B54*('Updated Population'!E$48/'Updated Population'!$B$48)*('Total Trip Tables Sup #1'!E175/'Total Trip Tables Sup #1'!$B175)</f>
        <v>0.19952180892108157</v>
      </c>
      <c r="F54" s="4">
        <f ca="1">$B54*('Updated Population'!F$48/'Updated Population'!$B$48)*('Total Trip Tables Sup #1'!F175/'Total Trip Tables Sup #1'!$B175)</f>
        <v>0.19619676335400357</v>
      </c>
      <c r="G54" s="4">
        <f ca="1">$B54*('Updated Population'!G$48/'Updated Population'!$B$48)*('Total Trip Tables Sup #1'!G175/'Total Trip Tables Sup #1'!$B175)</f>
        <v>0.18908213627723602</v>
      </c>
      <c r="H54" s="4">
        <f ca="1">$B54*('Updated Population'!H$48/'Updated Population'!$B$48)*('Total Trip Tables Sup #1'!H175/'Total Trip Tables Sup #1'!$B175)</f>
        <v>0.18107445353700174</v>
      </c>
      <c r="I54" s="1">
        <f ca="1">$B54*('Updated Population'!I$48/'Updated Population'!$B$48)*('Total Trip Tables Sup #1'!I175/'Total Trip Tables Sup #1'!$B175)</f>
        <v>0.17937497980173348</v>
      </c>
      <c r="J54" s="1">
        <f ca="1">$B54*('Updated Population'!J$48/'Updated Population'!$B$48)*('Total Trip Tables Sup #1'!J175/'Total Trip Tables Sup #1'!$B175)</f>
        <v>0.17712583394909709</v>
      </c>
      <c r="K54" s="1">
        <f ca="1">$B54*('Updated Population'!K$48/'Updated Population'!$B$48)*('Total Trip Tables Sup #1'!K175/'Total Trip Tables Sup #1'!$B175)</f>
        <v>0.17452900776820698</v>
      </c>
    </row>
    <row r="55" spans="1:11" x14ac:dyDescent="0.25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Trip Tables Sup #1'!C176/'Total Trip Tables Sup #1'!$B176)</f>
        <v>0</v>
      </c>
      <c r="D55" s="4">
        <f ca="1">$B55*('Updated Population'!D$48/'Updated Population'!$B$48)*('Total Trip Tables Sup #1'!D176/'Total Trip Tables Sup #1'!$B176)</f>
        <v>0</v>
      </c>
      <c r="E55" s="4">
        <f ca="1">$B55*('Updated Population'!E$48/'Updated Population'!$B$48)*('Total Trip Tables Sup #1'!E176/'Total Trip Tables Sup #1'!$B176)</f>
        <v>0</v>
      </c>
      <c r="F55" s="4">
        <f ca="1">$B55*('Updated Population'!F$48/'Updated Population'!$B$48)*('Total Trip Tables Sup #1'!F176/'Total Trip Tables Sup #1'!$B176)</f>
        <v>0</v>
      </c>
      <c r="G55" s="4">
        <f ca="1">$B55*('Updated Population'!G$48/'Updated Population'!$B$48)*('Total Trip Tables Sup #1'!G176/'Total Trip Tables Sup #1'!$B176)</f>
        <v>0</v>
      </c>
      <c r="H55" s="4">
        <f ca="1">$B55*('Updated Population'!H$48/'Updated Population'!$B$48)*('Total Trip Tables Sup #1'!H176/'Total Trip Tables Sup #1'!$B176)</f>
        <v>0</v>
      </c>
      <c r="I55" s="1">
        <f ca="1">$B55*('Updated Population'!I$48/'Updated Population'!$B$48)*('Total Trip Tables Sup #1'!I176/'Total Trip Tables Sup #1'!$B176)</f>
        <v>0</v>
      </c>
      <c r="J55" s="1">
        <f ca="1">$B55*('Updated Population'!J$48/'Updated Population'!$B$48)*('Total Trip Tables Sup #1'!J176/'Total Trip Tables Sup #1'!$B176)</f>
        <v>0</v>
      </c>
      <c r="K55" s="1">
        <f ca="1">$B55*('Updated Population'!K$48/'Updated Population'!$B$48)*('Total Trip Tables Sup #1'!K176/'Total Trip Tables Sup #1'!$B176)</f>
        <v>0</v>
      </c>
    </row>
    <row r="56" spans="1:11" x14ac:dyDescent="0.25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$B56*('Updated Population'!C$48/'Updated Population'!$B$48)*('Total Trip Tables Sup #1'!C177/'Total Trip Tables Sup #1'!$B177)</f>
        <v>0.37472890012505816</v>
      </c>
      <c r="D56" s="4">
        <f ca="1">$B56*('Updated Population'!D$48/'Updated Population'!$B$48)*('Total Trip Tables Sup #1'!D177/'Total Trip Tables Sup #1'!$B177)</f>
        <v>0.35910191415886372</v>
      </c>
      <c r="E56" s="4">
        <f ca="1">$B56*('Updated Population'!E$48/'Updated Population'!$B$48)*('Total Trip Tables Sup #1'!E177/'Total Trip Tables Sup #1'!$B177)</f>
        <v>0.34901747261403437</v>
      </c>
      <c r="F56" s="4">
        <f ca="1">$B56*('Updated Population'!F$48/'Updated Population'!$B$48)*('Total Trip Tables Sup #1'!F177/'Total Trip Tables Sup #1'!$B177)</f>
        <v>0.33493032381910587</v>
      </c>
      <c r="G56" s="4">
        <f ca="1">$B56*('Updated Population'!G$48/'Updated Population'!$B$48)*('Total Trip Tables Sup #1'!G177/'Total Trip Tables Sup #1'!$B177)</f>
        <v>0.32238617502491557</v>
      </c>
      <c r="H56" s="4">
        <f ca="1">$B56*('Updated Population'!H$48/'Updated Population'!$B$48)*('Total Trip Tables Sup #1'!H177/'Total Trip Tables Sup #1'!$B177)</f>
        <v>0.3087206389257206</v>
      </c>
      <c r="I56" s="1">
        <f ca="1">$B56*('Updated Population'!I$48/'Updated Population'!$B$48)*('Total Trip Tables Sup #1'!I177/'Total Trip Tables Sup #1'!$B177)</f>
        <v>0.30582314230407659</v>
      </c>
      <c r="J56" s="1">
        <f ca="1">$B56*('Updated Population'!J$48/'Updated Population'!$B$48)*('Total Trip Tables Sup #1'!J177/'Total Trip Tables Sup #1'!$B177)</f>
        <v>0.30198848903797604</v>
      </c>
      <c r="K56" s="1">
        <f ca="1">$B56*('Updated Population'!K$48/'Updated Population'!$B$48)*('Total Trip Tables Sup #1'!K177/'Total Trip Tables Sup #1'!$B177)</f>
        <v>0.29756106251764908</v>
      </c>
    </row>
    <row r="57" spans="1:11" x14ac:dyDescent="0.25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$B57*('Updated Population'!C$48/'Updated Population'!$B$48)*('Total Trip Tables Sup #1'!C178/'Total Trip Tables Sup #1'!$B178)</f>
        <v>1.7168904564589964E-2</v>
      </c>
      <c r="D57" s="4">
        <f ca="1">$B57*('Updated Population'!D$48/'Updated Population'!$B$48)*('Total Trip Tables Sup #1'!D178/'Total Trip Tables Sup #1'!$B178)</f>
        <v>1.8287703233869322E-2</v>
      </c>
      <c r="E57" s="4">
        <f ca="1">$B57*('Updated Population'!E$48/'Updated Population'!$B$48)*('Total Trip Tables Sup #1'!E178/'Total Trip Tables Sup #1'!$B178)</f>
        <v>1.8812481445908594E-2</v>
      </c>
      <c r="F57" s="4">
        <f ca="1">$B57*('Updated Population'!F$48/'Updated Population'!$B$48)*('Total Trip Tables Sup #1'!F178/'Total Trip Tables Sup #1'!$B178)</f>
        <v>1.901116761492359E-2</v>
      </c>
      <c r="G57" s="4">
        <f ca="1">$B57*('Updated Population'!G$48/'Updated Population'!$B$48)*('Total Trip Tables Sup #1'!G178/'Total Trip Tables Sup #1'!$B178)</f>
        <v>1.9493798652736861E-2</v>
      </c>
      <c r="H57" s="4">
        <f ca="1">$B57*('Updated Population'!H$48/'Updated Population'!$B$48)*('Total Trip Tables Sup #1'!H178/'Total Trip Tables Sup #1'!$B178)</f>
        <v>1.9774741203293696E-2</v>
      </c>
      <c r="I57" s="1">
        <f ca="1">$B57*('Updated Population'!I$48/'Updated Population'!$B$48)*('Total Trip Tables Sup #1'!I178/'Total Trip Tables Sup #1'!$B178)</f>
        <v>1.9589145429620088E-2</v>
      </c>
      <c r="J57" s="1">
        <f ca="1">$B57*('Updated Population'!J$48/'Updated Population'!$B$48)*('Total Trip Tables Sup #1'!J178/'Total Trip Tables Sup #1'!$B178)</f>
        <v>1.9343521177851982E-2</v>
      </c>
      <c r="K57" s="1">
        <f ca="1">$B57*('Updated Population'!K$48/'Updated Population'!$B$48)*('Total Trip Tables Sup #1'!K178/'Total Trip Tables Sup #1'!$B178)</f>
        <v>1.905992752521922E-2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$B58*('Updated Population'!C$48/'Updated Population'!$B$48)*('Total Trip Tables Sup #1'!C179/'Total Trip Tables Sup #1'!$B179)</f>
        <v>3.2133551042682153E-2</v>
      </c>
      <c r="D58" s="4">
        <f ca="1">$B58*('Updated Population'!D$48/'Updated Population'!$B$48)*('Total Trip Tables Sup #1'!D179/'Total Trip Tables Sup #1'!$B179)</f>
        <v>3.2910014272751684E-2</v>
      </c>
      <c r="E58" s="4">
        <f ca="1">$B58*('Updated Population'!E$48/'Updated Population'!$B$48)*('Total Trip Tables Sup #1'!E179/'Total Trip Tables Sup #1'!$B179)</f>
        <v>3.3364734163073569E-2</v>
      </c>
      <c r="F58" s="4">
        <f ca="1">$B58*('Updated Population'!F$48/'Updated Population'!$B$48)*('Total Trip Tables Sup #1'!F179/'Total Trip Tables Sup #1'!$B179)</f>
        <v>3.3519266163900822E-2</v>
      </c>
      <c r="G58" s="4">
        <f ca="1">$B58*('Updated Population'!G$48/'Updated Population'!$B$48)*('Total Trip Tables Sup #1'!G179/'Total Trip Tables Sup #1'!$B179)</f>
        <v>3.3322995100529371E-2</v>
      </c>
      <c r="H58" s="4">
        <f ca="1">$B58*('Updated Population'!H$48/'Updated Population'!$B$48)*('Total Trip Tables Sup #1'!H179/'Total Trip Tables Sup #1'!$B179)</f>
        <v>3.2672351234269981E-2</v>
      </c>
      <c r="I58" s="1">
        <f ca="1">$B58*('Updated Population'!I$48/'Updated Population'!$B$48)*('Total Trip Tables Sup #1'!I179/'Total Trip Tables Sup #1'!$B179)</f>
        <v>3.2365704980712437E-2</v>
      </c>
      <c r="J58" s="1">
        <f ca="1">$B58*('Updated Population'!J$48/'Updated Population'!$B$48)*('Total Trip Tables Sup #1'!J179/'Total Trip Tables Sup #1'!$B179)</f>
        <v>3.1959878085537401E-2</v>
      </c>
      <c r="K58" s="1">
        <f ca="1">$B58*('Updated Population'!K$48/'Updated Population'!$B$48)*('Total Trip Tables Sup #1'!K179/'Total Trip Tables Sup #1'!$B179)</f>
        <v>3.1491317140472604E-2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$B60*('Updated Population'!C$59/'Updated Population'!$B$59)*('Total Trip Tables Sup #1'!C170/'Total Trip Tables Sup #1'!$B170)</f>
        <v>27.132324281745401</v>
      </c>
      <c r="D60" s="4">
        <f ca="1">$B60*('Updated Population'!D$59/'Updated Population'!$B$59)*('Total Trip Tables Sup #1'!D170/'Total Trip Tables Sup #1'!$B170)</f>
        <v>27.212587831639166</v>
      </c>
      <c r="E60" s="4">
        <f ca="1">$B60*('Updated Population'!E$59/'Updated Population'!$B$59)*('Total Trip Tables Sup #1'!E170/'Total Trip Tables Sup #1'!$B170)</f>
        <v>27.006618411704359</v>
      </c>
      <c r="F60" s="4">
        <f ca="1">$B60*('Updated Population'!F$59/'Updated Population'!$B$59)*('Total Trip Tables Sup #1'!F170/'Total Trip Tables Sup #1'!$B170)</f>
        <v>26.510126206558688</v>
      </c>
      <c r="G60" s="4">
        <f ca="1">$B60*('Updated Population'!G$59/'Updated Population'!$B$59)*('Total Trip Tables Sup #1'!G170/'Total Trip Tables Sup #1'!$B170)</f>
        <v>25.869273181028998</v>
      </c>
      <c r="H60" s="4">
        <f ca="1">$B60*('Updated Population'!H$59/'Updated Population'!$B$59)*('Total Trip Tables Sup #1'!H170/'Total Trip Tables Sup #1'!$B170)</f>
        <v>25.130027741716027</v>
      </c>
      <c r="I60" s="1">
        <f ca="1">$B60*('Updated Population'!I$59/'Updated Population'!$B$59)*('Total Trip Tables Sup #1'!I170/'Total Trip Tables Sup #1'!$B170)</f>
        <v>24.956166259450168</v>
      </c>
      <c r="J60" s="1">
        <f ca="1">$B60*('Updated Population'!J$59/'Updated Population'!$B$59)*('Total Trip Tables Sup #1'!J170/'Total Trip Tables Sup #1'!$B170)</f>
        <v>24.704617458492624</v>
      </c>
      <c r="K60" s="1">
        <f ca="1">$B60*('Updated Population'!K$59/'Updated Population'!$B$59)*('Total Trip Tables Sup #1'!K170/'Total Trip Tables Sup #1'!$B170)</f>
        <v>24.403047502346602</v>
      </c>
    </row>
    <row r="61" spans="1:11" x14ac:dyDescent="0.25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$B61*('Updated Population'!C$59/'Updated Population'!$B$59)*('Total Trip Tables Sup #1'!C171/'Total Trip Tables Sup #1'!$B171)</f>
        <v>3.2197064837999205</v>
      </c>
      <c r="D61" s="4">
        <f ca="1">$B61*('Updated Population'!D$59/'Updated Population'!$B$59)*('Total Trip Tables Sup #1'!D171/'Total Trip Tables Sup #1'!$B171)</f>
        <v>3.1777750430973377</v>
      </c>
      <c r="E61" s="4">
        <f ca="1">$B61*('Updated Population'!E$59/'Updated Population'!$B$59)*('Total Trip Tables Sup #1'!E171/'Total Trip Tables Sup #1'!$B171)</f>
        <v>3.1022242888241749</v>
      </c>
      <c r="F61" s="4">
        <f ca="1">$B61*('Updated Population'!F$59/'Updated Population'!$B$59)*('Total Trip Tables Sup #1'!F171/'Total Trip Tables Sup #1'!$B171)</f>
        <v>3.0216258695633194</v>
      </c>
      <c r="G61" s="4">
        <f ca="1">$B61*('Updated Population'!G$59/'Updated Population'!$B$59)*('Total Trip Tables Sup #1'!G171/'Total Trip Tables Sup #1'!$B171)</f>
        <v>2.9394623937418345</v>
      </c>
      <c r="H61" s="4">
        <f ca="1">$B61*('Updated Population'!H$59/'Updated Population'!$B$59)*('Total Trip Tables Sup #1'!H171/'Total Trip Tables Sup #1'!$B171)</f>
        <v>2.8563129218802006</v>
      </c>
      <c r="I61" s="1">
        <f ca="1">$B61*('Updated Population'!I$59/'Updated Population'!$B$59)*('Total Trip Tables Sup #1'!I171/'Total Trip Tables Sup #1'!$B171)</f>
        <v>2.8365515907938503</v>
      </c>
      <c r="J61" s="1">
        <f ca="1">$B61*('Updated Population'!J$59/'Updated Population'!$B$59)*('Total Trip Tables Sup #1'!J171/'Total Trip Tables Sup #1'!$B171)</f>
        <v>2.807960214053514</v>
      </c>
      <c r="K61" s="1">
        <f ca="1">$B61*('Updated Population'!K$59/'Updated Population'!$B$59)*('Total Trip Tables Sup #1'!K171/'Total Trip Tables Sup #1'!$B171)</f>
        <v>2.7736833651998682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$B62*('Updated Population'!C$59/'Updated Population'!$B$59)*('Total Trip Tables Sup #1'!C172/'Total Trip Tables Sup #1'!$B172)</f>
        <v>116.59098331549851</v>
      </c>
      <c r="D62" s="4">
        <f ca="1">$B62*('Updated Population'!D$59/'Updated Population'!$B$59)*('Total Trip Tables Sup #1'!D172/'Total Trip Tables Sup #1'!$B172)</f>
        <v>118.74311145939701</v>
      </c>
      <c r="E62" s="4">
        <f ca="1">$B62*('Updated Population'!E$59/'Updated Population'!$B$59)*('Total Trip Tables Sup #1'!E172/'Total Trip Tables Sup #1'!$B172)</f>
        <v>120.86274830860685</v>
      </c>
      <c r="F62" s="4">
        <f ca="1">$B62*('Updated Population'!F$59/'Updated Population'!$B$59)*('Total Trip Tables Sup #1'!F172/'Total Trip Tables Sup #1'!$B172)</f>
        <v>122.09609883565938</v>
      </c>
      <c r="G62" s="4">
        <f ca="1">$B62*('Updated Population'!G$59/'Updated Population'!$B$59)*('Total Trip Tables Sup #1'!G172/'Total Trip Tables Sup #1'!$B172)</f>
        <v>121.86110907440302</v>
      </c>
      <c r="H62" s="4">
        <f ca="1">$B62*('Updated Population'!H$59/'Updated Population'!$B$59)*('Total Trip Tables Sup #1'!H172/'Total Trip Tables Sup #1'!$B172)</f>
        <v>120.97014902561608</v>
      </c>
      <c r="I62" s="1">
        <f ca="1">$B62*('Updated Population'!I$59/'Updated Population'!$B$59)*('Total Trip Tables Sup #1'!I172/'Total Trip Tables Sup #1'!$B172)</f>
        <v>120.13322000843866</v>
      </c>
      <c r="J62" s="1">
        <f ca="1">$B62*('Updated Population'!J$59/'Updated Population'!$B$59)*('Total Trip Tables Sup #1'!J172/'Total Trip Tables Sup #1'!$B172)</f>
        <v>118.92232218326296</v>
      </c>
      <c r="K62" s="1">
        <f ca="1">$B62*('Updated Population'!K$59/'Updated Population'!$B$59)*('Total Trip Tables Sup #1'!K172/'Total Trip Tables Sup #1'!$B172)</f>
        <v>117.47063407087484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$B63*('Updated Population'!C$59/'Updated Population'!$B$59)*('Total Trip Tables Sup #1'!C173/'Total Trip Tables Sup #1'!$B173)</f>
        <v>58.473221296359377</v>
      </c>
      <c r="D63" s="4">
        <f ca="1">$B63*('Updated Population'!D$59/'Updated Population'!$B$59)*('Total Trip Tables Sup #1'!D173/'Total Trip Tables Sup #1'!$B173)</f>
        <v>57.869377807094374</v>
      </c>
      <c r="E63" s="4">
        <f ca="1">$B63*('Updated Population'!E$59/'Updated Population'!$B$59)*('Total Trip Tables Sup #1'!E173/'Total Trip Tables Sup #1'!$B173)</f>
        <v>57.202518943593546</v>
      </c>
      <c r="F63" s="4">
        <f ca="1">$B63*('Updated Population'!F$59/'Updated Population'!$B$59)*('Total Trip Tables Sup #1'!F173/'Total Trip Tables Sup #1'!$B173)</f>
        <v>56.281989432578897</v>
      </c>
      <c r="G63" s="4">
        <f ca="1">$B63*('Updated Population'!G$59/'Updated Population'!$B$59)*('Total Trip Tables Sup #1'!G173/'Total Trip Tables Sup #1'!$B173)</f>
        <v>54.984189701999753</v>
      </c>
      <c r="H63" s="4">
        <f ca="1">$B63*('Updated Population'!H$59/'Updated Population'!$B$59)*('Total Trip Tables Sup #1'!H173/'Total Trip Tables Sup #1'!$B173)</f>
        <v>53.42058300363307</v>
      </c>
      <c r="I63" s="1">
        <f ca="1">$B63*('Updated Population'!I$59/'Updated Population'!$B$59)*('Total Trip Tables Sup #1'!I173/'Total Trip Tables Sup #1'!$B173)</f>
        <v>53.050994006757421</v>
      </c>
      <c r="J63" s="1">
        <f ca="1">$B63*('Updated Population'!J$59/'Updated Population'!$B$59)*('Total Trip Tables Sup #1'!J173/'Total Trip Tables Sup #1'!$B173)</f>
        <v>52.516259873586932</v>
      </c>
      <c r="K63" s="1">
        <f ca="1">$B63*('Updated Population'!K$59/'Updated Population'!$B$59)*('Total Trip Tables Sup #1'!K173/'Total Trip Tables Sup #1'!$B173)</f>
        <v>51.875192420766027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$B64*('Updated Population'!C$59/'Updated Population'!$B$59)*('Total Trip Tables Sup #1'!C174/'Total Trip Tables Sup #1'!$B174)</f>
        <v>0.35699536920073216</v>
      </c>
      <c r="D64" s="4">
        <f ca="1">$B64*('Updated Population'!D$59/'Updated Population'!$B$59)*('Total Trip Tables Sup #1'!D174/'Total Trip Tables Sup #1'!$B174)</f>
        <v>0.37818329906387971</v>
      </c>
      <c r="E64" s="4">
        <f ca="1">$B64*('Updated Population'!E$59/'Updated Population'!$B$59)*('Total Trip Tables Sup #1'!E174/'Total Trip Tables Sup #1'!$B174)</f>
        <v>0.39268772618175724</v>
      </c>
      <c r="F64" s="4">
        <f ca="1">$B64*('Updated Population'!F$59/'Updated Population'!$B$59)*('Total Trip Tables Sup #1'!F174/'Total Trip Tables Sup #1'!$B174)</f>
        <v>0.40176699121508913</v>
      </c>
      <c r="G64" s="4">
        <f ca="1">$B64*('Updated Population'!G$59/'Updated Population'!$B$59)*('Total Trip Tables Sup #1'!G174/'Total Trip Tables Sup #1'!$B174)</f>
        <v>0.40414600884124108</v>
      </c>
      <c r="H64" s="4">
        <f ca="1">$B64*('Updated Population'!H$59/'Updated Population'!$B$59)*('Total Trip Tables Sup #1'!H174/'Total Trip Tables Sup #1'!$B174)</f>
        <v>0.40487564590020703</v>
      </c>
      <c r="I64" s="1">
        <f ca="1">$B64*('Updated Population'!I$59/'Updated Population'!$B$59)*('Total Trip Tables Sup #1'!I174/'Total Trip Tables Sup #1'!$B174)</f>
        <v>0.40207452364705859</v>
      </c>
      <c r="J64" s="1">
        <f ca="1">$B64*('Updated Population'!J$59/'Updated Population'!$B$59)*('Total Trip Tables Sup #1'!J174/'Total Trip Tables Sup #1'!$B174)</f>
        <v>0.39802176316824539</v>
      </c>
      <c r="K64" s="1">
        <f ca="1">$B64*('Updated Population'!K$59/'Updated Population'!$B$59)*('Total Trip Tables Sup #1'!K174/'Total Trip Tables Sup #1'!$B174)</f>
        <v>0.39316310037512658</v>
      </c>
    </row>
    <row r="65" spans="1:11" x14ac:dyDescent="0.25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$B65*('Updated Population'!C$59/'Updated Population'!$B$59)*('Total Trip Tables Sup #1'!C175/'Total Trip Tables Sup #1'!$B175)</f>
        <v>0.66271213747215363</v>
      </c>
      <c r="D65" s="4">
        <f ca="1">$B65*('Updated Population'!D$59/'Updated Population'!$B$59)*('Total Trip Tables Sup #1'!D175/'Total Trip Tables Sup #1'!$B175)</f>
        <v>0.6585137869858203</v>
      </c>
      <c r="E65" s="4">
        <f ca="1">$B65*('Updated Population'!E$59/'Updated Population'!$B$59)*('Total Trip Tables Sup #1'!E175/'Total Trip Tables Sup #1'!$B175)</f>
        <v>0.65371361111078174</v>
      </c>
      <c r="F65" s="4">
        <f ca="1">$B65*('Updated Population'!F$59/'Updated Population'!$B$59)*('Total Trip Tables Sup #1'!F175/'Total Trip Tables Sup #1'!$B175)</f>
        <v>0.64387474862404959</v>
      </c>
      <c r="G65" s="4">
        <f ca="1">$B65*('Updated Population'!G$59/'Updated Population'!$B$59)*('Total Trip Tables Sup #1'!G175/'Total Trip Tables Sup #1'!$B175)</f>
        <v>0.62248856839310729</v>
      </c>
      <c r="H65" s="4">
        <f ca="1">$B65*('Updated Population'!H$59/'Updated Population'!$B$59)*('Total Trip Tables Sup #1'!H175/'Total Trip Tables Sup #1'!$B175)</f>
        <v>0.59761058808208667</v>
      </c>
      <c r="I65" s="1">
        <f ca="1">$B65*('Updated Population'!I$59/'Updated Population'!$B$59)*('Total Trip Tables Sup #1'!I175/'Total Trip Tables Sup #1'!$B175)</f>
        <v>0.59347603384563252</v>
      </c>
      <c r="J65" s="1">
        <f ca="1">$B65*('Updated Population'!J$59/'Updated Population'!$B$59)*('Total Trip Tables Sup #1'!J175/'Total Trip Tables Sup #1'!$B175)</f>
        <v>0.58749401789178479</v>
      </c>
      <c r="K65" s="1">
        <f ca="1">$B65*('Updated Population'!K$59/'Updated Population'!$B$59)*('Total Trip Tables Sup #1'!K175/'Total Trip Tables Sup #1'!$B175)</f>
        <v>0.58032246198692816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Trip Tables Sup #1'!C176/'Total Trip Tables Sup #1'!$B176)</f>
        <v>0</v>
      </c>
      <c r="D66" s="4">
        <f ca="1">$B66*('Updated Population'!D$59/'Updated Population'!$B$59)*('Total Trip Tables Sup #1'!D176/'Total Trip Tables Sup #1'!$B176)</f>
        <v>0</v>
      </c>
      <c r="E66" s="4">
        <f ca="1">$B66*('Updated Population'!E$59/'Updated Population'!$B$59)*('Total Trip Tables Sup #1'!E176/'Total Trip Tables Sup #1'!$B176)</f>
        <v>0</v>
      </c>
      <c r="F66" s="4">
        <f ca="1">$B66*('Updated Population'!F$59/'Updated Population'!$B$59)*('Total Trip Tables Sup #1'!F176/'Total Trip Tables Sup #1'!$B176)</f>
        <v>0</v>
      </c>
      <c r="G66" s="4">
        <f ca="1">$B66*('Updated Population'!G$59/'Updated Population'!$B$59)*('Total Trip Tables Sup #1'!G176/'Total Trip Tables Sup #1'!$B176)</f>
        <v>0</v>
      </c>
      <c r="H66" s="4">
        <f ca="1">$B66*('Updated Population'!H$59/'Updated Population'!$B$59)*('Total Trip Tables Sup #1'!H176/'Total Trip Tables Sup #1'!$B176)</f>
        <v>0</v>
      </c>
      <c r="I66" s="1">
        <f ca="1">$B66*('Updated Population'!I$59/'Updated Population'!$B$59)*('Total Trip Tables Sup #1'!I176/'Total Trip Tables Sup #1'!$B176)</f>
        <v>0</v>
      </c>
      <c r="J66" s="1">
        <f ca="1">$B66*('Updated Population'!J$59/'Updated Population'!$B$59)*('Total Trip Tables Sup #1'!J176/'Total Trip Tables Sup #1'!$B176)</f>
        <v>0</v>
      </c>
      <c r="K66" s="1">
        <f ca="1">$B66*('Updated Population'!K$59/'Updated Population'!$B$59)*('Total Trip Tables Sup #1'!K176/'Total Trip Tables Sup #1'!$B176)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$B67*('Updated Population'!C$59/'Updated Population'!$B$59)*('Total Trip Tables Sup #1'!C177/'Total Trip Tables Sup #1'!$B177)</f>
        <v>4.3268322658750193</v>
      </c>
      <c r="D67" s="4">
        <f ca="1">$B67*('Updated Population'!D$59/'Updated Population'!$B$59)*('Total Trip Tables Sup #1'!D177/'Total Trip Tables Sup #1'!$B177)</f>
        <v>4.1527162150401171</v>
      </c>
      <c r="E67" s="4">
        <f ca="1">$B67*('Updated Population'!E$59/'Updated Population'!$B$59)*('Total Trip Tables Sup #1'!E177/'Total Trip Tables Sup #1'!$B177)</f>
        <v>4.0472177643308651</v>
      </c>
      <c r="F67" s="4">
        <f ca="1">$B67*('Updated Population'!F$59/'Updated Population'!$B$59)*('Total Trip Tables Sup #1'!F177/'Total Trip Tables Sup #1'!$B177)</f>
        <v>3.8902389110785776</v>
      </c>
      <c r="G67" s="4">
        <f ca="1">$B67*('Updated Population'!G$59/'Updated Population'!$B$59)*('Total Trip Tables Sup #1'!G177/'Total Trip Tables Sup #1'!$B177)</f>
        <v>3.7563801665375074</v>
      </c>
      <c r="H67" s="4">
        <f ca="1">$B67*('Updated Population'!H$59/'Updated Population'!$B$59)*('Total Trip Tables Sup #1'!H177/'Total Trip Tables Sup #1'!$B177)</f>
        <v>3.606110363025532</v>
      </c>
      <c r="I67" s="1">
        <f ca="1">$B67*('Updated Population'!I$59/'Updated Population'!$B$59)*('Total Trip Tables Sup #1'!I177/'Total Trip Tables Sup #1'!$B177)</f>
        <v>3.5811615766822076</v>
      </c>
      <c r="J67" s="1">
        <f ca="1">$B67*('Updated Population'!J$59/'Updated Population'!$B$59)*('Total Trip Tables Sup #1'!J177/'Total Trip Tables Sup #1'!$B177)</f>
        <v>3.5450648104047144</v>
      </c>
      <c r="K67" s="1">
        <f ca="1">$B67*('Updated Population'!K$59/'Updated Population'!$B$59)*('Total Trip Tables Sup #1'!K177/'Total Trip Tables Sup #1'!$B177)</f>
        <v>3.5017901051313065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Trip Tables Sup #1'!C178/'Total Trip Tables Sup #1'!$B178)</f>
        <v>0</v>
      </c>
      <c r="D68" s="4">
        <f ca="1">$B68*('Updated Population'!D$59/'Updated Population'!$B$59)*('Total Trip Tables Sup #1'!D178/'Total Trip Tables Sup #1'!$B178)</f>
        <v>0</v>
      </c>
      <c r="E68" s="4">
        <f ca="1">$B68*('Updated Population'!E$59/'Updated Population'!$B$59)*('Total Trip Tables Sup #1'!E178/'Total Trip Tables Sup #1'!$B178)</f>
        <v>0</v>
      </c>
      <c r="F68" s="4">
        <f ca="1">$B68*('Updated Population'!F$59/'Updated Population'!$B$59)*('Total Trip Tables Sup #1'!F178/'Total Trip Tables Sup #1'!$B178)</f>
        <v>0</v>
      </c>
      <c r="G68" s="4">
        <f ca="1">$B68*('Updated Population'!G$59/'Updated Population'!$B$59)*('Total Trip Tables Sup #1'!G178/'Total Trip Tables Sup #1'!$B178)</f>
        <v>0</v>
      </c>
      <c r="H68" s="4">
        <f ca="1">$B68*('Updated Population'!H$59/'Updated Population'!$B$59)*('Total Trip Tables Sup #1'!H178/'Total Trip Tables Sup #1'!$B178)</f>
        <v>0</v>
      </c>
      <c r="I68" s="1">
        <f ca="1">$B68*('Updated Population'!I$59/'Updated Population'!$B$59)*('Total Trip Tables Sup #1'!I178/'Total Trip Tables Sup #1'!$B178)</f>
        <v>0</v>
      </c>
      <c r="J68" s="1">
        <f ca="1">$B68*('Updated Population'!J$59/'Updated Population'!$B$59)*('Total Trip Tables Sup #1'!J178/'Total Trip Tables Sup #1'!$B178)</f>
        <v>0</v>
      </c>
      <c r="K68" s="1">
        <f ca="1">$B68*('Updated Population'!K$59/'Updated Population'!$B$59)*('Total Trip Tables Sup #1'!K178/'Total Trip Tables Sup #1'!$B178)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$B69*('Updated Population'!C$59/'Updated Population'!$B$59)*('Total Trip Tables Sup #1'!C179/'Total Trip Tables Sup #1'!$B179)</f>
        <v>0.50715770382900838</v>
      </c>
      <c r="D69" s="4">
        <f ca="1">$B69*('Updated Population'!D$59/'Updated Population'!$B$59)*('Total Trip Tables Sup #1'!D179/'Total Trip Tables Sup #1'!$B179)</f>
        <v>0.52020442034997849</v>
      </c>
      <c r="E69" s="4">
        <f ca="1">$B69*('Updated Population'!E$59/'Updated Population'!$B$59)*('Total Trip Tables Sup #1'!E179/'Total Trip Tables Sup #1'!$B179)</f>
        <v>0.52884512621334012</v>
      </c>
      <c r="F69" s="4">
        <f ca="1">$B69*('Updated Population'!F$59/'Updated Population'!$B$59)*('Total Trip Tables Sup #1'!F179/'Total Trip Tables Sup #1'!$B179)</f>
        <v>0.53216675494278953</v>
      </c>
      <c r="G69" s="4">
        <f ca="1">$B69*('Updated Population'!G$59/'Updated Population'!$B$59)*('Total Trip Tables Sup #1'!G179/'Total Trip Tables Sup #1'!$B179)</f>
        <v>0.53072383519494637</v>
      </c>
      <c r="H69" s="4">
        <f ca="1">$B69*('Updated Population'!H$59/'Updated Population'!$B$59)*('Total Trip Tables Sup #1'!H179/'Total Trip Tables Sup #1'!$B179)</f>
        <v>0.52165716011166818</v>
      </c>
      <c r="I69" s="1">
        <f ca="1">$B69*('Updated Population'!I$59/'Updated Population'!$B$59)*('Total Trip Tables Sup #1'!I179/'Total Trip Tables Sup #1'!$B179)</f>
        <v>0.5180480878088527</v>
      </c>
      <c r="J69" s="1">
        <f ca="1">$B69*('Updated Population'!J$59/'Updated Population'!$B$59)*('Total Trip Tables Sup #1'!J179/'Total Trip Tables Sup #1'!$B179)</f>
        <v>0.51282635727653114</v>
      </c>
      <c r="K69" s="1">
        <f ca="1">$B69*('Updated Population'!K$59/'Updated Population'!$B$59)*('Total Trip Tables Sup #1'!K179/'Total Trip Tables Sup #1'!$B179)</f>
        <v>0.50656627159278189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$B71*('Updated Population'!C$70/'Updated Population'!$B$70)*('Total Trip Tables Sup #1'!C170/'Total Trip Tables Sup #1'!$B170)</f>
        <v>24.055339228926819</v>
      </c>
      <c r="D71" s="4">
        <f ca="1">$B71*('Updated Population'!D$70/'Updated Population'!$B$70)*('Total Trip Tables Sup #1'!D170/'Total Trip Tables Sup #1'!$B170)</f>
        <v>24.326060642412305</v>
      </c>
      <c r="E71" s="4">
        <f ca="1">$B71*('Updated Population'!E$70/'Updated Population'!$B$70)*('Total Trip Tables Sup #1'!E170/'Total Trip Tables Sup #1'!$B170)</f>
        <v>24.369233053427156</v>
      </c>
      <c r="F71" s="4">
        <f ca="1">$B71*('Updated Population'!F$70/'Updated Population'!$B$70)*('Total Trip Tables Sup #1'!F170/'Total Trip Tables Sup #1'!$B170)</f>
        <v>24.174649994311018</v>
      </c>
      <c r="G71" s="4">
        <f ca="1">$B71*('Updated Population'!G$70/'Updated Population'!$B$70)*('Total Trip Tables Sup #1'!G170/'Total Trip Tables Sup #1'!$B170)</f>
        <v>23.876160194508508</v>
      </c>
      <c r="H71" s="4">
        <f ca="1">$B71*('Updated Population'!H$70/'Updated Population'!$B$70)*('Total Trip Tables Sup #1'!H170/'Total Trip Tables Sup #1'!$B170)</f>
        <v>23.508999778738954</v>
      </c>
      <c r="I71" s="1">
        <f ca="1">$B71*('Updated Population'!I$70/'Updated Population'!$B$70)*('Total Trip Tables Sup #1'!I170/'Total Trip Tables Sup #1'!$B170)</f>
        <v>23.663554522647679</v>
      </c>
      <c r="J71" s="1">
        <f ca="1">$B71*('Updated Population'!J$70/'Updated Population'!$B$70)*('Total Trip Tables Sup #1'!J170/'Total Trip Tables Sup #1'!$B170)</f>
        <v>23.743304972560619</v>
      </c>
      <c r="K71" s="1">
        <f ca="1">$B71*('Updated Population'!K$70/'Updated Population'!$B$70)*('Total Trip Tables Sup #1'!K170/'Total Trip Tables Sup #1'!$B170)</f>
        <v>23.772126333586996</v>
      </c>
    </row>
    <row r="72" spans="1:11" x14ac:dyDescent="0.25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$B72*('Updated Population'!C$70/'Updated Population'!$B$70)*('Total Trip Tables Sup #1'!C171/'Total Trip Tables Sup #1'!$B171)</f>
        <v>2.2074102842645145</v>
      </c>
      <c r="D72" s="4">
        <f ca="1">$B72*('Updated Population'!D$70/'Updated Population'!$B$70)*('Total Trip Tables Sup #1'!D171/'Total Trip Tables Sup #1'!$B171)</f>
        <v>2.1966829743006184</v>
      </c>
      <c r="E72" s="4">
        <f ca="1">$B72*('Updated Population'!E$70/'Updated Population'!$B$70)*('Total Trip Tables Sup #1'!E171/'Total Trip Tables Sup #1'!$B171)</f>
        <v>2.1646472786575397</v>
      </c>
      <c r="F72" s="4">
        <f ca="1">$B72*('Updated Population'!F$70/'Updated Population'!$B$70)*('Total Trip Tables Sup #1'!F171/'Total Trip Tables Sup #1'!$B171)</f>
        <v>2.1307445314640283</v>
      </c>
      <c r="G72" s="4">
        <f ca="1">$B72*('Updated Population'!G$70/'Updated Population'!$B$70)*('Total Trip Tables Sup #1'!G171/'Total Trip Tables Sup #1'!$B171)</f>
        <v>2.0979274149308984</v>
      </c>
      <c r="H72" s="4">
        <f ca="1">$B72*('Updated Population'!H$70/'Updated Population'!$B$70)*('Total Trip Tables Sup #1'!H171/'Total Trip Tables Sup #1'!$B171)</f>
        <v>2.0662804242025499</v>
      </c>
      <c r="I72" s="1">
        <f ca="1">$B72*('Updated Population'!I$70/'Updated Population'!$B$70)*('Total Trip Tables Sup #1'!I171/'Total Trip Tables Sup #1'!$B171)</f>
        <v>2.0798647299923285</v>
      </c>
      <c r="J72" s="1">
        <f ca="1">$B72*('Updated Population'!J$70/'Updated Population'!$B$70)*('Total Trip Tables Sup #1'!J171/'Total Trip Tables Sup #1'!$B171)</f>
        <v>2.0868742495391994</v>
      </c>
      <c r="K72" s="1">
        <f ca="1">$B72*('Updated Population'!K$70/'Updated Population'!$B$70)*('Total Trip Tables Sup #1'!K171/'Total Trip Tables Sup #1'!$B171)</f>
        <v>2.089407450213332</v>
      </c>
    </row>
    <row r="73" spans="1:11" x14ac:dyDescent="0.25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$B73*('Updated Population'!C$70/'Updated Population'!$B$70)*('Total Trip Tables Sup #1'!C172/'Total Trip Tables Sup #1'!$B172)</f>
        <v>96.129586439910994</v>
      </c>
      <c r="D73" s="4">
        <f ca="1">$B73*('Updated Population'!D$70/'Updated Population'!$B$70)*('Total Trip Tables Sup #1'!D172/'Total Trip Tables Sup #1'!$B172)</f>
        <v>98.713826745962521</v>
      </c>
      <c r="E73" s="4">
        <f ca="1">$B73*('Updated Population'!E$70/'Updated Population'!$B$70)*('Total Trip Tables Sup #1'!E172/'Total Trip Tables Sup #1'!$B172)</f>
        <v>101.42189968005195</v>
      </c>
      <c r="F73" s="4">
        <f ca="1">$B73*('Updated Population'!F$70/'Updated Population'!$B$70)*('Total Trip Tables Sup #1'!F172/'Total Trip Tables Sup #1'!$B172)</f>
        <v>103.54230044013246</v>
      </c>
      <c r="G73" s="4">
        <f ca="1">$B73*('Updated Population'!G$70/'Updated Population'!$B$70)*('Total Trip Tables Sup #1'!G172/'Total Trip Tables Sup #1'!$B172)</f>
        <v>104.59550126986066</v>
      </c>
      <c r="H73" s="4">
        <f ca="1">$B73*('Updated Population'!H$70/'Updated Population'!$B$70)*('Total Trip Tables Sup #1'!H172/'Total Trip Tables Sup #1'!$B172)</f>
        <v>105.24149812632497</v>
      </c>
      <c r="I73" s="1">
        <f ca="1">$B73*('Updated Population'!I$70/'Updated Population'!$B$70)*('Total Trip Tables Sup #1'!I172/'Total Trip Tables Sup #1'!$B172)</f>
        <v>105.93338518849572</v>
      </c>
      <c r="J73" s="1">
        <f ca="1">$B73*('Updated Population'!J$70/'Updated Population'!$B$70)*('Total Trip Tables Sup #1'!J172/'Total Trip Tables Sup #1'!$B172)</f>
        <v>106.29039981710945</v>
      </c>
      <c r="K73" s="1">
        <f ca="1">$B73*('Updated Population'!K$70/'Updated Population'!$B$70)*('Total Trip Tables Sup #1'!K172/'Total Trip Tables Sup #1'!$B172)</f>
        <v>106.41942288236119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$B74*('Updated Population'!C$70/'Updated Population'!$B$70)*('Total Trip Tables Sup #1'!C173/'Total Trip Tables Sup #1'!$B173)</f>
        <v>45.894391149275904</v>
      </c>
      <c r="D74" s="4">
        <f ca="1">$B74*('Updated Population'!D$70/'Updated Population'!$B$70)*('Total Trip Tables Sup #1'!D173/'Total Trip Tables Sup #1'!$B173)</f>
        <v>45.796138540744167</v>
      </c>
      <c r="E74" s="4">
        <f ca="1">$B74*('Updated Population'!E$70/'Updated Population'!$B$70)*('Total Trip Tables Sup #1'!E173/'Total Trip Tables Sup #1'!$B173)</f>
        <v>45.694603478535683</v>
      </c>
      <c r="F74" s="4">
        <f ca="1">$B74*('Updated Population'!F$70/'Updated Population'!$B$70)*('Total Trip Tables Sup #1'!F173/'Total Trip Tables Sup #1'!$B173)</f>
        <v>45.435566390816788</v>
      </c>
      <c r="G74" s="4">
        <f ca="1">$B74*('Updated Population'!G$70/'Updated Population'!$B$70)*('Total Trip Tables Sup #1'!G173/'Total Trip Tables Sup #1'!$B173)</f>
        <v>44.925838604100711</v>
      </c>
      <c r="H74" s="4">
        <f ca="1">$B74*('Updated Population'!H$70/'Updated Population'!$B$70)*('Total Trip Tables Sup #1'!H173/'Total Trip Tables Sup #1'!$B173)</f>
        <v>44.241303417792857</v>
      </c>
      <c r="I74" s="1">
        <f ca="1">$B74*('Updated Population'!I$70/'Updated Population'!$B$70)*('Total Trip Tables Sup #1'!I173/'Total Trip Tables Sup #1'!$B173)</f>
        <v>44.532158128085932</v>
      </c>
      <c r="J74" s="1">
        <f ca="1">$B74*('Updated Population'!J$70/'Updated Population'!$B$70)*('Total Trip Tables Sup #1'!J173/'Total Trip Tables Sup #1'!$B173)</f>
        <v>44.682239538843987</v>
      </c>
      <c r="K74" s="1">
        <f ca="1">$B74*('Updated Population'!K$70/'Updated Population'!$B$70)*('Total Trip Tables Sup #1'!K173/'Total Trip Tables Sup #1'!$B173)</f>
        <v>44.736478110883738</v>
      </c>
    </row>
    <row r="75" spans="1:11" x14ac:dyDescent="0.25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$B75*('Updated Population'!C$70/'Updated Population'!$B$70)*('Total Trip Tables Sup #1'!C174/'Total Trip Tables Sup #1'!$B174)</f>
        <v>0.62271921377655781</v>
      </c>
      <c r="D75" s="4">
        <f ca="1">$B75*('Updated Population'!D$70/'Updated Population'!$B$70)*('Total Trip Tables Sup #1'!D174/'Total Trip Tables Sup #1'!$B174)</f>
        <v>0.66513451382668665</v>
      </c>
      <c r="E75" s="4">
        <f ca="1">$B75*('Updated Population'!E$70/'Updated Population'!$B$70)*('Total Trip Tables Sup #1'!E174/'Total Trip Tables Sup #1'!$B174)</f>
        <v>0.69714670169304704</v>
      </c>
      <c r="F75" s="4">
        <f ca="1">$B75*('Updated Population'!F$70/'Updated Population'!$B$70)*('Total Trip Tables Sup #1'!F174/'Total Trip Tables Sup #1'!$B174)</f>
        <v>0.72082169433779764</v>
      </c>
      <c r="G75" s="4">
        <f ca="1">$B75*('Updated Population'!G$70/'Updated Population'!$B$70)*('Total Trip Tables Sup #1'!G174/'Total Trip Tables Sup #1'!$B174)</f>
        <v>0.73387779588024271</v>
      </c>
      <c r="H75" s="4">
        <f ca="1">$B75*('Updated Population'!H$70/'Updated Population'!$B$70)*('Total Trip Tables Sup #1'!H174/'Total Trip Tables Sup #1'!$B174)</f>
        <v>0.74519174337756855</v>
      </c>
      <c r="I75" s="1">
        <f ca="1">$B75*('Updated Population'!I$70/'Updated Population'!$B$70)*('Total Trip Tables Sup #1'!I174/'Total Trip Tables Sup #1'!$B174)</f>
        <v>0.75009084245216118</v>
      </c>
      <c r="J75" s="1">
        <f ca="1">$B75*('Updated Population'!J$70/'Updated Population'!$B$70)*('Total Trip Tables Sup #1'!J174/'Total Trip Tables Sup #1'!$B174)</f>
        <v>0.75261878397945292</v>
      </c>
      <c r="K75" s="1">
        <f ca="1">$B75*('Updated Population'!K$70/'Updated Population'!$B$70)*('Total Trip Tables Sup #1'!K174/'Total Trip Tables Sup #1'!$B174)</f>
        <v>0.75353236773341536</v>
      </c>
    </row>
    <row r="76" spans="1:11" x14ac:dyDescent="0.25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$B76*('Updated Population'!C$70/'Updated Population'!$B$70)*('Total Trip Tables Sup #1'!C175/'Total Trip Tables Sup #1'!$B175)</f>
        <v>1.1226067690216377</v>
      </c>
      <c r="D76" s="4">
        <f ca="1">$B76*('Updated Population'!D$70/'Updated Population'!$B$70)*('Total Trip Tables Sup #1'!D175/'Total Trip Tables Sup #1'!$B175)</f>
        <v>1.1247216589234934</v>
      </c>
      <c r="E76" s="4">
        <f ca="1">$B76*('Updated Population'!E$70/'Updated Population'!$B$70)*('Total Trip Tables Sup #1'!E175/'Total Trip Tables Sup #1'!$B175)</f>
        <v>1.1270350590241991</v>
      </c>
      <c r="F76" s="4">
        <f ca="1">$B76*('Updated Population'!F$70/'Updated Population'!$B$70)*('Total Trip Tables Sup #1'!F175/'Total Trip Tables Sup #1'!$B175)</f>
        <v>1.1218325534507942</v>
      </c>
      <c r="G76" s="4">
        <f ca="1">$B76*('Updated Population'!G$70/'Updated Population'!$B$70)*('Total Trip Tables Sup #1'!G175/'Total Trip Tables Sup #1'!$B175)</f>
        <v>1.0977157173236709</v>
      </c>
      <c r="H76" s="4">
        <f ca="1">$B76*('Updated Population'!H$70/'Updated Population'!$B$70)*('Total Trip Tables Sup #1'!H175/'Total Trip Tables Sup #1'!$B175)</f>
        <v>1.0681634478736741</v>
      </c>
      <c r="I76" s="1">
        <f ca="1">$B76*('Updated Population'!I$70/'Updated Population'!$B$70)*('Total Trip Tables Sup #1'!I175/'Total Trip Tables Sup #1'!$B175)</f>
        <v>1.0751858533223346</v>
      </c>
      <c r="J76" s="1">
        <f ca="1">$B76*('Updated Population'!J$70/'Updated Population'!$B$70)*('Total Trip Tables Sup #1'!J175/'Total Trip Tables Sup #1'!$B175)</f>
        <v>1.0788094237145349</v>
      </c>
      <c r="K76" s="1">
        <f ca="1">$B76*('Updated Population'!K$70/'Updated Population'!$B$70)*('Total Trip Tables Sup #1'!K175/'Total Trip Tables Sup #1'!$B175)</f>
        <v>1.0801189615364795</v>
      </c>
    </row>
    <row r="77" spans="1:11" x14ac:dyDescent="0.25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Trip Tables Sup #1'!C176/'Total Trip Tables Sup #1'!$B176)</f>
        <v>0</v>
      </c>
      <c r="D77" s="4">
        <f ca="1">$B77*('Updated Population'!D$70/'Updated Population'!$B$70)*('Total Trip Tables Sup #1'!D176/'Total Trip Tables Sup #1'!$B176)</f>
        <v>0</v>
      </c>
      <c r="E77" s="4">
        <f ca="1">$B77*('Updated Population'!E$70/'Updated Population'!$B$70)*('Total Trip Tables Sup #1'!E176/'Total Trip Tables Sup #1'!$B176)</f>
        <v>0</v>
      </c>
      <c r="F77" s="4">
        <f ca="1">$B77*('Updated Population'!F$70/'Updated Population'!$B$70)*('Total Trip Tables Sup #1'!F176/'Total Trip Tables Sup #1'!$B176)</f>
        <v>0</v>
      </c>
      <c r="G77" s="4">
        <f ca="1">$B77*('Updated Population'!G$70/'Updated Population'!$B$70)*('Total Trip Tables Sup #1'!G176/'Total Trip Tables Sup #1'!$B176)</f>
        <v>0</v>
      </c>
      <c r="H77" s="4">
        <f ca="1">$B77*('Updated Population'!H$70/'Updated Population'!$B$70)*('Total Trip Tables Sup #1'!H176/'Total Trip Tables Sup #1'!$B176)</f>
        <v>0</v>
      </c>
      <c r="I77" s="1">
        <f ca="1">$B77*('Updated Population'!I$70/'Updated Population'!$B$70)*('Total Trip Tables Sup #1'!I176/'Total Trip Tables Sup #1'!$B176)</f>
        <v>0</v>
      </c>
      <c r="J77" s="1">
        <f ca="1">$B77*('Updated Population'!J$70/'Updated Population'!$B$70)*('Total Trip Tables Sup #1'!J176/'Total Trip Tables Sup #1'!$B176)</f>
        <v>0</v>
      </c>
      <c r="K77" s="1">
        <f ca="1">$B77*('Updated Population'!K$70/'Updated Population'!$B$70)*('Total Trip Tables Sup #1'!K176/'Total Trip Tables Sup #1'!$B176)</f>
        <v>0</v>
      </c>
    </row>
    <row r="78" spans="1:11" x14ac:dyDescent="0.25">
      <c r="A78" t="str">
        <f ca="1">OFFSET(Taranaki_Reference,49,2)</f>
        <v>Local Bus</v>
      </c>
      <c r="B78" s="4">
        <f ca="1">OFFSET(Taranaki_Reference,49,5)</f>
        <v>1.2787514622</v>
      </c>
      <c r="C78" s="4">
        <f ca="1">$B78*('Updated Population'!C$70/'Updated Population'!$B$70)*('Total Trip Tables Sup #1'!C177/'Total Trip Tables Sup #1'!$B177)</f>
        <v>1.2351525354594912</v>
      </c>
      <c r="D78" s="4">
        <f ca="1">$B78*('Updated Population'!D$70/'Updated Population'!$B$70)*('Total Trip Tables Sup #1'!D177/'Total Trip Tables Sup #1'!$B177)</f>
        <v>1.1952541020082847</v>
      </c>
      <c r="E78" s="4">
        <f ca="1">$B78*('Updated Population'!E$70/'Updated Population'!$B$70)*('Total Trip Tables Sup #1'!E177/'Total Trip Tables Sup #1'!$B177)</f>
        <v>1.1758563632108938</v>
      </c>
      <c r="F78" s="4">
        <f ca="1">$B78*('Updated Population'!F$70/'Updated Population'!$B$70)*('Total Trip Tables Sup #1'!F177/'Total Trip Tables Sup #1'!$B177)</f>
        <v>1.1422225268986723</v>
      </c>
      <c r="G78" s="4">
        <f ca="1">$B78*('Updated Population'!G$70/'Updated Population'!$B$70)*('Total Trip Tables Sup #1'!G177/'Total Trip Tables Sup #1'!$B177)</f>
        <v>1.1162869401259077</v>
      </c>
      <c r="H78" s="4">
        <f ca="1">$B78*('Updated Population'!H$70/'Updated Population'!$B$70)*('Total Trip Tables Sup #1'!H177/'Total Trip Tables Sup #1'!$B177)</f>
        <v>1.0861911143454537</v>
      </c>
      <c r="I78" s="1">
        <f ca="1">$B78*('Updated Population'!I$70/'Updated Population'!$B$70)*('Total Trip Tables Sup #1'!I177/'Total Trip Tables Sup #1'!$B177)</f>
        <v>1.0933320387188257</v>
      </c>
      <c r="J78" s="1">
        <f ca="1">$B78*('Updated Population'!J$70/'Updated Population'!$B$70)*('Total Trip Tables Sup #1'!J177/'Total Trip Tables Sup #1'!$B177)</f>
        <v>1.097016765031122</v>
      </c>
      <c r="K78" s="1">
        <f ca="1">$B78*('Updated Population'!K$70/'Updated Population'!$B$70)*('Total Trip Tables Sup #1'!K177/'Total Trip Tables Sup #1'!$B177)</f>
        <v>1.0983484042563052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Trip Tables Sup #1'!C178/'Total Trip Tables Sup #1'!$B178)</f>
        <v>0</v>
      </c>
      <c r="D79" s="4">
        <f ca="1">$B79*('Updated Population'!D$70/'Updated Population'!$B$70)*('Total Trip Tables Sup #1'!D178/'Total Trip Tables Sup #1'!$B178)</f>
        <v>0</v>
      </c>
      <c r="E79" s="4">
        <f ca="1">$B79*('Updated Population'!E$70/'Updated Population'!$B$70)*('Total Trip Tables Sup #1'!E178/'Total Trip Tables Sup #1'!$B178)</f>
        <v>0</v>
      </c>
      <c r="F79" s="4">
        <f ca="1">$B79*('Updated Population'!F$70/'Updated Population'!$B$70)*('Total Trip Tables Sup #1'!F178/'Total Trip Tables Sup #1'!$B178)</f>
        <v>0</v>
      </c>
      <c r="G79" s="4">
        <f ca="1">$B79*('Updated Population'!G$70/'Updated Population'!$B$70)*('Total Trip Tables Sup #1'!G178/'Total Trip Tables Sup #1'!$B178)</f>
        <v>0</v>
      </c>
      <c r="H79" s="4">
        <f ca="1">$B79*('Updated Population'!H$70/'Updated Population'!$B$70)*('Total Trip Tables Sup #1'!H178/'Total Trip Tables Sup #1'!$B178)</f>
        <v>0</v>
      </c>
      <c r="I79" s="1">
        <f ca="1">$B79*('Updated Population'!I$70/'Updated Population'!$B$70)*('Total Trip Tables Sup #1'!I178/'Total Trip Tables Sup #1'!$B178)</f>
        <v>0</v>
      </c>
      <c r="J79" s="1">
        <f ca="1">$B79*('Updated Population'!J$70/'Updated Population'!$B$70)*('Total Trip Tables Sup #1'!J178/'Total Trip Tables Sup #1'!$B178)</f>
        <v>0</v>
      </c>
      <c r="K79" s="1">
        <f ca="1">$B79*('Updated Population'!K$70/'Updated Population'!$B$70)*('Total Trip Tables Sup #1'!K178/'Total Trip Tables Sup #1'!$B178)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$B80*('Updated Population'!C$70/'Updated Population'!$B$70)*('Total Trip Tables Sup #1'!C179/'Total Trip Tables Sup #1'!$B179)</f>
        <v>0.18207345754325846</v>
      </c>
      <c r="D80" s="4">
        <f ca="1">$B80*('Updated Population'!D$70/'Updated Population'!$B$70)*('Total Trip Tables Sup #1'!D179/'Total Trip Tables Sup #1'!$B179)</f>
        <v>0.18830207484487821</v>
      </c>
      <c r="E80" s="4">
        <f ca="1">$B80*('Updated Population'!E$70/'Updated Population'!$B$70)*('Total Trip Tables Sup #1'!E179/'Total Trip Tables Sup #1'!$B179)</f>
        <v>0.1932321051931114</v>
      </c>
      <c r="F80" s="4">
        <f ca="1">$B80*('Updated Population'!F$70/'Updated Population'!$B$70)*('Total Trip Tables Sup #1'!F179/'Total Trip Tables Sup #1'!$B179)</f>
        <v>0.19650575132657744</v>
      </c>
      <c r="G80" s="4">
        <f ca="1">$B80*('Updated Population'!G$70/'Updated Population'!$B$70)*('Total Trip Tables Sup #1'!G179/'Total Trip Tables Sup #1'!$B179)</f>
        <v>0.19834806841829944</v>
      </c>
      <c r="H80" s="4">
        <f ca="1">$B80*('Updated Population'!H$70/'Updated Population'!$B$70)*('Total Trip Tables Sup #1'!H179/'Total Trip Tables Sup #1'!$B179)</f>
        <v>0.19760843674812159</v>
      </c>
      <c r="I80" s="1">
        <f ca="1">$B80*('Updated Population'!I$70/'Updated Population'!$B$70)*('Total Trip Tables Sup #1'!I179/'Total Trip Tables Sup #1'!$B179)</f>
        <v>0.19890756991513239</v>
      </c>
      <c r="J80" s="1">
        <f ca="1">$B80*('Updated Population'!J$70/'Updated Population'!$B$70)*('Total Trip Tables Sup #1'!J179/'Total Trip Tables Sup #1'!$B179)</f>
        <v>0.19957792432772242</v>
      </c>
      <c r="K80" s="1">
        <f ca="1">$B80*('Updated Population'!K$70/'Updated Population'!$B$70)*('Total Trip Tables Sup #1'!K179/'Total Trip Tables Sup #1'!$B179)</f>
        <v>0.19982018661667467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$B82*('Updated Population'!C$81/'Updated Population'!$B$81)*('Total Trip Tables Sup #1'!C170/'Total Trip Tables Sup #1'!$B170)</f>
        <v>40.492127837870655</v>
      </c>
      <c r="D82" s="4">
        <f ca="1">$B82*('Updated Population'!D$81/'Updated Population'!$B$81)*('Total Trip Tables Sup #1'!D170/'Total Trip Tables Sup #1'!$B170)</f>
        <v>40.490015536452738</v>
      </c>
      <c r="E82" s="4">
        <f ca="1">$B82*('Updated Population'!E$81/'Updated Population'!$B$81)*('Total Trip Tables Sup #1'!E170/'Total Trip Tables Sup #1'!$B170)</f>
        <v>40.061677739878682</v>
      </c>
      <c r="F82" s="4">
        <f ca="1">$B82*('Updated Population'!F$81/'Updated Population'!$B$81)*('Total Trip Tables Sup #1'!F170/'Total Trip Tables Sup #1'!$B170)</f>
        <v>39.247322331637207</v>
      </c>
      <c r="G82" s="4">
        <f ca="1">$B82*('Updated Population'!G$81/'Updated Population'!$B$81)*('Total Trip Tables Sup #1'!G170/'Total Trip Tables Sup #1'!$B170)</f>
        <v>38.23850337882012</v>
      </c>
      <c r="H82" s="4">
        <f ca="1">$B82*('Updated Population'!H$81/'Updated Population'!$B$81)*('Total Trip Tables Sup #1'!H170/'Total Trip Tables Sup #1'!$B170)</f>
        <v>37.096491978965773</v>
      </c>
      <c r="I82" s="1">
        <f ca="1">$B82*('Updated Population'!I$81/'Updated Population'!$B$81)*('Total Trip Tables Sup #1'!I170/'Total Trip Tables Sup #1'!$B170)</f>
        <v>36.790946464509823</v>
      </c>
      <c r="J82" s="1">
        <f ca="1">$B82*('Updated Population'!J$81/'Updated Population'!$B$81)*('Total Trip Tables Sup #1'!J170/'Total Trip Tables Sup #1'!$B170)</f>
        <v>36.371770249133469</v>
      </c>
      <c r="K82" s="1">
        <f ca="1">$B82*('Updated Population'!K$81/'Updated Population'!$B$81)*('Total Trip Tables Sup #1'!K170/'Total Trip Tables Sup #1'!$B170)</f>
        <v>35.880095191456611</v>
      </c>
    </row>
    <row r="83" spans="1:11" x14ac:dyDescent="0.25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$B83*('Updated Population'!C$81/'Updated Population'!$B$81)*('Total Trip Tables Sup #1'!C171/'Total Trip Tables Sup #1'!$B171)</f>
        <v>4.7372852397644145</v>
      </c>
      <c r="D83" s="4">
        <f ca="1">$B83*('Updated Population'!D$81/'Updated Population'!$B$81)*('Total Trip Tables Sup #1'!D171/'Total Trip Tables Sup #1'!$B171)</f>
        <v>4.6615559617450408</v>
      </c>
      <c r="E83" s="4">
        <f ca="1">$B83*('Updated Population'!E$81/'Updated Population'!$B$81)*('Total Trip Tables Sup #1'!E171/'Total Trip Tables Sup #1'!$B171)</f>
        <v>4.5369267916869855</v>
      </c>
      <c r="F83" s="4">
        <f ca="1">$B83*('Updated Population'!F$81/'Updated Population'!$B$81)*('Total Trip Tables Sup #1'!F171/'Total Trip Tables Sup #1'!$B171)</f>
        <v>4.4103045421147264</v>
      </c>
      <c r="G83" s="4">
        <f ca="1">$B83*('Updated Population'!G$81/'Updated Population'!$B$81)*('Total Trip Tables Sup #1'!G171/'Total Trip Tables Sup #1'!$B171)</f>
        <v>4.2836523766185373</v>
      </c>
      <c r="H83" s="4">
        <f ca="1">$B83*('Updated Population'!H$81/'Updated Population'!$B$81)*('Total Trip Tables Sup #1'!H171/'Total Trip Tables Sup #1'!$B171)</f>
        <v>4.1569548918012611</v>
      </c>
      <c r="I83" s="1">
        <f ca="1">$B83*('Updated Population'!I$81/'Updated Population'!$B$81)*('Total Trip Tables Sup #1'!I171/'Total Trip Tables Sup #1'!$B171)</f>
        <v>4.1227161038936133</v>
      </c>
      <c r="J83" s="1">
        <f ca="1">$B83*('Updated Population'!J$81/'Updated Population'!$B$81)*('Total Trip Tables Sup #1'!J171/'Total Trip Tables Sup #1'!$B171)</f>
        <v>4.0757440985615858</v>
      </c>
      <c r="K83" s="1">
        <f ca="1">$B83*('Updated Population'!K$81/'Updated Population'!$B$81)*('Total Trip Tables Sup #1'!K171/'Total Trip Tables Sup #1'!$B171)</f>
        <v>4.0206480253979731</v>
      </c>
    </row>
    <row r="84" spans="1:11" x14ac:dyDescent="0.25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$B84*('Updated Population'!C$81/'Updated Population'!$B$81)*('Total Trip Tables Sup #1'!C172/'Total Trip Tables Sup #1'!$B172)</f>
        <v>187.7031329272063</v>
      </c>
      <c r="D84" s="4">
        <f ca="1">$B84*('Updated Population'!D$81/'Updated Population'!$B$81)*('Total Trip Tables Sup #1'!D172/'Total Trip Tables Sup #1'!$B172)</f>
        <v>190.59411221314522</v>
      </c>
      <c r="E84" s="4">
        <f ca="1">$B84*('Updated Population'!E$81/'Updated Population'!$B$81)*('Total Trip Tables Sup #1'!E172/'Total Trip Tables Sup #1'!$B172)</f>
        <v>193.40796106197809</v>
      </c>
      <c r="F84" s="4">
        <f ca="1">$B84*('Updated Population'!F$81/'Updated Population'!$B$81)*('Total Trip Tables Sup #1'!F172/'Total Trip Tables Sup #1'!$B172)</f>
        <v>194.99477785577125</v>
      </c>
      <c r="G84" s="4">
        <f ca="1">$B84*('Updated Population'!G$81/'Updated Population'!$B$81)*('Total Trip Tables Sup #1'!G172/'Total Trip Tables Sup #1'!$B172)</f>
        <v>194.31429062771124</v>
      </c>
      <c r="H84" s="4">
        <f ca="1">$B84*('Updated Population'!H$81/'Updated Population'!$B$81)*('Total Trip Tables Sup #1'!H172/'Total Trip Tables Sup #1'!$B172)</f>
        <v>192.63759442354259</v>
      </c>
      <c r="I84" s="1">
        <f ca="1">$B84*('Updated Population'!I$81/'Updated Population'!$B$81)*('Total Trip Tables Sup #1'!I172/'Total Trip Tables Sup #1'!$B172)</f>
        <v>191.05093353590203</v>
      </c>
      <c r="J84" s="1">
        <f ca="1">$B84*('Updated Population'!J$81/'Updated Population'!$B$81)*('Total Trip Tables Sup #1'!J172/'Total Trip Tables Sup #1'!$B172)</f>
        <v>188.87420216692374</v>
      </c>
      <c r="K84" s="1">
        <f ca="1">$B84*('Updated Population'!K$81/'Updated Population'!$B$81)*('Total Trip Tables Sup #1'!K172/'Total Trip Tables Sup #1'!$B172)</f>
        <v>186.32099308174583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$B85*('Updated Population'!C$81/'Updated Population'!$B$81)*('Total Trip Tables Sup #1'!C173/'Total Trip Tables Sup #1'!$B173)</f>
        <v>84.14181910003424</v>
      </c>
      <c r="D85" s="4">
        <f ca="1">$B85*('Updated Population'!D$81/'Updated Population'!$B$81)*('Total Trip Tables Sup #1'!D173/'Total Trip Tables Sup #1'!$B173)</f>
        <v>83.022955491472544</v>
      </c>
      <c r="E85" s="4">
        <f ca="1">$B85*('Updated Population'!E$81/'Updated Population'!$B$81)*('Total Trip Tables Sup #1'!E173/'Total Trip Tables Sup #1'!$B173)</f>
        <v>81.817339936086896</v>
      </c>
      <c r="F85" s="4">
        <f ca="1">$B85*('Updated Population'!F$81/'Updated Population'!$B$81)*('Total Trip Tables Sup #1'!F173/'Total Trip Tables Sup #1'!$B173)</f>
        <v>80.341318372086732</v>
      </c>
      <c r="G85" s="4">
        <f ca="1">$B85*('Updated Population'!G$81/'Updated Population'!$B$81)*('Total Trip Tables Sup #1'!G173/'Total Trip Tables Sup #1'!$B173)</f>
        <v>78.36565451662959</v>
      </c>
      <c r="H85" s="4">
        <f ca="1">$B85*('Updated Population'!H$81/'Updated Population'!$B$81)*('Total Trip Tables Sup #1'!H173/'Total Trip Tables Sup #1'!$B173)</f>
        <v>76.03608979084558</v>
      </c>
      <c r="I85" s="1">
        <f ca="1">$B85*('Updated Population'!I$81/'Updated Population'!$B$81)*('Total Trip Tables Sup #1'!I173/'Total Trip Tables Sup #1'!$B173)</f>
        <v>75.409818007908925</v>
      </c>
      <c r="J85" s="1">
        <f ca="1">$B85*('Updated Population'!J$81/'Updated Population'!$B$81)*('Total Trip Tables Sup #1'!J173/'Total Trip Tables Sup #1'!$B173)</f>
        <v>74.550639183975491</v>
      </c>
      <c r="K85" s="1">
        <f ca="1">$B85*('Updated Population'!K$81/'Updated Population'!$B$81)*('Total Trip Tables Sup #1'!K173/'Total Trip Tables Sup #1'!$B173)</f>
        <v>73.542860635679489</v>
      </c>
    </row>
    <row r="86" spans="1:11" x14ac:dyDescent="0.25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$B86*('Updated Population'!C$81/'Updated Population'!$B$81)*('Total Trip Tables Sup #1'!C174/'Total Trip Tables Sup #1'!$B174)</f>
        <v>1.0981135313579751</v>
      </c>
      <c r="D86" s="4">
        <f ca="1">$B86*('Updated Population'!D$81/'Updated Population'!$B$81)*('Total Trip Tables Sup #1'!D174/'Total Trip Tables Sup #1'!$B174)</f>
        <v>1.1597957311626161</v>
      </c>
      <c r="E86" s="4">
        <f ca="1">$B86*('Updated Population'!E$81/'Updated Population'!$B$81)*('Total Trip Tables Sup #1'!E174/'Total Trip Tables Sup #1'!$B174)</f>
        <v>1.2006248070391676</v>
      </c>
      <c r="F86" s="4">
        <f ca="1">$B86*('Updated Population'!F$81/'Updated Population'!$B$81)*('Total Trip Tables Sup #1'!F174/'Total Trip Tables Sup #1'!$B174)</f>
        <v>1.2259522350224552</v>
      </c>
      <c r="G86" s="4">
        <f ca="1">$B86*('Updated Population'!G$81/'Updated Population'!$B$81)*('Total Trip Tables Sup #1'!G174/'Total Trip Tables Sup #1'!$B174)</f>
        <v>1.2312776988006335</v>
      </c>
      <c r="H86" s="4">
        <f ca="1">$B86*('Updated Population'!H$81/'Updated Population'!$B$81)*('Total Trip Tables Sup #1'!H174/'Total Trip Tables Sup #1'!$B174)</f>
        <v>1.2318635037955039</v>
      </c>
      <c r="I86" s="1">
        <f ca="1">$B86*('Updated Population'!I$81/'Updated Population'!$B$81)*('Total Trip Tables Sup #1'!I174/'Total Trip Tables Sup #1'!$B174)</f>
        <v>1.2217172514700789</v>
      </c>
      <c r="J86" s="1">
        <f ca="1">$B86*('Updated Population'!J$81/'Updated Population'!$B$81)*('Total Trip Tables Sup #1'!J174/'Total Trip Tables Sup #1'!$B174)</f>
        <v>1.2077976635566434</v>
      </c>
      <c r="K86" s="1">
        <f ca="1">$B86*('Updated Population'!K$81/'Updated Population'!$B$81)*('Total Trip Tables Sup #1'!K174/'Total Trip Tables Sup #1'!$B174)</f>
        <v>1.191470606011092</v>
      </c>
    </row>
    <row r="87" spans="1:11" x14ac:dyDescent="0.25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$B87*('Updated Population'!C$81/'Updated Population'!$B$81)*('Total Trip Tables Sup #1'!C175/'Total Trip Tables Sup #1'!$B175)</f>
        <v>0.80594198011602847</v>
      </c>
      <c r="D87" s="4">
        <f ca="1">$B87*('Updated Population'!D$81/'Updated Population'!$B$81)*('Total Trip Tables Sup #1'!D175/'Total Trip Tables Sup #1'!$B175)</f>
        <v>0.79843253347411136</v>
      </c>
      <c r="E87" s="4">
        <f ca="1">$B87*('Updated Population'!E$81/'Updated Population'!$B$81)*('Total Trip Tables Sup #1'!E175/'Total Trip Tables Sup #1'!$B175)</f>
        <v>0.79020851586595464</v>
      </c>
      <c r="F87" s="4">
        <f ca="1">$B87*('Updated Population'!F$81/'Updated Population'!$B$81)*('Total Trip Tables Sup #1'!F175/'Total Trip Tables Sup #1'!$B175)</f>
        <v>0.77677436256743049</v>
      </c>
      <c r="G87" s="4">
        <f ca="1">$B87*('Updated Population'!G$81/'Updated Population'!$B$81)*('Total Trip Tables Sup #1'!G175/'Total Trip Tables Sup #1'!$B175)</f>
        <v>0.74979629894438404</v>
      </c>
      <c r="H87" s="4">
        <f ca="1">$B87*('Updated Population'!H$81/'Updated Population'!$B$81)*('Total Trip Tables Sup #1'!H175/'Total Trip Tables Sup #1'!$B175)</f>
        <v>0.7188750504261755</v>
      </c>
      <c r="I87" s="1">
        <f ca="1">$B87*('Updated Population'!I$81/'Updated Population'!$B$81)*('Total Trip Tables Sup #1'!I175/'Total Trip Tables Sup #1'!$B175)</f>
        <v>0.71295403106842725</v>
      </c>
      <c r="J87" s="1">
        <f ca="1">$B87*('Updated Population'!J$81/'Updated Population'!$B$81)*('Total Trip Tables Sup #1'!J175/'Total Trip Tables Sup #1'!$B175)</f>
        <v>0.7048310170881027</v>
      </c>
      <c r="K87" s="1">
        <f ca="1">$B87*('Updated Population'!K$81/'Updated Population'!$B$81)*('Total Trip Tables Sup #1'!K175/'Total Trip Tables Sup #1'!$B175)</f>
        <v>0.69530308296211718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Trip Tables Sup #1'!C176/'Total Trip Tables Sup #1'!$B176)</f>
        <v>0</v>
      </c>
      <c r="D88" s="4">
        <f ca="1">$B88*('Updated Population'!D$81/'Updated Population'!$B$81)*('Total Trip Tables Sup #1'!D176/'Total Trip Tables Sup #1'!$B176)</f>
        <v>0</v>
      </c>
      <c r="E88" s="4">
        <f ca="1">$B88*('Updated Population'!E$81/'Updated Population'!$B$81)*('Total Trip Tables Sup #1'!E176/'Total Trip Tables Sup #1'!$B176)</f>
        <v>0</v>
      </c>
      <c r="F88" s="4">
        <f ca="1">$B88*('Updated Population'!F$81/'Updated Population'!$B$81)*('Total Trip Tables Sup #1'!F176/'Total Trip Tables Sup #1'!$B176)</f>
        <v>0</v>
      </c>
      <c r="G88" s="4">
        <f ca="1">$B88*('Updated Population'!G$81/'Updated Population'!$B$81)*('Total Trip Tables Sup #1'!G176/'Total Trip Tables Sup #1'!$B176)</f>
        <v>0</v>
      </c>
      <c r="H88" s="4">
        <f ca="1">$B88*('Updated Population'!H$81/'Updated Population'!$B$81)*('Total Trip Tables Sup #1'!H176/'Total Trip Tables Sup #1'!$B176)</f>
        <v>0</v>
      </c>
      <c r="I88" s="1">
        <f ca="1">$B88*('Updated Population'!I$81/'Updated Population'!$B$81)*('Total Trip Tables Sup #1'!I176/'Total Trip Tables Sup #1'!$B176)</f>
        <v>0</v>
      </c>
      <c r="J88" s="1">
        <f ca="1">$B88*('Updated Population'!J$81/'Updated Population'!$B$81)*('Total Trip Tables Sup #1'!J176/'Total Trip Tables Sup #1'!$B176)</f>
        <v>0</v>
      </c>
      <c r="K88" s="1">
        <f ca="1">$B88*('Updated Population'!K$81/'Updated Population'!$B$81)*('Total Trip Tables Sup #1'!K176/'Total Trip Tables Sup #1'!$B176)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OFFSET(Manawatu_Reference,42,5)</f>
        <v>5.2110099151</v>
      </c>
      <c r="C89" s="4">
        <f ca="1">$B89*('Updated Population'!C$81/'Updated Population'!$B$81)*('Total Trip Tables Sup #1'!C177/'Total Trip Tables Sup #1'!$B177)</f>
        <v>4.9940187808177354</v>
      </c>
      <c r="D89" s="4">
        <f ca="1">$B89*('Updated Population'!D$81/'Updated Population'!$B$81)*('Total Trip Tables Sup #1'!D177/'Total Trip Tables Sup #1'!$B177)</f>
        <v>4.7786680646304278</v>
      </c>
      <c r="E89" s="4">
        <f ca="1">$B89*('Updated Population'!E$81/'Updated Population'!$B$81)*('Total Trip Tables Sup #1'!E177/'Total Trip Tables Sup #1'!$B177)</f>
        <v>4.6431424618905988</v>
      </c>
      <c r="F89" s="4">
        <f ca="1">$B89*('Updated Population'!F$81/'Updated Population'!$B$81)*('Total Trip Tables Sup #1'!F177/'Total Trip Tables Sup #1'!$B177)</f>
        <v>4.4542134159458477</v>
      </c>
      <c r="G89" s="4">
        <f ca="1">$B89*('Updated Population'!G$81/'Updated Population'!$B$81)*('Total Trip Tables Sup #1'!G177/'Total Trip Tables Sup #1'!$B177)</f>
        <v>4.2942043665575129</v>
      </c>
      <c r="H89" s="4">
        <f ca="1">$B89*('Updated Population'!H$81/'Updated Population'!$B$81)*('Total Trip Tables Sup #1'!H177/'Total Trip Tables Sup #1'!$B177)</f>
        <v>4.1169481734081428</v>
      </c>
      <c r="I89" s="1">
        <f ca="1">$B89*('Updated Population'!I$81/'Updated Population'!$B$81)*('Total Trip Tables Sup #1'!I177/'Total Trip Tables Sup #1'!$B177)</f>
        <v>4.0830389011150725</v>
      </c>
      <c r="J89" s="1">
        <f ca="1">$B89*('Updated Population'!J$81/'Updated Population'!$B$81)*('Total Trip Tables Sup #1'!J177/'Total Trip Tables Sup #1'!$B177)</f>
        <v>4.0365189564473027</v>
      </c>
      <c r="K89" s="1">
        <f ca="1">$B89*('Updated Population'!K$81/'Updated Population'!$B$81)*('Total Trip Tables Sup #1'!K177/'Total Trip Tables Sup #1'!$B177)</f>
        <v>3.9819531303373621</v>
      </c>
    </row>
    <row r="90" spans="1:11" x14ac:dyDescent="0.25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$B90*('Updated Population'!C$81/'Updated Population'!$B$81)*('Total Trip Tables Sup #1'!C178/'Total Trip Tables Sup #1'!$B178)</f>
        <v>0.11816872443255583</v>
      </c>
      <c r="D90" s="4">
        <f ca="1">$B90*('Updated Population'!D$81/'Updated Population'!$B$81)*('Total Trip Tables Sup #1'!D178/'Total Trip Tables Sup #1'!$B178)</f>
        <v>0.12568263815397665</v>
      </c>
      <c r="E90" s="4">
        <f ca="1">$B90*('Updated Population'!E$81/'Updated Population'!$B$81)*('Total Trip Tables Sup #1'!E178/'Total Trip Tables Sup #1'!$B178)</f>
        <v>0.12925218765149266</v>
      </c>
      <c r="F90" s="4">
        <f ca="1">$B90*('Updated Population'!F$81/'Updated Population'!$B$81)*('Total Trip Tables Sup #1'!F178/'Total Trip Tables Sup #1'!$B178)</f>
        <v>0.13057268098335909</v>
      </c>
      <c r="G90" s="4">
        <f ca="1">$B90*('Updated Population'!G$81/'Updated Population'!$B$81)*('Total Trip Tables Sup #1'!G178/'Total Trip Tables Sup #1'!$B178)</f>
        <v>0.13410030135249112</v>
      </c>
      <c r="H90" s="4">
        <f ca="1">$B90*('Updated Population'!H$81/'Updated Population'!$B$81)*('Total Trip Tables Sup #1'!H178/'Total Trip Tables Sup #1'!$B178)</f>
        <v>0.13619072196313028</v>
      </c>
      <c r="I90" s="1">
        <f ca="1">$B90*('Updated Population'!I$81/'Updated Population'!$B$81)*('Total Trip Tables Sup #1'!I178/'Total Trip Tables Sup #1'!$B178)</f>
        <v>0.13506898613350127</v>
      </c>
      <c r="J90" s="1">
        <f ca="1">$B90*('Updated Population'!J$81/'Updated Population'!$B$81)*('Total Trip Tables Sup #1'!J178/'Total Trip Tables Sup #1'!$B178)</f>
        <v>0.13353008290151241</v>
      </c>
      <c r="K90" s="1">
        <f ca="1">$B90*('Updated Population'!K$81/'Updated Population'!$B$81)*('Total Trip Tables Sup #1'!K178/'Total Trip Tables Sup #1'!$B178)</f>
        <v>0.13172501785346843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$B91*('Updated Population'!C$81/'Updated Population'!$B$81)*('Total Trip Tables Sup #1'!C179/'Total Trip Tables Sup #1'!$B179)</f>
        <v>0.25340035413563333</v>
      </c>
      <c r="D91" s="4">
        <f ca="1">$B91*('Updated Population'!D$81/'Updated Population'!$B$81)*('Total Trip Tables Sup #1'!D179/'Total Trip Tables Sup #1'!$B179)</f>
        <v>0.2591389699752743</v>
      </c>
      <c r="E91" s="4">
        <f ca="1">$B91*('Updated Population'!E$81/'Updated Population'!$B$81)*('Total Trip Tables Sup #1'!E179/'Total Trip Tables Sup #1'!$B179)</f>
        <v>0.26264432515949626</v>
      </c>
      <c r="F91" s="4">
        <f ca="1">$B91*('Updated Population'!F$81/'Updated Population'!$B$81)*('Total Trip Tables Sup #1'!F179/'Total Trip Tables Sup #1'!$B179)</f>
        <v>0.2637707094274761</v>
      </c>
      <c r="G91" s="4">
        <f ca="1">$B91*('Updated Population'!G$81/'Updated Population'!$B$81)*('Total Trip Tables Sup #1'!G179/'Total Trip Tables Sup #1'!$B179)</f>
        <v>0.26264300695931059</v>
      </c>
      <c r="H91" s="4">
        <f ca="1">$B91*('Updated Population'!H$81/'Updated Population'!$B$81)*('Total Trip Tables Sup #1'!H179/'Total Trip Tables Sup #1'!$B179)</f>
        <v>0.25781348986522329</v>
      </c>
      <c r="I91" s="1">
        <f ca="1">$B91*('Updated Population'!I$81/'Updated Population'!$B$81)*('Total Trip Tables Sup #1'!I179/'Total Trip Tables Sup #1'!$B179)</f>
        <v>0.25569000726101321</v>
      </c>
      <c r="J91" s="1">
        <f ca="1">$B91*('Updated Population'!J$81/'Updated Population'!$B$81)*('Total Trip Tables Sup #1'!J179/'Total Trip Tables Sup #1'!$B179)</f>
        <v>0.25277681312352029</v>
      </c>
      <c r="K91" s="1">
        <f ca="1">$B91*('Updated Population'!K$81/'Updated Population'!$B$81)*('Total Trip Tables Sup #1'!K179/'Total Trip Tables Sup #1'!$B179)</f>
        <v>0.24935976596522758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$B93*('Updated Population'!C$92/'Updated Population'!$B$92)*('Total Trip Tables Sup #1'!C170/'Total Trip Tables Sup #1'!$B170)</f>
        <v>189.9560474565946</v>
      </c>
      <c r="D93" s="4">
        <f ca="1">$B93*('Updated Population'!D$92/'Updated Population'!$B$92)*('Total Trip Tables Sup #1'!D170/'Total Trip Tables Sup #1'!$B170)</f>
        <v>193.03357513776439</v>
      </c>
      <c r="E93" s="4">
        <f ca="1">$B93*('Updated Population'!E$92/'Updated Population'!$B$92)*('Total Trip Tables Sup #1'!E170/'Total Trip Tables Sup #1'!$B170)</f>
        <v>193.60981816162698</v>
      </c>
      <c r="F93" s="4">
        <f ca="1">$B93*('Updated Population'!F$92/'Updated Population'!$B$92)*('Total Trip Tables Sup #1'!F170/'Total Trip Tables Sup #1'!$B170)</f>
        <v>192.47478860391649</v>
      </c>
      <c r="G93" s="4">
        <f ca="1">$B93*('Updated Population'!G$92/'Updated Population'!$B$92)*('Total Trip Tables Sup #1'!G170/'Total Trip Tables Sup #1'!$B170)</f>
        <v>190.36261507559672</v>
      </c>
      <c r="H93" s="4">
        <f ca="1">$B93*('Updated Population'!H$92/'Updated Population'!$B$92)*('Total Trip Tables Sup #1'!H170/'Total Trip Tables Sup #1'!$B170)</f>
        <v>187.44254735951523</v>
      </c>
      <c r="I93" s="1">
        <f ca="1">$B93*('Updated Population'!I$92/'Updated Population'!$B$92)*('Total Trip Tables Sup #1'!I170/'Total Trip Tables Sup #1'!$B170)</f>
        <v>188.6821665798312</v>
      </c>
      <c r="J93" s="1">
        <f ca="1">$B93*('Updated Population'!J$92/'Updated Population'!$B$92)*('Total Trip Tables Sup #1'!J170/'Total Trip Tables Sup #1'!$B170)</f>
        <v>189.32540394556239</v>
      </c>
      <c r="K93" s="1">
        <f ca="1">$B93*('Updated Population'!K$92/'Updated Population'!$B$92)*('Total Trip Tables Sup #1'!K170/'Total Trip Tables Sup #1'!$B170)</f>
        <v>189.56257458349984</v>
      </c>
    </row>
    <row r="94" spans="1:11" x14ac:dyDescent="0.25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$B94*('Updated Population'!C$92/'Updated Population'!$B$92)*('Total Trip Tables Sup #1'!C171/'Total Trip Tables Sup #1'!$B171)</f>
        <v>8.3872757414353085</v>
      </c>
      <c r="D94" s="4">
        <f ca="1">$B94*('Updated Population'!D$92/'Updated Population'!$B$92)*('Total Trip Tables Sup #1'!D171/'Total Trip Tables Sup #1'!$B171)</f>
        <v>8.3873482200346814</v>
      </c>
      <c r="E94" s="4">
        <f ca="1">$B94*('Updated Population'!E$92/'Updated Population'!$B$92)*('Total Trip Tables Sup #1'!E171/'Total Trip Tables Sup #1'!$B171)</f>
        <v>8.2750166537270999</v>
      </c>
      <c r="F94" s="4">
        <f ca="1">$B94*('Updated Population'!F$92/'Updated Population'!$B$92)*('Total Trip Tables Sup #1'!F171/'Total Trip Tables Sup #1'!$B171)</f>
        <v>8.162839545596043</v>
      </c>
      <c r="G94" s="4">
        <f ca="1">$B94*('Updated Population'!G$92/'Updated Population'!$B$92)*('Total Trip Tables Sup #1'!G171/'Total Trip Tables Sup #1'!$B171)</f>
        <v>8.0482944585928831</v>
      </c>
      <c r="H94" s="4">
        <f ca="1">$B94*('Updated Population'!H$92/'Updated Population'!$B$92)*('Total Trip Tables Sup #1'!H171/'Total Trip Tables Sup #1'!$B171)</f>
        <v>7.9271943897784807</v>
      </c>
      <c r="I94" s="1">
        <f ca="1">$B94*('Updated Population'!I$92/'Updated Population'!$B$92)*('Total Trip Tables Sup #1'!I171/'Total Trip Tables Sup #1'!$B171)</f>
        <v>7.9796195337342057</v>
      </c>
      <c r="J94" s="1">
        <f ca="1">$B94*('Updated Population'!J$92/'Updated Population'!$B$92)*('Total Trip Tables Sup #1'!J171/'Total Trip Tables Sup #1'!$B171)</f>
        <v>8.0068228966245947</v>
      </c>
      <c r="K94" s="1">
        <f ca="1">$B94*('Updated Population'!K$92/'Updated Population'!$B$92)*('Total Trip Tables Sup #1'!K171/'Total Trip Tables Sup #1'!$B171)</f>
        <v>8.0168531580404938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$B95*('Updated Population'!C$92/'Updated Population'!$B$92)*('Total Trip Tables Sup #1'!C172/'Total Trip Tables Sup #1'!$B172)</f>
        <v>403.98116401687145</v>
      </c>
      <c r="D95" s="4">
        <f ca="1">$B95*('Updated Population'!D$92/'Updated Population'!$B$92)*('Total Trip Tables Sup #1'!D172/'Total Trip Tables Sup #1'!$B172)</f>
        <v>416.87078579712858</v>
      </c>
      <c r="E95" s="4">
        <f ca="1">$B95*('Updated Population'!E$92/'Updated Population'!$B$92)*('Total Trip Tables Sup #1'!E172/'Total Trip Tables Sup #1'!$B172)</f>
        <v>428.82456943172758</v>
      </c>
      <c r="F95" s="4">
        <f ca="1">$B95*('Updated Population'!F$92/'Updated Population'!$B$92)*('Total Trip Tables Sup #1'!F172/'Total Trip Tables Sup #1'!$B172)</f>
        <v>438.72650213900317</v>
      </c>
      <c r="G95" s="4">
        <f ca="1">$B95*('Updated Population'!G$92/'Updated Population'!$B$92)*('Total Trip Tables Sup #1'!G172/'Total Trip Tables Sup #1'!$B172)</f>
        <v>443.80540529765523</v>
      </c>
      <c r="H95" s="4">
        <f ca="1">$B95*('Updated Population'!H$92/'Updated Population'!$B$92)*('Total Trip Tables Sup #1'!H172/'Total Trip Tables Sup #1'!$B172)</f>
        <v>446.5637346281722</v>
      </c>
      <c r="I95" s="1">
        <f ca="1">$B95*('Updated Population'!I$92/'Updated Population'!$B$92)*('Total Trip Tables Sup #1'!I172/'Total Trip Tables Sup #1'!$B172)</f>
        <v>449.5170074914534</v>
      </c>
      <c r="J95" s="1">
        <f ca="1">$B95*('Updated Population'!J$92/'Updated Population'!$B$92)*('Total Trip Tables Sup #1'!J172/'Total Trip Tables Sup #1'!$B172)</f>
        <v>451.04945828418806</v>
      </c>
      <c r="K95" s="1">
        <f ca="1">$B95*('Updated Population'!K$92/'Updated Population'!$B$92)*('Total Trip Tables Sup #1'!K172/'Total Trip Tables Sup #1'!$B172)</f>
        <v>451.61449438358744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$B96*('Updated Population'!C$92/'Updated Population'!$B$92)*('Total Trip Tables Sup #1'!C173/'Total Trip Tables Sup #1'!$B173)</f>
        <v>187.00200082445707</v>
      </c>
      <c r="D96" s="4">
        <f ca="1">$B96*('Updated Population'!D$92/'Updated Population'!$B$92)*('Total Trip Tables Sup #1'!D173/'Total Trip Tables Sup #1'!$B173)</f>
        <v>187.51453255655966</v>
      </c>
      <c r="E96" s="4">
        <f ca="1">$B96*('Updated Population'!E$92/'Updated Population'!$B$92)*('Total Trip Tables Sup #1'!E173/'Total Trip Tables Sup #1'!$B173)</f>
        <v>187.32486604098543</v>
      </c>
      <c r="F96" s="4">
        <f ca="1">$B96*('Updated Population'!F$92/'Updated Population'!$B$92)*('Total Trip Tables Sup #1'!F173/'Total Trip Tables Sup #1'!$B173)</f>
        <v>186.66143682889808</v>
      </c>
      <c r="G96" s="4">
        <f ca="1">$B96*('Updated Population'!G$92/'Updated Population'!$B$92)*('Total Trip Tables Sup #1'!G173/'Total Trip Tables Sup #1'!$B173)</f>
        <v>184.82400320471126</v>
      </c>
      <c r="H96" s="4">
        <f ca="1">$B96*('Updated Population'!H$92/'Updated Population'!$B$92)*('Total Trip Tables Sup #1'!H173/'Total Trip Tables Sup #1'!$B173)</f>
        <v>182.014899928185</v>
      </c>
      <c r="I96" s="1">
        <f ca="1">$B96*('Updated Population'!I$92/'Updated Population'!$B$92)*('Total Trip Tables Sup #1'!I173/'Total Trip Tables Sup #1'!$B173)</f>
        <v>183.21862433074611</v>
      </c>
      <c r="J96" s="1">
        <f ca="1">$B96*('Updated Population'!J$92/'Updated Population'!$B$92)*('Total Trip Tables Sup #1'!J173/'Total Trip Tables Sup #1'!$B173)</f>
        <v>183.84323590588156</v>
      </c>
      <c r="K96" s="1">
        <f ca="1">$B96*('Updated Population'!K$92/'Updated Population'!$B$92)*('Total Trip Tables Sup #1'!K173/'Total Trip Tables Sup #1'!$B173)</f>
        <v>184.07353895360581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$B97*('Updated Population'!C$92/'Updated Population'!$B$92)*('Total Trip Tables Sup #1'!C174/'Total Trip Tables Sup #1'!$B174)</f>
        <v>2.6382439423962927</v>
      </c>
      <c r="D97" s="4">
        <f ca="1">$B97*('Updated Population'!D$92/'Updated Population'!$B$92)*('Total Trip Tables Sup #1'!D174/'Total Trip Tables Sup #1'!$B174)</f>
        <v>2.8317284114069428</v>
      </c>
      <c r="E97" s="4">
        <f ca="1">$B97*('Updated Population'!E$92/'Updated Population'!$B$92)*('Total Trip Tables Sup #1'!E174/'Total Trip Tables Sup #1'!$B174)</f>
        <v>2.9716026558620645</v>
      </c>
      <c r="F97" s="4">
        <f ca="1">$B97*('Updated Population'!F$92/'Updated Population'!$B$92)*('Total Trip Tables Sup #1'!F174/'Total Trip Tables Sup #1'!$B174)</f>
        <v>3.0790911848927354</v>
      </c>
      <c r="G97" s="4">
        <f ca="1">$B97*('Updated Population'!G$92/'Updated Population'!$B$92)*('Total Trip Tables Sup #1'!G174/'Total Trip Tables Sup #1'!$B174)</f>
        <v>3.1392215797389755</v>
      </c>
      <c r="H97" s="4">
        <f ca="1">$B97*('Updated Population'!H$92/'Updated Population'!$B$92)*('Total Trip Tables Sup #1'!H174/'Total Trip Tables Sup #1'!$B174)</f>
        <v>3.1877415649913927</v>
      </c>
      <c r="I97" s="1">
        <f ca="1">$B97*('Updated Population'!I$92/'Updated Population'!$B$92)*('Total Trip Tables Sup #1'!I174/'Total Trip Tables Sup #1'!$B174)</f>
        <v>3.2088231484900644</v>
      </c>
      <c r="J97" s="1">
        <f ca="1">$B97*('Updated Population'!J$92/'Updated Population'!$B$92)*('Total Trip Tables Sup #1'!J174/'Total Trip Tables Sup #1'!$B174)</f>
        <v>3.2197623643499731</v>
      </c>
      <c r="K97" s="1">
        <f ca="1">$B97*('Updated Population'!K$92/'Updated Population'!$B$92)*('Total Trip Tables Sup #1'!K174/'Total Trip Tables Sup #1'!$B174)</f>
        <v>3.2237958066564238</v>
      </c>
    </row>
    <row r="98" spans="1:11" x14ac:dyDescent="0.25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$B98*('Updated Population'!C$92/'Updated Population'!$B$92)*('Total Trip Tables Sup #1'!C175/'Total Trip Tables Sup #1'!$B175)</f>
        <v>2.5920844504211429</v>
      </c>
      <c r="D98" s="4">
        <f ca="1">$B98*('Updated Population'!D$92/'Updated Population'!$B$92)*('Total Trip Tables Sup #1'!D175/'Total Trip Tables Sup #1'!$B175)</f>
        <v>2.6096723205868262</v>
      </c>
      <c r="E98" s="4">
        <f ca="1">$B98*('Updated Population'!E$92/'Updated Population'!$B$92)*('Total Trip Tables Sup #1'!E175/'Total Trip Tables Sup #1'!$B175)</f>
        <v>2.6181998481002147</v>
      </c>
      <c r="F98" s="4">
        <f ca="1">$B98*('Updated Population'!F$92/'Updated Population'!$B$92)*('Total Trip Tables Sup #1'!F175/'Total Trip Tables Sup #1'!$B175)</f>
        <v>2.6116895188788054</v>
      </c>
      <c r="G98" s="4">
        <f ca="1">$B98*('Updated Population'!G$92/'Updated Population'!$B$92)*('Total Trip Tables Sup #1'!G175/'Total Trip Tables Sup #1'!$B175)</f>
        <v>2.5590979699154981</v>
      </c>
      <c r="H98" s="4">
        <f ca="1">$B98*('Updated Population'!H$92/'Updated Population'!$B$92)*('Total Trip Tables Sup #1'!H175/'Total Trip Tables Sup #1'!$B175)</f>
        <v>2.490299549009074</v>
      </c>
      <c r="I98" s="1">
        <f ca="1">$B98*('Updated Population'!I$92/'Updated Population'!$B$92)*('Total Trip Tables Sup #1'!I175/'Total Trip Tables Sup #1'!$B175)</f>
        <v>2.5067687190496142</v>
      </c>
      <c r="J98" s="1">
        <f ca="1">$B98*('Updated Population'!J$92/'Updated Population'!$B$92)*('Total Trip Tables Sup #1'!J175/'Total Trip Tables Sup #1'!$B175)</f>
        <v>2.5153145574643778</v>
      </c>
      <c r="K98" s="1">
        <f ca="1">$B98*('Updated Population'!K$92/'Updated Population'!$B$92)*('Total Trip Tables Sup #1'!K175/'Total Trip Tables Sup #1'!$B175)</f>
        <v>2.5184655279404731</v>
      </c>
    </row>
    <row r="99" spans="1:11" x14ac:dyDescent="0.25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10.797078745</v>
      </c>
      <c r="D99" s="4">
        <f ca="1">OFFSET(Wellington_Reference,44,5)</f>
        <v>11.168125702999999</v>
      </c>
      <c r="E99" s="4">
        <f ca="1">OFFSET(Wellington_Reference,45,5)</f>
        <v>11.279089557000001</v>
      </c>
      <c r="F99" s="4">
        <f ca="1">OFFSET(Wellington_Reference,46,5)</f>
        <v>11.274533194</v>
      </c>
      <c r="G99" s="4">
        <f ca="1">OFFSET(Wellington_Reference,47,5)</f>
        <v>11.332285597</v>
      </c>
      <c r="H99" s="4">
        <f ca="1">OFFSET(Wellington_Reference,48,5)</f>
        <v>11.340319081000001</v>
      </c>
      <c r="I99" s="1">
        <f ca="1">OFFSET(Wellington_Reference,48,5)*('Updated Population'!I92/'Updated Population'!H92)</f>
        <v>11.415316341202406</v>
      </c>
      <c r="J99" s="1">
        <f ca="1">OFFSET(Wellington_Reference,48,5)*('Updated Population'!J92/'Updated Population'!H92)</f>
        <v>11.454232356135893</v>
      </c>
      <c r="K99" s="1">
        <f ca="1">OFFSET(Wellington_Reference,48,5)*('Updated Population'!K92/'Updated Population'!H92)</f>
        <v>11.468581236626171</v>
      </c>
    </row>
    <row r="100" spans="1:11" x14ac:dyDescent="0.25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25.478594138999998</v>
      </c>
      <c r="D100" s="4">
        <f ca="1">OFFSET(Wellington_Reference,51,5)</f>
        <v>25.553104759</v>
      </c>
      <c r="E100" s="4">
        <f ca="1">OFFSET(Wellington_Reference,52,5)</f>
        <v>25.151368187999999</v>
      </c>
      <c r="F100" s="4">
        <f ca="1">OFFSET(Wellington_Reference,53,5)</f>
        <v>24.406180762000002</v>
      </c>
      <c r="G100" s="4">
        <f ca="1">OFFSET(Wellington_Reference,54,5)</f>
        <v>23.540603255000001</v>
      </c>
      <c r="H100" s="4">
        <f ca="1">OFFSET(Wellington_Reference,55,5)</f>
        <v>22.598963101999999</v>
      </c>
      <c r="I100" s="1">
        <f ca="1">OFFSET(Wellington_Reference,55,5)*('Updated Population'!I92/'Updated Population'!H92)</f>
        <v>22.748417478368022</v>
      </c>
      <c r="J100" s="1">
        <f ca="1">OFFSET(Wellington_Reference,55,5)*('Updated Population'!J92/'Updated Population'!H92)</f>
        <v>22.825969227950822</v>
      </c>
      <c r="K100" s="1">
        <f ca="1">OFFSET(Wellington_Reference,55,5)*('Updated Population'!K92/'Updated Population'!H92)</f>
        <v>22.854563645659763</v>
      </c>
    </row>
    <row r="101" spans="1:11" x14ac:dyDescent="0.25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$B101*('Updated Population'!C$92/'Updated Population'!$B$92)*('Total Trip Tables Sup #1'!C178/'Total Trip Tables Sup #1'!$B178)</f>
        <v>0.25448580437830426</v>
      </c>
      <c r="D101" s="4">
        <f ca="1">$B101*('Updated Population'!D$92/'Updated Population'!$B$92)*('Total Trip Tables Sup #1'!D178/'Total Trip Tables Sup #1'!$B178)</f>
        <v>0.2750671249378015</v>
      </c>
      <c r="E101" s="4">
        <f ca="1">$B101*('Updated Population'!E$92/'Updated Population'!$B$92)*('Total Trip Tables Sup #1'!E178/'Total Trip Tables Sup #1'!$B178)</f>
        <v>0.28675740096092939</v>
      </c>
      <c r="F101" s="4">
        <f ca="1">$B101*('Updated Population'!F$92/'Updated Population'!$B$92)*('Total Trip Tables Sup #1'!F178/'Total Trip Tables Sup #1'!$B178)</f>
        <v>0.29396432583219856</v>
      </c>
      <c r="G101" s="4">
        <f ca="1">$B101*('Updated Population'!G$92/'Updated Population'!$B$92)*('Total Trip Tables Sup #1'!G178/'Total Trip Tables Sup #1'!$B178)</f>
        <v>0.30647074147047038</v>
      </c>
      <c r="H101" s="4">
        <f ca="1">$B101*('Updated Population'!H$92/'Updated Population'!$B$92)*('Total Trip Tables Sup #1'!H178/'Total Trip Tables Sup #1'!$B178)</f>
        <v>0.31590852540034431</v>
      </c>
      <c r="I101" s="1">
        <f ca="1">$B101*('Updated Population'!I$92/'Updated Population'!$B$92)*('Total Trip Tables Sup #1'!I178/'Total Trip Tables Sup #1'!$B178)</f>
        <v>0.31799773238917611</v>
      </c>
      <c r="J101" s="1">
        <f ca="1">$B101*('Updated Population'!J$92/'Updated Population'!$B$92)*('Total Trip Tables Sup #1'!J178/'Total Trip Tables Sup #1'!$B178)</f>
        <v>0.31908182012994285</v>
      </c>
      <c r="K101" s="1">
        <f ca="1">$B101*('Updated Population'!K$92/'Updated Population'!$B$92)*('Total Trip Tables Sup #1'!K178/'Total Trip Tables Sup #1'!$B178)</f>
        <v>0.3194815384839374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$B102*('Updated Population'!C$92/'Updated Population'!$B$92)*('Total Trip Tables Sup #1'!C179/'Total Trip Tables Sup #1'!$B179)</f>
        <v>0.35158021405210521</v>
      </c>
      <c r="D102" s="4">
        <f ca="1">$B102*('Updated Population'!D$92/'Updated Population'!$B$92)*('Total Trip Tables Sup #1'!D179/'Total Trip Tables Sup #1'!$B179)</f>
        <v>0.36538635305177997</v>
      </c>
      <c r="E102" s="4">
        <f ca="1">$B102*('Updated Population'!E$92/'Updated Population'!$B$92)*('Total Trip Tables Sup #1'!E179/'Total Trip Tables Sup #1'!$B179)</f>
        <v>0.37540577500486655</v>
      </c>
      <c r="F102" s="4">
        <f ca="1">$B102*('Updated Population'!F$92/'Updated Population'!$B$92)*('Total Trip Tables Sup #1'!F179/'Total Trip Tables Sup #1'!$B179)</f>
        <v>0.38258247313827143</v>
      </c>
      <c r="G102" s="4">
        <f ca="1">$B102*('Updated Population'!G$92/'Updated Population'!$B$92)*('Total Trip Tables Sup #1'!G179/'Total Trip Tables Sup #1'!$B179)</f>
        <v>0.38670634840662577</v>
      </c>
      <c r="H102" s="4">
        <f ca="1">$B102*('Updated Population'!H$92/'Updated Population'!$B$92)*('Total Trip Tables Sup #1'!H179/'Total Trip Tables Sup #1'!$B179)</f>
        <v>0.38527928252168581</v>
      </c>
      <c r="I102" s="1">
        <f ca="1">$B102*('Updated Population'!I$92/'Updated Population'!$B$92)*('Total Trip Tables Sup #1'!I179/'Total Trip Tables Sup #1'!$B179)</f>
        <v>0.3878272611451698</v>
      </c>
      <c r="J102" s="1">
        <f ca="1">$B102*('Updated Population'!J$92/'Updated Population'!$B$92)*('Total Trip Tables Sup #1'!J179/'Total Trip Tables Sup #1'!$B179)</f>
        <v>0.38914940509941681</v>
      </c>
      <c r="K102" s="1">
        <f ca="1">$B102*('Updated Population'!K$92/'Updated Population'!$B$92)*('Total Trip Tables Sup #1'!K179/'Total Trip Tables Sup #1'!$B179)</f>
        <v>0.38963689811798158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OFFSET(Nelson_Reference,0,5)</f>
        <v>34.609993433</v>
      </c>
      <c r="C104" s="4">
        <f ca="1">$B104*('Updated Population'!C$103/'Updated Population'!$B$103)*('Total Trip Tables Sup #1'!C170/'Total Trip Tables Sup #1'!$B170)</f>
        <v>35.722509884704124</v>
      </c>
      <c r="D104" s="4">
        <f ca="1">$B104*('Updated Population'!D$103/'Updated Population'!$B$103)*('Total Trip Tables Sup #1'!D170/'Total Trip Tables Sup #1'!$B170)</f>
        <v>36.181911702085003</v>
      </c>
      <c r="E104" s="4">
        <f ca="1">$B104*('Updated Population'!E$103/'Updated Population'!$B$103)*('Total Trip Tables Sup #1'!E170/'Total Trip Tables Sup #1'!$B170)</f>
        <v>36.162827961815182</v>
      </c>
      <c r="F104" s="4">
        <f ca="1">$B104*('Updated Population'!F$103/'Updated Population'!$B$103)*('Total Trip Tables Sup #1'!F170/'Total Trip Tables Sup #1'!$B170)</f>
        <v>35.766978662937348</v>
      </c>
      <c r="G104" s="4">
        <f ca="1">$B104*('Updated Population'!G$103/'Updated Population'!$B$103)*('Total Trip Tables Sup #1'!G170/'Total Trip Tables Sup #1'!$B170)</f>
        <v>35.145942147563133</v>
      </c>
      <c r="H104" s="4">
        <f ca="1">$B104*('Updated Population'!H$103/'Updated Population'!$B$103)*('Total Trip Tables Sup #1'!H170/'Total Trip Tables Sup #1'!$B170)</f>
        <v>34.325500731192697</v>
      </c>
      <c r="I104" s="1">
        <f ca="1">$B104*('Updated Population'!I$103/'Updated Population'!$B$103)*('Total Trip Tables Sup #1'!I170/'Total Trip Tables Sup #1'!$B170)</f>
        <v>34.273244065185132</v>
      </c>
      <c r="J104" s="1">
        <f ca="1">$B104*('Updated Population'!J$103/'Updated Population'!$B$103)*('Total Trip Tables Sup #1'!J170/'Total Trip Tables Sup #1'!$B170)</f>
        <v>34.113745902086819</v>
      </c>
      <c r="K104" s="1">
        <f ca="1">$B104*('Updated Population'!K$103/'Updated Population'!$B$103)*('Total Trip Tables Sup #1'!K170/'Total Trip Tables Sup #1'!$B170)</f>
        <v>33.883619911128832</v>
      </c>
    </row>
    <row r="105" spans="1:11" x14ac:dyDescent="0.25">
      <c r="A105" t="str">
        <f ca="1">OFFSET(Nelson_Reference,7,2)</f>
        <v>Cyclist</v>
      </c>
      <c r="B105" s="4">
        <f ca="1">OFFSET(Nelson_Reference,7,5)</f>
        <v>2.9519642961999999</v>
      </c>
      <c r="C105" s="4">
        <f ca="1">$B105*('Updated Population'!C$103/'Updated Population'!$B$103)*('Total Trip Tables Sup #1'!C171/'Total Trip Tables Sup #1'!$B171)</f>
        <v>3.015476381030159</v>
      </c>
      <c r="D105" s="4">
        <f ca="1">$B105*('Updated Population'!D$103/'Updated Population'!$B$103)*('Total Trip Tables Sup #1'!D171/'Total Trip Tables Sup #1'!$B171)</f>
        <v>3.0055883493718896</v>
      </c>
      <c r="E105" s="4">
        <f ca="1">$B105*('Updated Population'!E$103/'Updated Population'!$B$103)*('Total Trip Tables Sup #1'!E171/'Total Trip Tables Sup #1'!$B171)</f>
        <v>2.9549494371849332</v>
      </c>
      <c r="F105" s="4">
        <f ca="1">$B105*('Updated Population'!F$103/'Updated Population'!$B$103)*('Total Trip Tables Sup #1'!F171/'Total Trip Tables Sup #1'!$B171)</f>
        <v>2.8999855463191371</v>
      </c>
      <c r="G105" s="4">
        <f ca="1">$B105*('Updated Population'!G$103/'Updated Population'!$B$103)*('Total Trip Tables Sup #1'!G171/'Total Trip Tables Sup #1'!$B171)</f>
        <v>2.8408189359009923</v>
      </c>
      <c r="H105" s="4">
        <f ca="1">$B105*('Updated Population'!H$103/'Updated Population'!$B$103)*('Total Trip Tables Sup #1'!H171/'Total Trip Tables Sup #1'!$B171)</f>
        <v>2.7753284067460706</v>
      </c>
      <c r="I105" s="1">
        <f ca="1">$B105*('Updated Population'!I$103/'Updated Population'!$B$103)*('Total Trip Tables Sup #1'!I171/'Total Trip Tables Sup #1'!$B171)</f>
        <v>2.7711032852904975</v>
      </c>
      <c r="J105" s="1">
        <f ca="1">$B105*('Updated Population'!J$103/'Updated Population'!$B$103)*('Total Trip Tables Sup #1'!J171/'Total Trip Tables Sup #1'!$B171)</f>
        <v>2.7582073399017588</v>
      </c>
      <c r="K105" s="1">
        <f ca="1">$B105*('Updated Population'!K$103/'Updated Population'!$B$103)*('Total Trip Tables Sup #1'!K171/'Total Trip Tables Sup #1'!$B171)</f>
        <v>2.7396009048540133</v>
      </c>
    </row>
    <row r="106" spans="1:11" x14ac:dyDescent="0.25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$B106*('Updated Population'!C$103/'Updated Population'!$B$103)*('Total Trip Tables Sup #1'!C172/'Total Trip Tables Sup #1'!$B172)</f>
        <v>103.9797808292014</v>
      </c>
      <c r="D106" s="4">
        <f ca="1">$B106*('Updated Population'!D$103/'Updated Population'!$B$103)*('Total Trip Tables Sup #1'!D172/'Total Trip Tables Sup #1'!$B172)</f>
        <v>106.94464837625112</v>
      </c>
      <c r="E106" s="4">
        <f ca="1">$B106*('Updated Population'!E$103/'Updated Population'!$B$103)*('Total Trip Tables Sup #1'!E172/'Total Trip Tables Sup #1'!$B172)</f>
        <v>109.62601040170826</v>
      </c>
      <c r="F106" s="4">
        <f ca="1">$B106*('Updated Population'!F$103/'Updated Population'!$B$103)*('Total Trip Tables Sup #1'!F172/'Total Trip Tables Sup #1'!$B172)</f>
        <v>111.58381731313725</v>
      </c>
      <c r="G106" s="4">
        <f ca="1">$B106*('Updated Population'!G$103/'Updated Population'!$B$103)*('Total Trip Tables Sup #1'!G172/'Total Trip Tables Sup #1'!$B172)</f>
        <v>112.14632739454849</v>
      </c>
      <c r="H106" s="4">
        <f ca="1">$B106*('Updated Population'!H$103/'Updated Population'!$B$103)*('Total Trip Tables Sup #1'!H172/'Total Trip Tables Sup #1'!$B172)</f>
        <v>111.92602892984146</v>
      </c>
      <c r="I106" s="1">
        <f ca="1">$B106*('Updated Population'!I$103/'Updated Population'!$B$103)*('Total Trip Tables Sup #1'!I172/'Total Trip Tables Sup #1'!$B172)</f>
        <v>111.7556342965004</v>
      </c>
      <c r="J106" s="1">
        <f ca="1">$B106*('Updated Population'!J$103/'Updated Population'!$B$103)*('Total Trip Tables Sup #1'!J172/'Total Trip Tables Sup #1'!$B172)</f>
        <v>111.23555459957188</v>
      </c>
      <c r="K106" s="1">
        <f ca="1">$B106*('Updated Population'!K$103/'Updated Population'!$B$103)*('Total Trip Tables Sup #1'!K172/'Total Trip Tables Sup #1'!$B172)</f>
        <v>110.48517695692135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$B107*('Updated Population'!C$103/'Updated Population'!$B$103)*('Total Trip Tables Sup #1'!C173/'Total Trip Tables Sup #1'!$B173)</f>
        <v>46.314568683380614</v>
      </c>
      <c r="D107" s="4">
        <f ca="1">$B107*('Updated Population'!D$103/'Updated Population'!$B$103)*('Total Trip Tables Sup #1'!D173/'Total Trip Tables Sup #1'!$B173)</f>
        <v>46.288820734413171</v>
      </c>
      <c r="E107" s="4">
        <f ca="1">$B107*('Updated Population'!E$103/'Updated Population'!$B$103)*('Total Trip Tables Sup #1'!E173/'Total Trip Tables Sup #1'!$B173)</f>
        <v>46.080052884558675</v>
      </c>
      <c r="F107" s="4">
        <f ca="1">$B107*('Updated Population'!F$103/'Updated Population'!$B$103)*('Total Trip Tables Sup #1'!F173/'Total Trip Tables Sup #1'!$B173)</f>
        <v>45.682045150942955</v>
      </c>
      <c r="G107" s="4">
        <f ca="1">$B107*('Updated Population'!G$103/'Updated Population'!$B$103)*('Total Trip Tables Sup #1'!G173/'Total Trip Tables Sup #1'!$B173)</f>
        <v>44.940140943758287</v>
      </c>
      <c r="H107" s="4">
        <f ca="1">$B107*('Updated Population'!H$103/'Updated Population'!$B$103)*('Total Trip Tables Sup #1'!H173/'Total Trip Tables Sup #1'!$B173)</f>
        <v>43.89733698596369</v>
      </c>
      <c r="I107" s="1">
        <f ca="1">$B107*('Updated Population'!I$103/'Updated Population'!$B$103)*('Total Trip Tables Sup #1'!I173/'Total Trip Tables Sup #1'!$B173)</f>
        <v>43.830508289262035</v>
      </c>
      <c r="J107" s="1">
        <f ca="1">$B107*('Updated Population'!J$103/'Updated Population'!$B$103)*('Total Trip Tables Sup #1'!J173/'Total Trip Tables Sup #1'!$B173)</f>
        <v>43.626533271708801</v>
      </c>
      <c r="K107" s="1">
        <f ca="1">$B107*('Updated Population'!K$103/'Updated Population'!$B$103)*('Total Trip Tables Sup #1'!K173/'Total Trip Tables Sup #1'!$B173)</f>
        <v>43.332235505933411</v>
      </c>
    </row>
    <row r="108" spans="1:11" x14ac:dyDescent="0.25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$B108*('Updated Population'!C$103/'Updated Population'!$B$103)*('Total Trip Tables Sup #1'!C174/'Total Trip Tables Sup #1'!$B174)</f>
        <v>0.44728849349745214</v>
      </c>
      <c r="D108" s="4">
        <f ca="1">$B108*('Updated Population'!D$103/'Updated Population'!$B$103)*('Total Trip Tables Sup #1'!D174/'Total Trip Tables Sup #1'!$B174)</f>
        <v>0.47851349380455582</v>
      </c>
      <c r="E108" s="4">
        <f ca="1">$B108*('Updated Population'!E$103/'Updated Population'!$B$103)*('Total Trip Tables Sup #1'!E174/'Total Trip Tables Sup #1'!$B174)</f>
        <v>0.50039122107806611</v>
      </c>
      <c r="F108" s="4">
        <f ca="1">$B108*('Updated Population'!F$103/'Updated Population'!$B$103)*('Total Trip Tables Sup #1'!F174/'Total Trip Tables Sup #1'!$B174)</f>
        <v>0.51583985108315267</v>
      </c>
      <c r="G108" s="4">
        <f ca="1">$B108*('Updated Population'!G$103/'Updated Population'!$B$103)*('Total Trip Tables Sup #1'!G174/'Total Trip Tables Sup #1'!$B174)</f>
        <v>0.52251580860476954</v>
      </c>
      <c r="H108" s="4">
        <f ca="1">$B108*('Updated Population'!H$103/'Updated Population'!$B$103)*('Total Trip Tables Sup #1'!H174/'Total Trip Tables Sup #1'!$B174)</f>
        <v>0.52627864101143473</v>
      </c>
      <c r="I108" s="1">
        <f ca="1">$B108*('Updated Population'!I$103/'Updated Population'!$B$103)*('Total Trip Tables Sup #1'!I174/'Total Trip Tables Sup #1'!$B174)</f>
        <v>0.52547744171107724</v>
      </c>
      <c r="J108" s="1">
        <f ca="1">$B108*('Updated Population'!J$103/'Updated Population'!$B$103)*('Total Trip Tables Sup #1'!J174/'Total Trip Tables Sup #1'!$B174)</f>
        <v>0.52303201557799484</v>
      </c>
      <c r="K108" s="1">
        <f ca="1">$B108*('Updated Population'!K$103/'Updated Population'!$B$103)*('Total Trip Tables Sup #1'!K174/'Total Trip Tables Sup #1'!$B174)</f>
        <v>0.51950372345689189</v>
      </c>
    </row>
    <row r="109" spans="1:11" x14ac:dyDescent="0.25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$B109*('Updated Population'!C$103/'Updated Population'!$B$103)*('Total Trip Tables Sup #1'!C175/'Total Trip Tables Sup #1'!$B175)</f>
        <v>1.5522503237749492</v>
      </c>
      <c r="D109" s="4">
        <f ca="1">$B109*('Updated Population'!D$103/'Updated Population'!$B$103)*('Total Trip Tables Sup #1'!D175/'Total Trip Tables Sup #1'!$B175)</f>
        <v>1.5576447155456934</v>
      </c>
      <c r="E109" s="4">
        <f ca="1">$B109*('Updated Population'!E$103/'Updated Population'!$B$103)*('Total Trip Tables Sup #1'!E175/'Total Trip Tables Sup #1'!$B175)</f>
        <v>1.5572615947502875</v>
      </c>
      <c r="F109" s="4">
        <f ca="1">$B109*('Updated Population'!F$103/'Updated Population'!$B$103)*('Total Trip Tables Sup #1'!F175/'Total Trip Tables Sup #1'!$B175)</f>
        <v>1.5454455987322473</v>
      </c>
      <c r="G109" s="4">
        <f ca="1">$B109*('Updated Population'!G$103/'Updated Population'!$B$103)*('Total Trip Tables Sup #1'!G175/'Total Trip Tables Sup #1'!$B175)</f>
        <v>1.5045416386628843</v>
      </c>
      <c r="H109" s="4">
        <f ca="1">$B109*('Updated Population'!H$103/'Updated Population'!$B$103)*('Total Trip Tables Sup #1'!H175/'Total Trip Tables Sup #1'!$B175)</f>
        <v>1.4521920841726834</v>
      </c>
      <c r="I109" s="1">
        <f ca="1">$B109*('Updated Population'!I$103/'Updated Population'!$B$103)*('Total Trip Tables Sup #1'!I175/'Total Trip Tables Sup #1'!$B175)</f>
        <v>1.4499812870945656</v>
      </c>
      <c r="J109" s="1">
        <f ca="1">$B109*('Updated Population'!J$103/'Updated Population'!$B$103)*('Total Trip Tables Sup #1'!J175/'Total Trip Tables Sup #1'!$B175)</f>
        <v>1.4432334767215924</v>
      </c>
      <c r="K109" s="1">
        <f ca="1">$B109*('Updated Population'!K$103/'Updated Population'!$B$103)*('Total Trip Tables Sup #1'!K175/'Total Trip Tables Sup #1'!$B175)</f>
        <v>1.4334976495577401</v>
      </c>
    </row>
    <row r="110" spans="1:11" x14ac:dyDescent="0.25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Trip Tables Sup #1'!C176/'Total Trip Tables Sup #1'!$B176)</f>
        <v>0</v>
      </c>
      <c r="D110" s="4">
        <f ca="1">$B110*('Updated Population'!D$103/'Updated Population'!$B$103)*('Total Trip Tables Sup #1'!D176/'Total Trip Tables Sup #1'!$B176)</f>
        <v>0</v>
      </c>
      <c r="E110" s="4">
        <f ca="1">$B110*('Updated Population'!E$103/'Updated Population'!$B$103)*('Total Trip Tables Sup #1'!E176/'Total Trip Tables Sup #1'!$B176)</f>
        <v>0</v>
      </c>
      <c r="F110" s="4">
        <f ca="1">$B110*('Updated Population'!F$103/'Updated Population'!$B$103)*('Total Trip Tables Sup #1'!F176/'Total Trip Tables Sup #1'!$B176)</f>
        <v>0</v>
      </c>
      <c r="G110" s="4">
        <f ca="1">$B110*('Updated Population'!G$103/'Updated Population'!$B$103)*('Total Trip Tables Sup #1'!G176/'Total Trip Tables Sup #1'!$B176)</f>
        <v>0</v>
      </c>
      <c r="H110" s="4">
        <f ca="1">$B110*('Updated Population'!H$103/'Updated Population'!$B$103)*('Total Trip Tables Sup #1'!H176/'Total Trip Tables Sup #1'!$B176)</f>
        <v>0</v>
      </c>
      <c r="I110" s="1">
        <f ca="1">$B110*('Updated Population'!I$103/'Updated Population'!$B$103)*('Total Trip Tables Sup #1'!I176/'Total Trip Tables Sup #1'!$B176)</f>
        <v>0</v>
      </c>
      <c r="J110" s="1">
        <f ca="1">$B110*('Updated Population'!J$103/'Updated Population'!$B$103)*('Total Trip Tables Sup #1'!J176/'Total Trip Tables Sup #1'!$B176)</f>
        <v>0</v>
      </c>
      <c r="K110" s="1">
        <f ca="1">$B110*('Updated Population'!K$103/'Updated Population'!$B$103)*('Total Trip Tables Sup #1'!K176/'Total Trip Tables Sup #1'!$B176)</f>
        <v>0</v>
      </c>
    </row>
    <row r="111" spans="1:11" x14ac:dyDescent="0.25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$B111*('Updated Population'!C$103/'Updated Population'!$B$103)*('Total Trip Tables Sup #1'!C177/'Total Trip Tables Sup #1'!$B177)</f>
        <v>2.0058771710628251</v>
      </c>
      <c r="D111" s="4">
        <f ca="1">$B111*('Updated Population'!D$103/'Updated Population'!$B$103)*('Total Trip Tables Sup #1'!D177/'Total Trip Tables Sup #1'!$B177)</f>
        <v>1.9441654874507792</v>
      </c>
      <c r="E111" s="4">
        <f ca="1">$B111*('Updated Population'!E$103/'Updated Population'!$B$103)*('Total Trip Tables Sup #1'!E177/'Total Trip Tables Sup #1'!$B177)</f>
        <v>1.9082183147310148</v>
      </c>
      <c r="F111" s="4">
        <f ca="1">$B111*('Updated Population'!F$103/'Updated Population'!$B$103)*('Total Trip Tables Sup #1'!F177/'Total Trip Tables Sup #1'!$B177)</f>
        <v>1.8481024544016194</v>
      </c>
      <c r="G111" s="4">
        <f ca="1">$B111*('Updated Population'!G$103/'Updated Population'!$B$103)*('Total Trip Tables Sup #1'!G177/'Total Trip Tables Sup #1'!$B177)</f>
        <v>1.7969657999186457</v>
      </c>
      <c r="H111" s="4">
        <f ca="1">$B111*('Updated Population'!H$103/'Updated Population'!$B$103)*('Total Trip Tables Sup #1'!H177/'Total Trip Tables Sup #1'!$B177)</f>
        <v>1.7343719347216588</v>
      </c>
      <c r="I111" s="1">
        <f ca="1">$B111*('Updated Population'!I$103/'Updated Population'!$B$103)*('Total Trip Tables Sup #1'!I177/'Total Trip Tables Sup #1'!$B177)</f>
        <v>1.7317315509546338</v>
      </c>
      <c r="J111" s="1">
        <f ca="1">$B111*('Updated Population'!J$103/'Updated Population'!$B$103)*('Total Trip Tables Sup #1'!J177/'Total Trip Tables Sup #1'!$B177)</f>
        <v>1.7236725530718737</v>
      </c>
      <c r="K111" s="1">
        <f ca="1">$B111*('Updated Population'!K$103/'Updated Population'!$B$103)*('Total Trip Tables Sup #1'!K177/'Total Trip Tables Sup #1'!$B177)</f>
        <v>1.7120449277884691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Trip Tables Sup #1'!C178/'Total Trip Tables Sup #1'!$B178)</f>
        <v>0</v>
      </c>
      <c r="D112" s="4">
        <f ca="1">$B112*('Updated Population'!D$103/'Updated Population'!$B$103)*('Total Trip Tables Sup #1'!D178/'Total Trip Tables Sup #1'!$B178)</f>
        <v>0</v>
      </c>
      <c r="E112" s="4">
        <f ca="1">$B112*('Updated Population'!E$103/'Updated Population'!$B$103)*('Total Trip Tables Sup #1'!E178/'Total Trip Tables Sup #1'!$B178)</f>
        <v>0</v>
      </c>
      <c r="F112" s="4">
        <f ca="1">$B112*('Updated Population'!F$103/'Updated Population'!$B$103)*('Total Trip Tables Sup #1'!F178/'Total Trip Tables Sup #1'!$B178)</f>
        <v>0</v>
      </c>
      <c r="G112" s="4">
        <f ca="1">$B112*('Updated Population'!G$103/'Updated Population'!$B$103)*('Total Trip Tables Sup #1'!G178/'Total Trip Tables Sup #1'!$B178)</f>
        <v>0</v>
      </c>
      <c r="H112" s="4">
        <f ca="1">$B112*('Updated Population'!H$103/'Updated Population'!$B$103)*('Total Trip Tables Sup #1'!H178/'Total Trip Tables Sup #1'!$B178)</f>
        <v>0</v>
      </c>
      <c r="I112" s="1">
        <f ca="1">$B112*('Updated Population'!I$103/'Updated Population'!$B$103)*('Total Trip Tables Sup #1'!I178/'Total Trip Tables Sup #1'!$B178)</f>
        <v>0</v>
      </c>
      <c r="J112" s="1">
        <f ca="1">$B112*('Updated Population'!J$103/'Updated Population'!$B$103)*('Total Trip Tables Sup #1'!J178/'Total Trip Tables Sup #1'!$B178)</f>
        <v>0</v>
      </c>
      <c r="K112" s="1">
        <f ca="1">$B112*('Updated Population'!K$103/'Updated Population'!$B$103)*('Total Trip Tables Sup #1'!K178/'Total Trip Tables Sup #1'!$B178)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$B113*('Updated Population'!C$103/'Updated Population'!$B$103)*('Total Trip Tables Sup #1'!C179/'Total Trip Tables Sup #1'!$B179)</f>
        <v>1.5578396468304936</v>
      </c>
      <c r="D113" s="4">
        <f ca="1">$B113*('Updated Population'!D$103/'Updated Population'!$B$103)*('Total Trip Tables Sup #1'!D179/'Total Trip Tables Sup #1'!$B179)</f>
        <v>1.613691321491086</v>
      </c>
      <c r="E113" s="4">
        <f ca="1">$B113*('Updated Population'!E$103/'Updated Population'!$B$103)*('Total Trip Tables Sup #1'!E179/'Total Trip Tables Sup #1'!$B179)</f>
        <v>1.6521346622767508</v>
      </c>
      <c r="F113" s="4">
        <f ca="1">$B113*('Updated Population'!F$103/'Updated Population'!$B$103)*('Total Trip Tables Sup #1'!F179/'Total Trip Tables Sup #1'!$B179)</f>
        <v>1.6751085680223121</v>
      </c>
      <c r="G113" s="4">
        <f ca="1">$B113*('Updated Population'!G$103/'Updated Population'!$B$103)*('Total Trip Tables Sup #1'!G179/'Total Trip Tables Sup #1'!$B179)</f>
        <v>1.6822258985037026</v>
      </c>
      <c r="H113" s="4">
        <f ca="1">$B113*('Updated Population'!H$103/'Updated Population'!$B$103)*('Total Trip Tables Sup #1'!H179/'Total Trip Tables Sup #1'!$B179)</f>
        <v>1.6623935513461725</v>
      </c>
      <c r="I113" s="1">
        <f ca="1">$B113*('Updated Population'!I$103/'Updated Population'!$B$103)*('Total Trip Tables Sup #1'!I179/'Total Trip Tables Sup #1'!$B179)</f>
        <v>1.6598627464712159</v>
      </c>
      <c r="J113" s="1">
        <f ca="1">$B113*('Updated Population'!J$103/'Updated Population'!$B$103)*('Total Trip Tables Sup #1'!J179/'Total Trip Tables Sup #1'!$B179)</f>
        <v>1.6521382060526333</v>
      </c>
      <c r="K113" s="1">
        <f ca="1">$B113*('Updated Population'!K$103/'Updated Population'!$B$103)*('Total Trip Tables Sup #1'!K179/'Total Trip Tables Sup #1'!$B179)</f>
        <v>1.6409931402788933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$B115*('Updated Population'!C$114/'Updated Population'!$B$114)*('Total Trip Tables Sup #1'!C170/'Total Trip Tables Sup #1'!$B170)</f>
        <v>5.1090295193483763</v>
      </c>
      <c r="D115" s="4">
        <f ca="1">$B115*('Updated Population'!D$114/'Updated Population'!$B$114)*('Total Trip Tables Sup #1'!D170/'Total Trip Tables Sup #1'!$B170)</f>
        <v>5.0231296085191381</v>
      </c>
      <c r="E115" s="4">
        <f ca="1">$B115*('Updated Population'!E$114/'Updated Population'!$B$114)*('Total Trip Tables Sup #1'!E170/'Total Trip Tables Sup #1'!$B170)</f>
        <v>4.8815302467485848</v>
      </c>
      <c r="F115" s="4">
        <f ca="1">$B115*('Updated Population'!F$114/'Updated Population'!$B$114)*('Total Trip Tables Sup #1'!F170/'Total Trip Tables Sup #1'!$B170)</f>
        <v>4.6965110772888137</v>
      </c>
      <c r="G115" s="4">
        <f ca="1">$B115*('Updated Population'!G$114/'Updated Population'!$B$114)*('Total Trip Tables Sup #1'!G170/'Total Trip Tables Sup #1'!$B170)</f>
        <v>4.4915307778200813</v>
      </c>
      <c r="H115" s="4">
        <f ca="1">$B115*('Updated Population'!H$114/'Updated Population'!$B$114)*('Total Trip Tables Sup #1'!H170/'Total Trip Tables Sup #1'!$B170)</f>
        <v>4.2805853534845877</v>
      </c>
      <c r="I115" s="1">
        <f ca="1">$B115*('Updated Population'!I$114/'Updated Population'!$B$114)*('Total Trip Tables Sup #1'!I170/'Total Trip Tables Sup #1'!$B170)</f>
        <v>4.1704997891543494</v>
      </c>
      <c r="J115" s="1">
        <f ca="1">$B115*('Updated Population'!J$114/'Updated Population'!$B$114)*('Total Trip Tables Sup #1'!J170/'Total Trip Tables Sup #1'!$B170)</f>
        <v>4.0503113302748037</v>
      </c>
      <c r="K115" s="1">
        <f ca="1">$B115*('Updated Population'!K$114/'Updated Population'!$B$114)*('Total Trip Tables Sup #1'!K170/'Total Trip Tables Sup #1'!$B170)</f>
        <v>3.9251330172036978</v>
      </c>
    </row>
    <row r="116" spans="1:11" x14ac:dyDescent="0.25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$B116*('Updated Population'!C$114/'Updated Population'!$B$114)*('Total Trip Tables Sup #1'!C171/'Total Trip Tables Sup #1'!$B171)</f>
        <v>0.70407927411287052</v>
      </c>
      <c r="D116" s="4">
        <f ca="1">$B116*('Updated Population'!D$114/'Updated Population'!$B$114)*('Total Trip Tables Sup #1'!D171/'Total Trip Tables Sup #1'!$B171)</f>
        <v>0.68121084817455368</v>
      </c>
      <c r="E116" s="4">
        <f ca="1">$B116*('Updated Population'!E$114/'Updated Population'!$B$114)*('Total Trip Tables Sup #1'!E171/'Total Trip Tables Sup #1'!$B171)</f>
        <v>0.65119766619397135</v>
      </c>
      <c r="F116" s="4">
        <f ca="1">$B116*('Updated Population'!F$114/'Updated Population'!$B$114)*('Total Trip Tables Sup #1'!F171/'Total Trip Tables Sup #1'!$B171)</f>
        <v>0.62166742457092528</v>
      </c>
      <c r="G116" s="4">
        <f ca="1">$B116*('Updated Population'!G$114/'Updated Population'!$B$114)*('Total Trip Tables Sup #1'!G171/'Total Trip Tables Sup #1'!$B171)</f>
        <v>0.59269590475212397</v>
      </c>
      <c r="H116" s="4">
        <f ca="1">$B116*('Updated Population'!H$114/'Updated Population'!$B$114)*('Total Trip Tables Sup #1'!H171/'Total Trip Tables Sup #1'!$B171)</f>
        <v>0.56502783482765073</v>
      </c>
      <c r="I116" s="1">
        <f ca="1">$B116*('Updated Population'!I$114/'Updated Population'!$B$114)*('Total Trip Tables Sup #1'!I171/'Total Trip Tables Sup #1'!$B171)</f>
        <v>0.55049678289834869</v>
      </c>
      <c r="J116" s="1">
        <f ca="1">$B116*('Updated Population'!J$114/'Updated Population'!$B$114)*('Total Trip Tables Sup #1'!J171/'Total Trip Tables Sup #1'!$B171)</f>
        <v>0.53463217114923356</v>
      </c>
      <c r="K116" s="1">
        <f ca="1">$B116*('Updated Population'!K$114/'Updated Population'!$B$114)*('Total Trip Tables Sup #1'!K171/'Total Trip Tables Sup #1'!$B171)</f>
        <v>0.51810890964146605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$B117*('Updated Population'!C$114/'Updated Population'!$B$114)*('Total Trip Tables Sup #1'!C172/'Total Trip Tables Sup #1'!$B172)</f>
        <v>21.212251299399963</v>
      </c>
      <c r="D117" s="4">
        <f ca="1">$B117*('Updated Population'!D$114/'Updated Population'!$B$114)*('Total Trip Tables Sup #1'!D172/'Total Trip Tables Sup #1'!$B172)</f>
        <v>21.177922295417957</v>
      </c>
      <c r="E117" s="4">
        <f ca="1">$B117*('Updated Population'!E$114/'Updated Population'!$B$114)*('Total Trip Tables Sup #1'!E172/'Total Trip Tables Sup #1'!$B172)</f>
        <v>21.108074942413033</v>
      </c>
      <c r="F117" s="4">
        <f ca="1">$B117*('Updated Population'!F$114/'Updated Population'!$B$114)*('Total Trip Tables Sup #1'!F172/'Total Trip Tables Sup #1'!$B172)</f>
        <v>20.899491954024832</v>
      </c>
      <c r="G117" s="4">
        <f ca="1">$B117*('Updated Population'!G$114/'Updated Population'!$B$114)*('Total Trip Tables Sup #1'!G172/'Total Trip Tables Sup #1'!$B172)</f>
        <v>20.443048775221765</v>
      </c>
      <c r="H117" s="4">
        <f ca="1">$B117*('Updated Population'!H$114/'Updated Population'!$B$114)*('Total Trip Tables Sup #1'!H172/'Total Trip Tables Sup #1'!$B172)</f>
        <v>19.909428522608124</v>
      </c>
      <c r="I117" s="1">
        <f ca="1">$B117*('Updated Population'!I$114/'Updated Population'!$B$114)*('Total Trip Tables Sup #1'!I172/'Total Trip Tables Sup #1'!$B172)</f>
        <v>19.397409606171927</v>
      </c>
      <c r="J117" s="1">
        <f ca="1">$B117*('Updated Population'!J$114/'Updated Population'!$B$114)*('Total Trip Tables Sup #1'!J172/'Total Trip Tables Sup #1'!$B172)</f>
        <v>18.838401121653138</v>
      </c>
      <c r="K117" s="1">
        <f ca="1">$B117*('Updated Population'!K$114/'Updated Population'!$B$114)*('Total Trip Tables Sup #1'!K172/'Total Trip Tables Sup #1'!$B172)</f>
        <v>18.256184328652839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$B118*('Updated Population'!C$114/'Updated Population'!$B$114)*('Total Trip Tables Sup #1'!C173/'Total Trip Tables Sup #1'!$B173)</f>
        <v>10.51167615450799</v>
      </c>
      <c r="D118" s="4">
        <f ca="1">$B118*('Updated Population'!D$114/'Updated Population'!$B$114)*('Total Trip Tables Sup #1'!D173/'Total Trip Tables Sup #1'!$B173)</f>
        <v>10.198044275770066</v>
      </c>
      <c r="E118" s="4">
        <f ca="1">$B118*('Updated Population'!E$114/'Updated Population'!$B$114)*('Total Trip Tables Sup #1'!E173/'Total Trip Tables Sup #1'!$B173)</f>
        <v>9.8710754146992308</v>
      </c>
      <c r="F118" s="4">
        <f ca="1">$B118*('Updated Population'!F$114/'Updated Population'!$B$114)*('Total Trip Tables Sup #1'!F173/'Total Trip Tables Sup #1'!$B173)</f>
        <v>9.5191141740795473</v>
      </c>
      <c r="G118" s="4">
        <f ca="1">$B118*('Updated Population'!G$114/'Updated Population'!$B$114)*('Total Trip Tables Sup #1'!G173/'Total Trip Tables Sup #1'!$B173)</f>
        <v>9.1140524190992984</v>
      </c>
      <c r="H118" s="4">
        <f ca="1">$B118*('Updated Population'!H$114/'Updated Population'!$B$114)*('Total Trip Tables Sup #1'!H173/'Total Trip Tables Sup #1'!$B173)</f>
        <v>8.6872507323509041</v>
      </c>
      <c r="I118" s="1">
        <f ca="1">$B118*('Updated Population'!I$114/'Updated Population'!$B$114)*('Total Trip Tables Sup #1'!I173/'Total Trip Tables Sup #1'!$B173)</f>
        <v>8.4638371521099174</v>
      </c>
      <c r="J118" s="1">
        <f ca="1">$B118*('Updated Population'!J$114/'Updated Population'!$B$114)*('Total Trip Tables Sup #1'!J173/'Total Trip Tables Sup #1'!$B173)</f>
        <v>8.2199202129063771</v>
      </c>
      <c r="K118" s="1">
        <f ca="1">$B118*('Updated Population'!K$114/'Updated Population'!$B$114)*('Total Trip Tables Sup #1'!K173/'Total Trip Tables Sup #1'!$B173)</f>
        <v>7.9658765945455912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$B119*('Updated Population'!C$114/'Updated Population'!$B$114)*('Total Trip Tables Sup #1'!C174/'Total Trip Tables Sup #1'!$B174)</f>
        <v>0.31201156938657709</v>
      </c>
      <c r="D119" s="4">
        <f ca="1">$B119*('Updated Population'!D$114/'Updated Population'!$B$114)*('Total Trip Tables Sup #1'!D174/'Total Trip Tables Sup #1'!$B174)</f>
        <v>0.32401386059907605</v>
      </c>
      <c r="E119" s="4">
        <f ca="1">$B119*('Updated Population'!E$114/'Updated Population'!$B$114)*('Total Trip Tables Sup #1'!E174/'Total Trip Tables Sup #1'!$B174)</f>
        <v>0.32945022314268252</v>
      </c>
      <c r="F119" s="4">
        <f ca="1">$B119*('Updated Population'!F$114/'Updated Population'!$B$114)*('Total Trip Tables Sup #1'!F174/'Total Trip Tables Sup #1'!$B174)</f>
        <v>0.33036536537088912</v>
      </c>
      <c r="G119" s="4">
        <f ca="1">$B119*('Updated Population'!G$114/'Updated Population'!$B$114)*('Total Trip Tables Sup #1'!G174/'Total Trip Tables Sup #1'!$B174)</f>
        <v>0.32569054401513797</v>
      </c>
      <c r="H119" s="4">
        <f ca="1">$B119*('Updated Population'!H$114/'Updated Population'!$B$114)*('Total Trip Tables Sup #1'!H174/'Total Trip Tables Sup #1'!$B174)</f>
        <v>0.32010211919915427</v>
      </c>
      <c r="I119" s="1">
        <f ca="1">$B119*('Updated Population'!I$114/'Updated Population'!$B$114)*('Total Trip Tables Sup #1'!I174/'Total Trip Tables Sup #1'!$B174)</f>
        <v>0.31186992207530573</v>
      </c>
      <c r="J119" s="1">
        <f ca="1">$B119*('Updated Population'!J$114/'Updated Population'!$B$114)*('Total Trip Tables Sup #1'!J174/'Total Trip Tables Sup #1'!$B174)</f>
        <v>0.30288223062341013</v>
      </c>
      <c r="K119" s="1">
        <f ca="1">$B119*('Updated Population'!K$114/'Updated Population'!$B$114)*('Total Trip Tables Sup #1'!K174/'Total Trip Tables Sup #1'!$B174)</f>
        <v>0.29352139793747445</v>
      </c>
    </row>
    <row r="120" spans="1:11" x14ac:dyDescent="0.25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$B120*('Updated Population'!C$114/'Updated Population'!$B$114)*('Total Trip Tables Sup #1'!C175/'Total Trip Tables Sup #1'!$B175)</f>
        <v>5.9616226135854954E-2</v>
      </c>
      <c r="D120" s="4">
        <f ca="1">$B120*('Updated Population'!D$114/'Updated Population'!$B$114)*('Total Trip Tables Sup #1'!D175/'Total Trip Tables Sup #1'!$B175)</f>
        <v>5.807076606952849E-2</v>
      </c>
      <c r="E120" s="4">
        <f ca="1">$B120*('Updated Population'!E$114/'Updated Population'!$B$114)*('Total Trip Tables Sup #1'!E175/'Total Trip Tables Sup #1'!$B175)</f>
        <v>5.6449675146647997E-2</v>
      </c>
      <c r="F120" s="4">
        <f ca="1">$B120*('Updated Population'!F$114/'Updated Population'!$B$114)*('Total Trip Tables Sup #1'!F175/'Total Trip Tables Sup #1'!$B175)</f>
        <v>5.4494552678876283E-2</v>
      </c>
      <c r="G120" s="4">
        <f ca="1">$B120*('Updated Population'!G$114/'Updated Population'!$B$114)*('Total Trip Tables Sup #1'!G175/'Total Trip Tables Sup #1'!$B175)</f>
        <v>5.1633275454493748E-2</v>
      </c>
      <c r="H120" s="4">
        <f ca="1">$B120*('Updated Population'!H$114/'Updated Population'!$B$114)*('Total Trip Tables Sup #1'!H175/'Total Trip Tables Sup #1'!$B175)</f>
        <v>4.8631382900942356E-2</v>
      </c>
      <c r="I120" s="1">
        <f ca="1">$B120*('Updated Population'!I$114/'Updated Population'!$B$114)*('Total Trip Tables Sup #1'!I175/'Total Trip Tables Sup #1'!$B175)</f>
        <v>4.7380709736242574E-2</v>
      </c>
      <c r="J120" s="1">
        <f ca="1">$B120*('Updated Population'!J$114/'Updated Population'!$B$114)*('Total Trip Tables Sup #1'!J175/'Total Trip Tables Sup #1'!$B175)</f>
        <v>4.601525840625395E-2</v>
      </c>
      <c r="K120" s="1">
        <f ca="1">$B120*('Updated Population'!K$114/'Updated Population'!$B$114)*('Total Trip Tables Sup #1'!K175/'Total Trip Tables Sup #1'!$B175)</f>
        <v>4.4593117747640659E-2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Trip Tables Sup #1'!C176/'Total Trip Tables Sup #1'!$B176)</f>
        <v>0</v>
      </c>
      <c r="D121" s="4">
        <f ca="1">$B121*('Updated Population'!D$114/'Updated Population'!$B$114)*('Total Trip Tables Sup #1'!D176/'Total Trip Tables Sup #1'!$B176)</f>
        <v>0</v>
      </c>
      <c r="E121" s="4">
        <f ca="1">$B121*('Updated Population'!E$114/'Updated Population'!$B$114)*('Total Trip Tables Sup #1'!E176/'Total Trip Tables Sup #1'!$B176)</f>
        <v>0</v>
      </c>
      <c r="F121" s="4">
        <f ca="1">$B121*('Updated Population'!F$114/'Updated Population'!$B$114)*('Total Trip Tables Sup #1'!F176/'Total Trip Tables Sup #1'!$B176)</f>
        <v>0</v>
      </c>
      <c r="G121" s="4">
        <f ca="1">$B121*('Updated Population'!G$114/'Updated Population'!$B$114)*('Total Trip Tables Sup #1'!G176/'Total Trip Tables Sup #1'!$B176)</f>
        <v>0</v>
      </c>
      <c r="H121" s="4">
        <f ca="1">$B121*('Updated Population'!H$114/'Updated Population'!$B$114)*('Total Trip Tables Sup #1'!H176/'Total Trip Tables Sup #1'!$B176)</f>
        <v>0</v>
      </c>
      <c r="I121" s="1">
        <f ca="1">$B121*('Updated Population'!I$114/'Updated Population'!$B$114)*('Total Trip Tables Sup #1'!I176/'Total Trip Tables Sup #1'!$B176)</f>
        <v>0</v>
      </c>
      <c r="J121" s="1">
        <f ca="1">$B121*('Updated Population'!J$114/'Updated Population'!$B$114)*('Total Trip Tables Sup #1'!J176/'Total Trip Tables Sup #1'!$B176)</f>
        <v>0</v>
      </c>
      <c r="K121" s="1">
        <f ca="1">$B121*('Updated Population'!K$114/'Updated Population'!$B$114)*('Total Trip Tables Sup #1'!K176/'Total Trip Tables Sup #1'!$B176)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$B122*('Updated Population'!C$114/'Updated Population'!$B$114)*('Total Trip Tables Sup #1'!C177/'Total Trip Tables Sup #1'!$B177)</f>
        <v>0.46097945672838037</v>
      </c>
      <c r="D122" s="4">
        <f ca="1">$B122*('Updated Population'!D$114/'Updated Population'!$B$114)*('Total Trip Tables Sup #1'!D177/'Total Trip Tables Sup #1'!$B177)</f>
        <v>0.43370746084220546</v>
      </c>
      <c r="E122" s="4">
        <f ca="1">$B122*('Updated Population'!E$114/'Updated Population'!$B$114)*('Total Trip Tables Sup #1'!E177/'Total Trip Tables Sup #1'!$B177)</f>
        <v>0.41390669218106468</v>
      </c>
      <c r="F122" s="4">
        <f ca="1">$B122*('Updated Population'!F$114/'Updated Population'!$B$114)*('Total Trip Tables Sup #1'!F177/'Total Trip Tables Sup #1'!$B177)</f>
        <v>0.38994192233687391</v>
      </c>
      <c r="G122" s="4">
        <f ca="1">$B122*('Updated Population'!G$114/'Updated Population'!$B$114)*('Total Trip Tables Sup #1'!G177/'Total Trip Tables Sup #1'!$B177)</f>
        <v>0.36901140661434084</v>
      </c>
      <c r="H122" s="4">
        <f ca="1">$B122*('Updated Population'!H$114/'Updated Population'!$B$114)*('Total Trip Tables Sup #1'!H177/'Total Trip Tables Sup #1'!$B177)</f>
        <v>0.34754360866618289</v>
      </c>
      <c r="I122" s="1">
        <f ca="1">$B122*('Updated Population'!I$114/'Updated Population'!$B$114)*('Total Trip Tables Sup #1'!I177/'Total Trip Tables Sup #1'!$B177)</f>
        <v>0.33860568753391551</v>
      </c>
      <c r="J122" s="1">
        <f ca="1">$B122*('Updated Population'!J$114/'Updated Population'!$B$114)*('Total Trip Tables Sup #1'!J177/'Total Trip Tables Sup #1'!$B177)</f>
        <v>0.32884750558690184</v>
      </c>
      <c r="K122" s="1">
        <f ca="1">$B122*('Updated Population'!K$114/'Updated Population'!$B$114)*('Total Trip Tables Sup #1'!K177/'Total Trip Tables Sup #1'!$B177)</f>
        <v>0.31868419401642645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Trip Tables Sup #1'!C178/'Total Trip Tables Sup #1'!$B178)</f>
        <v>0</v>
      </c>
      <c r="D123" s="4">
        <f ca="1">$B123*('Updated Population'!D$114/'Updated Population'!$B$114)*('Total Trip Tables Sup #1'!D178/'Total Trip Tables Sup #1'!$B178)</f>
        <v>0</v>
      </c>
      <c r="E123" s="4">
        <f ca="1">$B123*('Updated Population'!E$114/'Updated Population'!$B$114)*('Total Trip Tables Sup #1'!E178/'Total Trip Tables Sup #1'!$B178)</f>
        <v>0</v>
      </c>
      <c r="F123" s="4">
        <f ca="1">$B123*('Updated Population'!F$114/'Updated Population'!$B$114)*('Total Trip Tables Sup #1'!F178/'Total Trip Tables Sup #1'!$B178)</f>
        <v>0</v>
      </c>
      <c r="G123" s="4">
        <f ca="1">$B123*('Updated Population'!G$114/'Updated Population'!$B$114)*('Total Trip Tables Sup #1'!G178/'Total Trip Tables Sup #1'!$B178)</f>
        <v>0</v>
      </c>
      <c r="H123" s="4">
        <f ca="1">$B123*('Updated Population'!H$114/'Updated Population'!$B$114)*('Total Trip Tables Sup #1'!H178/'Total Trip Tables Sup #1'!$B178)</f>
        <v>0</v>
      </c>
      <c r="I123" s="1">
        <f ca="1">$B123*('Updated Population'!I$114/'Updated Population'!$B$114)*('Total Trip Tables Sup #1'!I178/'Total Trip Tables Sup #1'!$B178)</f>
        <v>0</v>
      </c>
      <c r="J123" s="1">
        <f ca="1">$B123*('Updated Population'!J$114/'Updated Population'!$B$114)*('Total Trip Tables Sup #1'!J178/'Total Trip Tables Sup #1'!$B178)</f>
        <v>0</v>
      </c>
      <c r="K123" s="1">
        <f ca="1">$B123*('Updated Population'!K$114/'Updated Population'!$B$114)*('Total Trip Tables Sup #1'!K178/'Total Trip Tables Sup #1'!$B178)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$B124*('Updated Population'!C$114/'Updated Population'!$B$114)*('Total Trip Tables Sup #1'!C179/'Total Trip Tables Sup #1'!$B179)</f>
        <v>2.7110761749564866E-2</v>
      </c>
      <c r="D124" s="4">
        <f ca="1">$B124*('Updated Population'!D$114/'Updated Population'!$B$114)*('Total Trip Tables Sup #1'!D179/'Total Trip Tables Sup #1'!$B179)</f>
        <v>2.7260000479817345E-2</v>
      </c>
      <c r="E124" s="4">
        <f ca="1">$B124*('Updated Population'!E$114/'Updated Population'!$B$114)*('Total Trip Tables Sup #1'!E179/'Total Trip Tables Sup #1'!$B179)</f>
        <v>2.7136983048134333E-2</v>
      </c>
      <c r="F124" s="4">
        <f ca="1">$B124*('Updated Population'!F$114/'Updated Population'!$B$114)*('Total Trip Tables Sup #1'!F179/'Total Trip Tables Sup #1'!$B179)</f>
        <v>2.6764465610298469E-2</v>
      </c>
      <c r="G124" s="4">
        <f ca="1">$B124*('Updated Population'!G$114/'Updated Population'!$B$114)*('Total Trip Tables Sup #1'!G179/'Total Trip Tables Sup #1'!$B179)</f>
        <v>2.6159294436965932E-2</v>
      </c>
      <c r="H124" s="4">
        <f ca="1">$B124*('Updated Population'!H$114/'Updated Population'!$B$114)*('Total Trip Tables Sup #1'!H179/'Total Trip Tables Sup #1'!$B179)</f>
        <v>2.5225666309076338E-2</v>
      </c>
      <c r="I124" s="1">
        <f ca="1">$B124*('Updated Population'!I$114/'Updated Population'!$B$114)*('Total Trip Tables Sup #1'!I179/'Total Trip Tables Sup #1'!$B179)</f>
        <v>2.4576927531100485E-2</v>
      </c>
      <c r="J124" s="1">
        <f ca="1">$B124*('Updated Population'!J$114/'Updated Population'!$B$114)*('Total Trip Tables Sup #1'!J179/'Total Trip Tables Sup #1'!$B179)</f>
        <v>2.3868651978218559E-2</v>
      </c>
      <c r="K124" s="1">
        <f ca="1">$B124*('Updated Population'!K$114/'Updated Population'!$B$114)*('Total Trip Tables Sup #1'!K179/'Total Trip Tables Sup #1'!$B179)</f>
        <v>2.313097100846654E-2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$B126*('Updated Population'!C$125/'Updated Population'!$B$125)*('Total Trip Tables Sup #1'!C170/'Total Trip Tables Sup #1'!$B170)</f>
        <v>142.81864323982811</v>
      </c>
      <c r="D126" s="4">
        <f ca="1">$B126*('Updated Population'!D$125/'Updated Population'!$B$125)*('Total Trip Tables Sup #1'!D170/'Total Trip Tables Sup #1'!$B170)</f>
        <v>149.65536887594064</v>
      </c>
      <c r="E126" s="4">
        <f ca="1">$B126*('Updated Population'!E$125/'Updated Population'!$B$125)*('Total Trip Tables Sup #1'!E170/'Total Trip Tables Sup #1'!$B170)</f>
        <v>152.96886167494387</v>
      </c>
      <c r="F126" s="4">
        <f ca="1">$B126*('Updated Population'!F$125/'Updated Population'!$B$125)*('Total Trip Tables Sup #1'!F170/'Total Trip Tables Sup #1'!$B170)</f>
        <v>154.89727607047695</v>
      </c>
      <c r="G126" s="4">
        <f ca="1">$B126*('Updated Population'!G$125/'Updated Population'!$B$125)*('Total Trip Tables Sup #1'!G170/'Total Trip Tables Sup #1'!$B170)</f>
        <v>156.01804398669185</v>
      </c>
      <c r="H126" s="4">
        <f ca="1">$B126*('Updated Population'!H$125/'Updated Population'!$B$125)*('Total Trip Tables Sup #1'!H170/'Total Trip Tables Sup #1'!$B170)</f>
        <v>156.47657810688392</v>
      </c>
      <c r="I126" s="1">
        <f ca="1">$B126*('Updated Population'!I$125/'Updated Population'!$B$125)*('Total Trip Tables Sup #1'!I170/'Total Trip Tables Sup #1'!$B170)</f>
        <v>160.43533035167158</v>
      </c>
      <c r="J126" s="1">
        <f ca="1">$B126*('Updated Population'!J$125/'Updated Population'!$B$125)*('Total Trip Tables Sup #1'!J170/'Total Trip Tables Sup #1'!$B170)</f>
        <v>163.97062286980452</v>
      </c>
      <c r="K126" s="1">
        <f ca="1">$B126*('Updated Population'!K$125/'Updated Population'!$B$125)*('Total Trip Tables Sup #1'!K170/'Total Trip Tables Sup #1'!$B170)</f>
        <v>167.22366931487309</v>
      </c>
    </row>
    <row r="127" spans="1:11" x14ac:dyDescent="0.25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$B127*('Updated Population'!C$125/'Updated Population'!$B$125)*('Total Trip Tables Sup #1'!C171/'Total Trip Tables Sup #1'!$B171)</f>
        <v>25.60613505453027</v>
      </c>
      <c r="D127" s="4">
        <f ca="1">$B127*('Updated Population'!D$125/'Updated Population'!$B$125)*('Total Trip Tables Sup #1'!D171/'Total Trip Tables Sup #1'!$B171)</f>
        <v>26.404348338785717</v>
      </c>
      <c r="E127" s="4">
        <f ca="1">$B127*('Updated Population'!E$125/'Updated Population'!$B$125)*('Total Trip Tables Sup #1'!E171/'Total Trip Tables Sup #1'!$B171)</f>
        <v>26.548248015296206</v>
      </c>
      <c r="F127" s="4">
        <f ca="1">$B127*('Updated Population'!F$125/'Updated Population'!$B$125)*('Total Trip Tables Sup #1'!F171/'Total Trip Tables Sup #1'!$B171)</f>
        <v>26.674882861949754</v>
      </c>
      <c r="G127" s="4">
        <f ca="1">$B127*('Updated Population'!G$125/'Updated Population'!$B$125)*('Total Trip Tables Sup #1'!G171/'Total Trip Tables Sup #1'!$B171)</f>
        <v>26.784796787939225</v>
      </c>
      <c r="H127" s="4">
        <f ca="1">$B127*('Updated Population'!H$125/'Updated Population'!$B$125)*('Total Trip Tables Sup #1'!H171/'Total Trip Tables Sup #1'!$B171)</f>
        <v>26.871505722538259</v>
      </c>
      <c r="I127" s="1">
        <f ca="1">$B127*('Updated Population'!I$125/'Updated Population'!$B$125)*('Total Trip Tables Sup #1'!I171/'Total Trip Tables Sup #1'!$B171)</f>
        <v>27.551336754676882</v>
      </c>
      <c r="J127" s="1">
        <f ca="1">$B127*('Updated Population'!J$125/'Updated Population'!$B$125)*('Total Trip Tables Sup #1'!J171/'Total Trip Tables Sup #1'!$B171)</f>
        <v>28.158447635303158</v>
      </c>
      <c r="K127" s="1">
        <f ca="1">$B127*('Updated Population'!K$125/'Updated Population'!$B$125)*('Total Trip Tables Sup #1'!K171/'Total Trip Tables Sup #1'!$B171)</f>
        <v>28.717088789282339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$B128*('Updated Population'!C$125/'Updated Population'!$B$125)*('Total Trip Tables Sup #1'!C172/'Total Trip Tables Sup #1'!$B172)</f>
        <v>466.65230012910268</v>
      </c>
      <c r="D128" s="4">
        <f ca="1">$B128*('Updated Population'!D$125/'Updated Population'!$B$125)*('Total Trip Tables Sup #1'!D172/'Total Trip Tables Sup #1'!$B172)</f>
        <v>496.54821426035988</v>
      </c>
      <c r="E128" s="4">
        <f ca="1">$B128*('Updated Population'!E$125/'Updated Population'!$B$125)*('Total Trip Tables Sup #1'!E172/'Total Trip Tables Sup #1'!$B172)</f>
        <v>520.54206902970895</v>
      </c>
      <c r="F128" s="4">
        <f ca="1">$B128*('Updated Population'!F$125/'Updated Population'!$B$125)*('Total Trip Tables Sup #1'!F172/'Total Trip Tables Sup #1'!$B172)</f>
        <v>542.45574719769991</v>
      </c>
      <c r="G128" s="4">
        <f ca="1">$B128*('Updated Population'!G$125/'Updated Population'!$B$125)*('Total Trip Tables Sup #1'!G172/'Total Trip Tables Sup #1'!$B172)</f>
        <v>558.83843775838125</v>
      </c>
      <c r="H128" s="4">
        <f ca="1">$B128*('Updated Population'!H$125/'Updated Population'!$B$125)*('Total Trip Tables Sup #1'!H172/'Total Trip Tables Sup #1'!$B172)</f>
        <v>572.75004185734963</v>
      </c>
      <c r="I128" s="1">
        <f ca="1">$B128*('Updated Population'!I$125/'Updated Population'!$B$125)*('Total Trip Tables Sup #1'!I172/'Total Trip Tables Sup #1'!$B172)</f>
        <v>587.24023292195886</v>
      </c>
      <c r="J128" s="1">
        <f ca="1">$B128*('Updated Population'!J$125/'Updated Population'!$B$125)*('Total Trip Tables Sup #1'!J172/'Total Trip Tables Sup #1'!$B172)</f>
        <v>600.1804375342781</v>
      </c>
      <c r="K128" s="1">
        <f ca="1">$B128*('Updated Population'!K$125/'Updated Population'!$B$125)*('Total Trip Tables Sup #1'!K172/'Total Trip Tables Sup #1'!$B172)</f>
        <v>612.08753896836129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$B129*('Updated Population'!C$125/'Updated Population'!$B$125)*('Total Trip Tables Sup #1'!C173/'Total Trip Tables Sup #1'!$B173)</f>
        <v>202.20975099562855</v>
      </c>
      <c r="D129" s="4">
        <f ca="1">$B129*('Updated Population'!D$125/'Updated Population'!$B$125)*('Total Trip Tables Sup #1'!D173/'Total Trip Tables Sup #1'!$B173)</f>
        <v>209.08286455403532</v>
      </c>
      <c r="E129" s="4">
        <f ca="1">$B129*('Updated Population'!E$125/'Updated Population'!$B$125)*('Total Trip Tables Sup #1'!E173/'Total Trip Tables Sup #1'!$B173)</f>
        <v>212.86053577221304</v>
      </c>
      <c r="F129" s="4">
        <f ca="1">$B129*('Updated Population'!F$125/'Updated Population'!$B$125)*('Total Trip Tables Sup #1'!F173/'Total Trip Tables Sup #1'!$B173)</f>
        <v>216.04717713190925</v>
      </c>
      <c r="G129" s="4">
        <f ca="1">$B129*('Updated Population'!G$125/'Updated Population'!$B$125)*('Total Trip Tables Sup #1'!G173/'Total Trip Tables Sup #1'!$B173)</f>
        <v>217.8590480682046</v>
      </c>
      <c r="H129" s="4">
        <f ca="1">$B129*('Updated Population'!H$125/'Updated Population'!$B$125)*('Total Trip Tables Sup #1'!H173/'Total Trip Tables Sup #1'!$B173)</f>
        <v>218.53055371346309</v>
      </c>
      <c r="I129" s="1">
        <f ca="1">$B129*('Updated Population'!I$125/'Updated Population'!$B$125)*('Total Trip Tables Sup #1'!I173/'Total Trip Tables Sup #1'!$B173)</f>
        <v>224.05922982930286</v>
      </c>
      <c r="J129" s="1">
        <f ca="1">$B129*('Updated Population'!J$125/'Updated Population'!$B$125)*('Total Trip Tables Sup #1'!J173/'Total Trip Tables Sup #1'!$B173)</f>
        <v>228.99651463494922</v>
      </c>
      <c r="K129" s="1">
        <f ca="1">$B129*('Updated Population'!K$125/'Updated Population'!$B$125)*('Total Trip Tables Sup #1'!K173/'Total Trip Tables Sup #1'!$B173)</f>
        <v>233.53962293586605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$B130*('Updated Population'!C$125/'Updated Population'!$B$125)*('Total Trip Tables Sup #1'!C174/'Total Trip Tables Sup #1'!$B174)</f>
        <v>2.626692285106913</v>
      </c>
      <c r="D130" s="4">
        <f ca="1">$B130*('Updated Population'!D$125/'Updated Population'!$B$125)*('Total Trip Tables Sup #1'!D174/'Total Trip Tables Sup #1'!$B174)</f>
        <v>2.9071906682187305</v>
      </c>
      <c r="E130" s="4">
        <f ca="1">$B130*('Updated Population'!E$125/'Updated Population'!$B$125)*('Total Trip Tables Sup #1'!E174/'Total Trip Tables Sup #1'!$B174)</f>
        <v>3.1090582998609517</v>
      </c>
      <c r="F130" s="4">
        <f ca="1">$B130*('Updated Population'!F$125/'Updated Population'!$B$125)*('Total Trip Tables Sup #1'!F174/'Total Trip Tables Sup #1'!$B174)</f>
        <v>3.2813680857148677</v>
      </c>
      <c r="G130" s="4">
        <f ca="1">$B130*('Updated Population'!G$125/'Updated Population'!$B$125)*('Total Trip Tables Sup #1'!G174/'Total Trip Tables Sup #1'!$B174)</f>
        <v>3.4070429462961394</v>
      </c>
      <c r="H130" s="4">
        <f ca="1">$B130*('Updated Population'!H$125/'Updated Population'!$B$125)*('Total Trip Tables Sup #1'!H174/'Total Trip Tables Sup #1'!$B174)</f>
        <v>3.5239256591534667</v>
      </c>
      <c r="I130" s="1">
        <f ca="1">$B130*('Updated Population'!I$125/'Updated Population'!$B$125)*('Total Trip Tables Sup #1'!I174/'Total Trip Tables Sup #1'!$B174)</f>
        <v>3.6130786095976513</v>
      </c>
      <c r="J130" s="1">
        <f ca="1">$B130*('Updated Population'!J$125/'Updated Population'!$B$125)*('Total Trip Tables Sup #1'!J174/'Total Trip Tables Sup #1'!$B174)</f>
        <v>3.6926950491184103</v>
      </c>
      <c r="K130" s="1">
        <f ca="1">$B130*('Updated Population'!K$125/'Updated Population'!$B$125)*('Total Trip Tables Sup #1'!K174/'Total Trip Tables Sup #1'!$B174)</f>
        <v>3.7659551751825466</v>
      </c>
    </row>
    <row r="131" spans="1:11" x14ac:dyDescent="0.25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$B131*('Updated Population'!C$125/'Updated Population'!$B$125)*('Total Trip Tables Sup #1'!C175/'Total Trip Tables Sup #1'!$B175)</f>
        <v>1.5691341866193704</v>
      </c>
      <c r="D131" s="4">
        <f ca="1">$B131*('Updated Population'!D$125/'Updated Population'!$B$125)*('Total Trip Tables Sup #1'!D175/'Total Trip Tables Sup #1'!$B175)</f>
        <v>1.629013133652665</v>
      </c>
      <c r="E131" s="4">
        <f ca="1">$B131*('Updated Population'!E$125/'Updated Population'!$B$125)*('Total Trip Tables Sup #1'!E175/'Total Trip Tables Sup #1'!$B175)</f>
        <v>1.6655497519932818</v>
      </c>
      <c r="F131" s="4">
        <f ca="1">$B131*('Updated Population'!F$125/'Updated Population'!$B$125)*('Total Trip Tables Sup #1'!F175/'Total Trip Tables Sup #1'!$B175)</f>
        <v>1.6922738145587333</v>
      </c>
      <c r="G131" s="4">
        <f ca="1">$B131*('Updated Population'!G$125/'Updated Population'!$B$125)*('Total Trip Tables Sup #1'!G175/'Total Trip Tables Sup #1'!$B175)</f>
        <v>1.6887261864510856</v>
      </c>
      <c r="H131" s="4">
        <f ca="1">$B131*('Updated Population'!H$125/'Updated Population'!$B$125)*('Total Trip Tables Sup #1'!H175/'Total Trip Tables Sup #1'!$B175)</f>
        <v>1.6738321736404695</v>
      </c>
      <c r="I131" s="1">
        <f ca="1">$B131*('Updated Population'!I$125/'Updated Population'!$B$125)*('Total Trip Tables Sup #1'!I175/'Total Trip Tables Sup #1'!$B175)</f>
        <v>1.7161790025075401</v>
      </c>
      <c r="J131" s="1">
        <f ca="1">$B131*('Updated Population'!J$125/'Updated Population'!$B$125)*('Total Trip Tables Sup #1'!J175/'Total Trip Tables Sup #1'!$B175)</f>
        <v>1.7539960766771918</v>
      </c>
      <c r="K131" s="1">
        <f ca="1">$B131*('Updated Population'!K$125/'Updated Population'!$B$125)*('Total Trip Tables Sup #1'!K175/'Total Trip Tables Sup #1'!$B175)</f>
        <v>1.7887939606032015</v>
      </c>
    </row>
    <row r="132" spans="1:11" x14ac:dyDescent="0.25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2.1881727399999999E-2</v>
      </c>
      <c r="D132" s="4">
        <f ca="1">OFFSET(Canterbury_Reference,44,5)</f>
        <v>1.8407240299999999E-2</v>
      </c>
      <c r="E132" s="4">
        <f ca="1">OFFSET(Canterbury_Reference,45,5)</f>
        <v>1.69883797E-2</v>
      </c>
      <c r="F132" s="4">
        <f ca="1">OFFSET(Canterbury_Reference,46,5)</f>
        <v>1.5993343199999999E-2</v>
      </c>
      <c r="G132" s="4">
        <f ca="1">OFFSET(Canterbury_Reference,47,5)</f>
        <v>1.33864925E-2</v>
      </c>
      <c r="H132" s="4">
        <f ca="1">OFFSET(Canterbury_Reference,48,5)</f>
        <v>1.09840489E-2</v>
      </c>
      <c r="I132" s="1">
        <f ca="1">OFFSET(Canterbury_Reference,48,5)</f>
        <v>1.09840489E-2</v>
      </c>
      <c r="J132" s="1">
        <f ca="1">OFFSET(Canterbury_Reference,48,5)</f>
        <v>1.09840489E-2</v>
      </c>
      <c r="K132" s="1">
        <f ca="1">OFFSET(Canterbury_Reference,48,5)</f>
        <v>1.09840489E-2</v>
      </c>
    </row>
    <row r="133" spans="1:11" x14ac:dyDescent="0.25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20.614719994000001</v>
      </c>
      <c r="D133" s="4">
        <f ca="1">OFFSET(Canterbury_Reference,51,5)</f>
        <v>20.193307146999999</v>
      </c>
      <c r="E133" s="4">
        <f ca="1">OFFSET(Canterbury_Reference,52,5)</f>
        <v>19.779883885</v>
      </c>
      <c r="F133" s="4">
        <f ca="1">OFFSET(Canterbury_Reference,53,5)</f>
        <v>18.941076702</v>
      </c>
      <c r="G133" s="4">
        <f ca="1">OFFSET(Canterbury_Reference,54,5)</f>
        <v>18.141836940000001</v>
      </c>
      <c r="H133" s="4">
        <f ca="1">OFFSET(Canterbury_Reference,55,5)</f>
        <v>17.313158362999999</v>
      </c>
      <c r="I133" s="1">
        <f ca="1">OFFSET(Canterbury_Reference,55,5)</f>
        <v>17.313158362999999</v>
      </c>
      <c r="J133" s="1">
        <f ca="1">OFFSET(Canterbury_Reference,55,5)</f>
        <v>17.313158362999999</v>
      </c>
      <c r="K133" s="1">
        <f ca="1">OFFSET(Canterbury_Reference,55,5)</f>
        <v>17.313158362999999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Trip Tables Sup #1'!C178/'Total Trip Tables Sup #1'!$B178)</f>
        <v>0</v>
      </c>
      <c r="D134" s="4">
        <f ca="1">$B134*('Updated Population'!D$125/'Updated Population'!$B$125)*('Total Trip Tables Sup #1'!D178/'Total Trip Tables Sup #1'!$B178)</f>
        <v>0</v>
      </c>
      <c r="E134" s="4">
        <f ca="1">$B134*('Updated Population'!E$125/'Updated Population'!$B$125)*('Total Trip Tables Sup #1'!E178/'Total Trip Tables Sup #1'!$B178)</f>
        <v>0</v>
      </c>
      <c r="F134" s="4">
        <f ca="1">$B134*('Updated Population'!F$125/'Updated Population'!$B$125)*('Total Trip Tables Sup #1'!F178/'Total Trip Tables Sup #1'!$B178)</f>
        <v>0</v>
      </c>
      <c r="G134" s="4">
        <f ca="1">$B134*('Updated Population'!G$125/'Updated Population'!$B$125)*('Total Trip Tables Sup #1'!G178/'Total Trip Tables Sup #1'!$B178)</f>
        <v>0</v>
      </c>
      <c r="H134" s="4">
        <f ca="1">$B134*('Updated Population'!H$125/'Updated Population'!$B$125)*('Total Trip Tables Sup #1'!H178/'Total Trip Tables Sup #1'!$B178)</f>
        <v>0</v>
      </c>
      <c r="I134" s="1">
        <f ca="1">$B134*('Updated Population'!I$125/'Updated Population'!$B$125)*('Total Trip Tables Sup #1'!I178/'Total Trip Tables Sup #1'!$B178)</f>
        <v>0</v>
      </c>
      <c r="J134" s="1">
        <f ca="1">$B134*('Updated Population'!J$125/'Updated Population'!$B$125)*('Total Trip Tables Sup #1'!J178/'Total Trip Tables Sup #1'!$B178)</f>
        <v>0</v>
      </c>
      <c r="K134" s="1">
        <f ca="1">$B134*('Updated Population'!K$125/'Updated Population'!$B$125)*('Total Trip Tables Sup #1'!K178/'Total Trip Tables Sup #1'!$B178)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$B135*('Updated Population'!C$125/'Updated Population'!$B$125)*('Total Trip Tables Sup #1'!C179/'Total Trip Tables Sup #1'!$B179)</f>
        <v>1.6927790294730969</v>
      </c>
      <c r="D135" s="4">
        <f ca="1">$B135*('Updated Population'!D$125/'Updated Population'!$B$125)*('Total Trip Tables Sup #1'!D179/'Total Trip Tables Sup #1'!$B179)</f>
        <v>1.8140774948456349</v>
      </c>
      <c r="E135" s="4">
        <f ca="1">$B135*('Updated Population'!E$125/'Updated Population'!$B$125)*('Total Trip Tables Sup #1'!E179/'Total Trip Tables Sup #1'!$B179)</f>
        <v>1.8994185384201252</v>
      </c>
      <c r="F135" s="4">
        <f ca="1">$B135*('Updated Population'!F$125/'Updated Population'!$B$125)*('Total Trip Tables Sup #1'!F179/'Total Trip Tables Sup #1'!$B179)</f>
        <v>1.9716919572151237</v>
      </c>
      <c r="G135" s="4">
        <f ca="1">$B135*('Updated Population'!G$125/'Updated Population'!$B$125)*('Total Trip Tables Sup #1'!G179/'Total Trip Tables Sup #1'!$B179)</f>
        <v>2.0296377585884362</v>
      </c>
      <c r="H135" s="4">
        <f ca="1">$B135*('Updated Population'!H$125/'Updated Population'!$B$125)*('Total Trip Tables Sup #1'!H179/'Total Trip Tables Sup #1'!$B179)</f>
        <v>2.0596853707131189</v>
      </c>
      <c r="I135" s="1">
        <f ca="1">$B135*('Updated Population'!I$125/'Updated Population'!$B$125)*('Total Trip Tables Sup #1'!I179/'Total Trip Tables Sup #1'!$B179)</f>
        <v>2.1117940261011303</v>
      </c>
      <c r="J135" s="1">
        <f ca="1">$B135*('Updated Population'!J$125/'Updated Population'!$B$125)*('Total Trip Tables Sup #1'!J179/'Total Trip Tables Sup #1'!$B179)</f>
        <v>2.158328723938248</v>
      </c>
      <c r="K135" s="1">
        <f ca="1">$B135*('Updated Population'!K$125/'Updated Population'!$B$125)*('Total Trip Tables Sup #1'!K179/'Total Trip Tables Sup #1'!$B179)</f>
        <v>2.2011482452635502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$B137*('Updated Population'!C$136/'Updated Population'!$B$136)*('Total Trip Tables Sup #1'!C170/'Total Trip Tables Sup #1'!$B170)</f>
        <v>62.021072003673588</v>
      </c>
      <c r="D137" s="4">
        <f ca="1">$B137*('Updated Population'!D$136/'Updated Population'!$B$136)*('Total Trip Tables Sup #1'!D170/'Total Trip Tables Sup #1'!$B170)</f>
        <v>63.732845067233754</v>
      </c>
      <c r="E137" s="4">
        <f ca="1">$B137*('Updated Population'!E$136/'Updated Population'!$B$136)*('Total Trip Tables Sup #1'!E170/'Total Trip Tables Sup #1'!$B170)</f>
        <v>64.089003443998124</v>
      </c>
      <c r="F137" s="4">
        <f ca="1">$B137*('Updated Population'!F$136/'Updated Population'!$B$136)*('Total Trip Tables Sup #1'!F170/'Total Trip Tables Sup #1'!$B170)</f>
        <v>63.873640178414831</v>
      </c>
      <c r="G137" s="4">
        <f ca="1">$B137*('Updated Population'!G$136/'Updated Population'!$B$136)*('Total Trip Tables Sup #1'!G170/'Total Trip Tables Sup #1'!$B170)</f>
        <v>63.360057731794591</v>
      </c>
      <c r="H137" s="4">
        <f ca="1">$B137*('Updated Population'!H$136/'Updated Population'!$B$136)*('Total Trip Tables Sup #1'!H170/'Total Trip Tables Sup #1'!$B170)</f>
        <v>62.596722282339655</v>
      </c>
      <c r="I137" s="1">
        <f ca="1">$B137*('Updated Population'!I$136/'Updated Population'!$B$136)*('Total Trip Tables Sup #1'!I170/'Total Trip Tables Sup #1'!$B170)</f>
        <v>63.221352587897513</v>
      </c>
      <c r="J137" s="1">
        <f ca="1">$B137*('Updated Population'!J$136/'Updated Population'!$B$136)*('Total Trip Tables Sup #1'!J170/'Total Trip Tables Sup #1'!$B170)</f>
        <v>63.648963250807121</v>
      </c>
      <c r="K137" s="1">
        <f ca="1">$B137*('Updated Population'!K$136/'Updated Population'!$B$136)*('Total Trip Tables Sup #1'!K170/'Total Trip Tables Sup #1'!$B170)</f>
        <v>63.941755235422093</v>
      </c>
    </row>
    <row r="138" spans="1:11" x14ac:dyDescent="0.25">
      <c r="A138" t="str">
        <f ca="1">OFFSET(Otago_Reference,7,2)</f>
        <v>Cyclist</v>
      </c>
      <c r="B138" s="4">
        <f ca="1">OFFSET(Otago_Reference,7,5)</f>
        <v>4.5847179276999999</v>
      </c>
      <c r="C138" s="4">
        <f ca="1">$B138*('Updated Population'!C$136/'Updated Population'!$B$136)*('Total Trip Tables Sup #1'!C171/'Total Trip Tables Sup #1'!$B171)</f>
        <v>4.8302860229816575</v>
      </c>
      <c r="D138" s="4">
        <f ca="1">$B138*('Updated Population'!D$136/'Updated Population'!$B$136)*('Total Trip Tables Sup #1'!D171/'Total Trip Tables Sup #1'!$B171)</f>
        <v>4.8845089375830639</v>
      </c>
      <c r="E138" s="4">
        <f ca="1">$B138*('Updated Population'!E$136/'Updated Population'!$B$136)*('Total Trip Tables Sup #1'!E171/'Total Trip Tables Sup #1'!$B171)</f>
        <v>4.8315980868308159</v>
      </c>
      <c r="F138" s="4">
        <f ca="1">$B138*('Updated Population'!F$136/'Updated Population'!$B$136)*('Total Trip Tables Sup #1'!F171/'Total Trip Tables Sup #1'!$B171)</f>
        <v>4.7780958611400424</v>
      </c>
      <c r="G138" s="4">
        <f ca="1">$B138*('Updated Population'!G$136/'Updated Population'!$B$136)*('Total Trip Tables Sup #1'!G171/'Total Trip Tables Sup #1'!$B171)</f>
        <v>4.7250188132922188</v>
      </c>
      <c r="H138" s="4">
        <f ca="1">$B138*('Updated Population'!H$136/'Updated Population'!$B$136)*('Total Trip Tables Sup #1'!H171/'Total Trip Tables Sup #1'!$B171)</f>
        <v>4.6694820049096126</v>
      </c>
      <c r="I138" s="1">
        <f ca="1">$B138*('Updated Population'!I$136/'Updated Population'!$B$136)*('Total Trip Tables Sup #1'!I171/'Total Trip Tables Sup #1'!$B171)</f>
        <v>4.716077095917222</v>
      </c>
      <c r="J138" s="1">
        <f ca="1">$B138*('Updated Population'!J$136/'Updated Population'!$B$136)*('Total Trip Tables Sup #1'!J171/'Total Trip Tables Sup #1'!$B171)</f>
        <v>4.7479752564400313</v>
      </c>
      <c r="K138" s="1">
        <f ca="1">$B138*('Updated Population'!K$136/'Updated Population'!$B$136)*('Total Trip Tables Sup #1'!K171/'Total Trip Tables Sup #1'!$B171)</f>
        <v>4.7698164464175958</v>
      </c>
    </row>
    <row r="139" spans="1:11" x14ac:dyDescent="0.25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$B139*('Updated Population'!C$136/'Updated Population'!$B$136)*('Total Trip Tables Sup #1'!C172/'Total Trip Tables Sup #1'!$B172)</f>
        <v>164.33638650777118</v>
      </c>
      <c r="D139" s="4">
        <f ca="1">$B139*('Updated Population'!D$136/'Updated Population'!$B$136)*('Total Trip Tables Sup #1'!D172/'Total Trip Tables Sup #1'!$B172)</f>
        <v>171.48193903416754</v>
      </c>
      <c r="E139" s="4">
        <f ca="1">$B139*('Updated Population'!E$136/'Updated Population'!$B$136)*('Total Trip Tables Sup #1'!E172/'Total Trip Tables Sup #1'!$B172)</f>
        <v>176.85700844782193</v>
      </c>
      <c r="F139" s="4">
        <f ca="1">$B139*('Updated Population'!F$136/'Updated Population'!$B$136)*('Total Trip Tables Sup #1'!F172/'Total Trip Tables Sup #1'!$B172)</f>
        <v>181.39618901297055</v>
      </c>
      <c r="G139" s="4">
        <f ca="1">$B139*('Updated Population'!G$136/'Updated Population'!$B$136)*('Total Trip Tables Sup #1'!G172/'Total Trip Tables Sup #1'!$B172)</f>
        <v>184.04031264865196</v>
      </c>
      <c r="H139" s="4">
        <f ca="1">$B139*('Updated Population'!H$136/'Updated Population'!$B$136)*('Total Trip Tables Sup #1'!H172/'Total Trip Tables Sup #1'!$B172)</f>
        <v>185.80326420601605</v>
      </c>
      <c r="I139" s="1">
        <f ca="1">$B139*('Updated Population'!I$136/'Updated Population'!$B$136)*('Total Trip Tables Sup #1'!I172/'Total Trip Tables Sup #1'!$B172)</f>
        <v>187.65732853179938</v>
      </c>
      <c r="J139" s="1">
        <f ca="1">$B139*('Updated Population'!J$136/'Updated Population'!$B$136)*('Total Trip Tables Sup #1'!J172/'Total Trip Tables Sup #1'!$B172)</f>
        <v>188.92658759331286</v>
      </c>
      <c r="K139" s="1">
        <f ca="1">$B139*('Updated Population'!K$136/'Updated Population'!$B$136)*('Total Trip Tables Sup #1'!K172/'Total Trip Tables Sup #1'!$B172)</f>
        <v>189.79566994285577</v>
      </c>
    </row>
    <row r="140" spans="1:11" x14ac:dyDescent="0.25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$B140*('Updated Population'!C$136/'Updated Population'!$B$136)*('Total Trip Tables Sup #1'!C173/'Total Trip Tables Sup #1'!$B173)</f>
        <v>74.137249182151152</v>
      </c>
      <c r="D140" s="4">
        <f ca="1">$B140*('Updated Population'!D$136/'Updated Population'!$B$136)*('Total Trip Tables Sup #1'!D173/'Total Trip Tables Sup #1'!$B173)</f>
        <v>75.174310546090894</v>
      </c>
      <c r="E140" s="4">
        <f ca="1">$B140*('Updated Population'!E$136/'Updated Population'!$B$136)*('Total Trip Tables Sup #1'!E173/'Total Trip Tables Sup #1'!$B173)</f>
        <v>75.293180441883152</v>
      </c>
      <c r="F140" s="4">
        <f ca="1">$B140*('Updated Population'!F$136/'Updated Population'!$B$136)*('Total Trip Tables Sup #1'!F173/'Total Trip Tables Sup #1'!$B173)</f>
        <v>75.215351758303868</v>
      </c>
      <c r="G140" s="4">
        <f ca="1">$B140*('Updated Population'!G$136/'Updated Population'!$B$136)*('Total Trip Tables Sup #1'!G173/'Total Trip Tables Sup #1'!$B173)</f>
        <v>74.695827868544882</v>
      </c>
      <c r="H140" s="4">
        <f ca="1">$B140*('Updated Population'!H$136/'Updated Population'!$B$136)*('Total Trip Tables Sup #1'!H173/'Total Trip Tables Sup #1'!$B173)</f>
        <v>73.806468707941093</v>
      </c>
      <c r="I140" s="1">
        <f ca="1">$B140*('Updated Population'!I$136/'Updated Population'!$B$136)*('Total Trip Tables Sup #1'!I173/'Total Trip Tables Sup #1'!$B173)</f>
        <v>74.542957064204344</v>
      </c>
      <c r="J140" s="1">
        <f ca="1">$B140*('Updated Population'!J$136/'Updated Population'!$B$136)*('Total Trip Tables Sup #1'!J173/'Total Trip Tables Sup #1'!$B173)</f>
        <v>75.047143735015439</v>
      </c>
      <c r="K140" s="1">
        <f ca="1">$B140*('Updated Population'!K$136/'Updated Population'!$B$136)*('Total Trip Tables Sup #1'!K173/'Total Trip Tables Sup #1'!$B173)</f>
        <v>75.392368559295377</v>
      </c>
    </row>
    <row r="141" spans="1:11" x14ac:dyDescent="0.25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$B141*('Updated Population'!C$136/'Updated Population'!$B$136)*('Total Trip Tables Sup #1'!C174/'Total Trip Tables Sup #1'!$B174)</f>
        <v>0.98096015789045987</v>
      </c>
      <c r="D141" s="4">
        <f ca="1">$B141*('Updated Population'!D$136/'Updated Population'!$B$136)*('Total Trip Tables Sup #1'!D174/'Total Trip Tables Sup #1'!$B174)</f>
        <v>1.0647124314818395</v>
      </c>
      <c r="E141" s="4">
        <f ca="1">$B141*('Updated Population'!E$136/'Updated Population'!$B$136)*('Total Trip Tables Sup #1'!E174/'Total Trip Tables Sup #1'!$B174)</f>
        <v>1.1202040904255461</v>
      </c>
      <c r="F141" s="4">
        <f ca="1">$B141*('Updated Population'!F$136/'Updated Population'!$B$136)*('Total Trip Tables Sup #1'!F174/'Total Trip Tables Sup #1'!$B174)</f>
        <v>1.163645358006735</v>
      </c>
      <c r="G141" s="4">
        <f ca="1">$B141*('Updated Population'!G$136/'Updated Population'!$B$136)*('Total Trip Tables Sup #1'!G174/'Total Trip Tables Sup #1'!$B174)</f>
        <v>1.1898881736928135</v>
      </c>
      <c r="H141" s="4">
        <f ca="1">$B141*('Updated Population'!H$136/'Updated Population'!$B$136)*('Total Trip Tables Sup #1'!H174/'Total Trip Tables Sup #1'!$B174)</f>
        <v>1.212318675597831</v>
      </c>
      <c r="I141" s="1">
        <f ca="1">$B141*('Updated Population'!I$136/'Updated Population'!$B$136)*('Total Trip Tables Sup #1'!I174/'Total Trip Tables Sup #1'!$B174)</f>
        <v>1.2244159701072246</v>
      </c>
      <c r="J141" s="1">
        <f ca="1">$B141*('Updated Population'!J$136/'Updated Population'!$B$136)*('Total Trip Tables Sup #1'!J174/'Total Trip Tables Sup #1'!$B174)</f>
        <v>1.2326975601590462</v>
      </c>
      <c r="K141" s="1">
        <f ca="1">$B141*('Updated Population'!K$136/'Updated Population'!$B$136)*('Total Trip Tables Sup #1'!K174/'Total Trip Tables Sup #1'!$B174)</f>
        <v>1.2383680997347939</v>
      </c>
    </row>
    <row r="142" spans="1:11" x14ac:dyDescent="0.25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$B142*('Updated Population'!C$136/'Updated Population'!$B$136)*('Total Trip Tables Sup #1'!C175/'Total Trip Tables Sup #1'!$B175)</f>
        <v>2.2205432204364919</v>
      </c>
      <c r="D142" s="4">
        <f ca="1">$B142*('Updated Population'!D$136/'Updated Population'!$B$136)*('Total Trip Tables Sup #1'!D175/'Total Trip Tables Sup #1'!$B175)</f>
        <v>2.260686655496885</v>
      </c>
      <c r="E142" s="4">
        <f ca="1">$B142*('Updated Population'!E$136/'Updated Population'!$B$136)*('Total Trip Tables Sup #1'!E175/'Total Trip Tables Sup #1'!$B175)</f>
        <v>2.2739602801336076</v>
      </c>
      <c r="F142" s="4">
        <f ca="1">$B142*('Updated Population'!F$136/'Updated Population'!$B$136)*('Total Trip Tables Sup #1'!F175/'Total Trip Tables Sup #1'!$B175)</f>
        <v>2.2740148789784551</v>
      </c>
      <c r="G142" s="4">
        <f ca="1">$B142*('Updated Population'!G$136/'Updated Population'!$B$136)*('Total Trip Tables Sup #1'!G175/'Total Trip Tables Sup #1'!$B175)</f>
        <v>2.2348313452631516</v>
      </c>
      <c r="H142" s="4">
        <f ca="1">$B142*('Updated Population'!H$136/'Updated Population'!$B$136)*('Total Trip Tables Sup #1'!H175/'Total Trip Tables Sup #1'!$B175)</f>
        <v>2.1820210954341142</v>
      </c>
      <c r="I142" s="1">
        <f ca="1">$B142*('Updated Population'!I$136/'Updated Population'!$B$136)*('Total Trip Tables Sup #1'!I175/'Total Trip Tables Sup #1'!$B175)</f>
        <v>2.2037947036020813</v>
      </c>
      <c r="J142" s="1">
        <f ca="1">$B142*('Updated Population'!J$136/'Updated Population'!$B$136)*('Total Trip Tables Sup #1'!J175/'Total Trip Tables Sup #1'!$B175)</f>
        <v>2.2187005237965121</v>
      </c>
      <c r="K142" s="1">
        <f ca="1">$B142*('Updated Population'!K$136/'Updated Population'!$B$136)*('Total Trip Tables Sup #1'!K175/'Total Trip Tables Sup #1'!$B175)</f>
        <v>2.2289067816277495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Trip Tables Sup #1'!C176/'Total Trip Tables Sup #1'!$B176)</f>
        <v>0</v>
      </c>
      <c r="D143" s="4">
        <f ca="1">$B143*('Updated Population'!D$136/'Updated Population'!$B$136)*('Total Trip Tables Sup #1'!D176/'Total Trip Tables Sup #1'!$B176)</f>
        <v>0</v>
      </c>
      <c r="E143" s="4">
        <f ca="1">$B143*('Updated Population'!E$136/'Updated Population'!$B$136)*('Total Trip Tables Sup #1'!E176/'Total Trip Tables Sup #1'!$B176)</f>
        <v>0</v>
      </c>
      <c r="F143" s="4">
        <f ca="1">$B143*('Updated Population'!F$136/'Updated Population'!$B$136)*('Total Trip Tables Sup #1'!F176/'Total Trip Tables Sup #1'!$B176)</f>
        <v>0</v>
      </c>
      <c r="G143" s="4">
        <f ca="1">$B143*('Updated Population'!G$136/'Updated Population'!$B$136)*('Total Trip Tables Sup #1'!G176/'Total Trip Tables Sup #1'!$B176)</f>
        <v>0</v>
      </c>
      <c r="H143" s="4">
        <f ca="1">$B143*('Updated Population'!H$136/'Updated Population'!$B$136)*('Total Trip Tables Sup #1'!H176/'Total Trip Tables Sup #1'!$B176)</f>
        <v>0</v>
      </c>
      <c r="I143" s="1">
        <f ca="1">$B143*('Updated Population'!I$136/'Updated Population'!$B$136)*('Total Trip Tables Sup #1'!I176/'Total Trip Tables Sup #1'!$B176)</f>
        <v>0</v>
      </c>
      <c r="J143" s="1">
        <f ca="1">$B143*('Updated Population'!J$136/'Updated Population'!$B$136)*('Total Trip Tables Sup #1'!J176/'Total Trip Tables Sup #1'!$B176)</f>
        <v>0</v>
      </c>
      <c r="K143" s="1">
        <f ca="1">$B143*('Updated Population'!K$136/'Updated Population'!$B$136)*('Total Trip Tables Sup #1'!K176/'Total Trip Tables Sup #1'!$B176)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$B144*('Updated Population'!C$136/'Updated Population'!$B$136)*('Total Trip Tables Sup #1'!C177/'Total Trip Tables Sup #1'!$B177)</f>
        <v>4.2469761528716372</v>
      </c>
      <c r="D144" s="4">
        <f ca="1">$B144*('Updated Population'!D$136/'Updated Population'!$B$136)*('Total Trip Tables Sup #1'!D177/'Total Trip Tables Sup #1'!$B177)</f>
        <v>4.1762184642402085</v>
      </c>
      <c r="E144" s="4">
        <f ca="1">$B144*('Updated Population'!E$136/'Updated Population'!$B$136)*('Total Trip Tables Sup #1'!E177/'Total Trip Tables Sup #1'!$B177)</f>
        <v>4.1240828019165674</v>
      </c>
      <c r="F144" s="4">
        <f ca="1">$B144*('Updated Population'!F$136/'Updated Population'!$B$136)*('Total Trip Tables Sup #1'!F177/'Total Trip Tables Sup #1'!$B177)</f>
        <v>4.0247938330788529</v>
      </c>
      <c r="G144" s="4">
        <f ca="1">$B144*('Updated Population'!G$136/'Updated Population'!$B$136)*('Total Trip Tables Sup #1'!G177/'Total Trip Tables Sup #1'!$B177)</f>
        <v>3.9505573370038096</v>
      </c>
      <c r="H144" s="4">
        <f ca="1">$B144*('Updated Population'!H$136/'Updated Population'!$B$136)*('Total Trip Tables Sup #1'!H177/'Total Trip Tables Sup #1'!$B177)</f>
        <v>3.8570487875302408</v>
      </c>
      <c r="I144" s="1">
        <f ca="1">$B144*('Updated Population'!I$136/'Updated Population'!$B$136)*('Total Trip Tables Sup #1'!I177/'Total Trip Tables Sup #1'!$B177)</f>
        <v>3.8955368980073337</v>
      </c>
      <c r="J144" s="1">
        <f ca="1">$B144*('Updated Population'!J$136/'Updated Population'!$B$136)*('Total Trip Tables Sup #1'!J177/'Total Trip Tables Sup #1'!$B177)</f>
        <v>3.9218851655966707</v>
      </c>
      <c r="K144" s="1">
        <f ca="1">$B144*('Updated Population'!K$136/'Updated Population'!$B$136)*('Total Trip Tables Sup #1'!K177/'Total Trip Tables Sup #1'!$B177)</f>
        <v>3.9399262535016262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Trip Tables Sup #1'!C178/'Total Trip Tables Sup #1'!$B178)</f>
        <v>0</v>
      </c>
      <c r="D145" s="4">
        <f ca="1">$B145*('Updated Population'!D$136/'Updated Population'!$B$136)*('Total Trip Tables Sup #1'!D178/'Total Trip Tables Sup #1'!$B178)</f>
        <v>0</v>
      </c>
      <c r="E145" s="4">
        <f ca="1">$B145*('Updated Population'!E$136/'Updated Population'!$B$136)*('Total Trip Tables Sup #1'!E178/'Total Trip Tables Sup #1'!$B178)</f>
        <v>0</v>
      </c>
      <c r="F145" s="4">
        <f ca="1">$B145*('Updated Population'!F$136/'Updated Population'!$B$136)*('Total Trip Tables Sup #1'!F178/'Total Trip Tables Sup #1'!$B178)</f>
        <v>0</v>
      </c>
      <c r="G145" s="4">
        <f ca="1">$B145*('Updated Population'!G$136/'Updated Population'!$B$136)*('Total Trip Tables Sup #1'!G178/'Total Trip Tables Sup #1'!$B178)</f>
        <v>0</v>
      </c>
      <c r="H145" s="4">
        <f ca="1">$B145*('Updated Population'!H$136/'Updated Population'!$B$136)*('Total Trip Tables Sup #1'!H178/'Total Trip Tables Sup #1'!$B178)</f>
        <v>0</v>
      </c>
      <c r="I145" s="1">
        <f ca="1">$B145*('Updated Population'!I$136/'Updated Population'!$B$136)*('Total Trip Tables Sup #1'!I178/'Total Trip Tables Sup #1'!$B178)</f>
        <v>0</v>
      </c>
      <c r="J145" s="1">
        <f ca="1">$B145*('Updated Population'!J$136/'Updated Population'!$B$136)*('Total Trip Tables Sup #1'!J178/'Total Trip Tables Sup #1'!$B178)</f>
        <v>0</v>
      </c>
      <c r="K145" s="1">
        <f ca="1">$B145*('Updated Population'!K$136/'Updated Population'!$B$136)*('Total Trip Tables Sup #1'!K178/'Total Trip Tables Sup #1'!$B178)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$B146*('Updated Population'!C$136/'Updated Population'!$B$136)*('Total Trip Tables Sup #1'!C179/'Total Trip Tables Sup #1'!$B179)</f>
        <v>0.83327290766668671</v>
      </c>
      <c r="D146" s="4">
        <f ca="1">$B146*('Updated Population'!D$136/'Updated Population'!$B$136)*('Total Trip Tables Sup #1'!D179/'Total Trip Tables Sup #1'!$B179)</f>
        <v>0.87570829976939923</v>
      </c>
      <c r="E146" s="4">
        <f ca="1">$B146*('Updated Population'!E$136/'Updated Population'!$B$136)*('Total Trip Tables Sup #1'!E179/'Total Trip Tables Sup #1'!$B179)</f>
        <v>0.90205658685196222</v>
      </c>
      <c r="F146" s="4">
        <f ca="1">$B146*('Updated Population'!F$136/'Updated Population'!$B$136)*('Total Trip Tables Sup #1'!F179/'Total Trip Tables Sup #1'!$B179)</f>
        <v>0.92161509153588583</v>
      </c>
      <c r="G146" s="4">
        <f ca="1">$B146*('Updated Population'!G$136/'Updated Population'!$B$136)*('Total Trip Tables Sup #1'!G179/'Total Trip Tables Sup #1'!$B179)</f>
        <v>0.93431193202364038</v>
      </c>
      <c r="H146" s="4">
        <f ca="1">$B146*('Updated Population'!H$136/'Updated Population'!$B$136)*('Total Trip Tables Sup #1'!H179/'Total Trip Tables Sup #1'!$B179)</f>
        <v>0.93397610049021829</v>
      </c>
      <c r="I146" s="1">
        <f ca="1">$B146*('Updated Population'!I$136/'Updated Population'!$B$136)*('Total Trip Tables Sup #1'!I179/'Total Trip Tables Sup #1'!$B179)</f>
        <v>0.94329591398463086</v>
      </c>
      <c r="J146" s="1">
        <f ca="1">$B146*('Updated Population'!J$136/'Updated Population'!$B$136)*('Total Trip Tables Sup #1'!J179/'Total Trip Tables Sup #1'!$B179)</f>
        <v>0.94967609053238944</v>
      </c>
      <c r="K146" s="1">
        <f ca="1">$B146*('Updated Population'!K$136/'Updated Population'!$B$136)*('Total Trip Tables Sup #1'!K179/'Total Trip Tables Sup #1'!$B179)</f>
        <v>0.95404470131702546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$B148*('Updated Population'!C$147/'Updated Population'!$B$147)*('Total Trip Tables Sup #1'!C170/'Total Trip Tables Sup #1'!$B170)</f>
        <v>12.735903542593478</v>
      </c>
      <c r="D148" s="4">
        <f ca="1">$B148*('Updated Population'!D$147/'Updated Population'!$B$147)*('Total Trip Tables Sup #1'!D170/'Total Trip Tables Sup #1'!$B170)</f>
        <v>12.635375086439488</v>
      </c>
      <c r="E148" s="4">
        <f ca="1">$B148*('Updated Population'!E$147/'Updated Population'!$B$147)*('Total Trip Tables Sup #1'!E170/'Total Trip Tables Sup #1'!$B170)</f>
        <v>12.416937097357051</v>
      </c>
      <c r="F148" s="4">
        <f ca="1">$B148*('Updated Population'!F$147/'Updated Population'!$B$147)*('Total Trip Tables Sup #1'!F170/'Total Trip Tables Sup #1'!$B170)</f>
        <v>12.096108861899287</v>
      </c>
      <c r="G148" s="4">
        <f ca="1">$B148*('Updated Population'!G$147/'Updated Population'!$B$147)*('Total Trip Tables Sup #1'!G170/'Total Trip Tables Sup #1'!$B170)</f>
        <v>11.719607863423757</v>
      </c>
      <c r="H148" s="4">
        <f ca="1">$B148*('Updated Population'!H$147/'Updated Population'!$B$147)*('Total Trip Tables Sup #1'!H170/'Total Trip Tables Sup #1'!$B170)</f>
        <v>11.310452164690943</v>
      </c>
      <c r="I148" s="1">
        <f ca="1">$B148*('Updated Population'!I$147/'Updated Population'!$B$147)*('Total Trip Tables Sup #1'!I170/'Total Trip Tables Sup #1'!$B170)</f>
        <v>11.158941874283782</v>
      </c>
      <c r="J148" s="1">
        <f ca="1">$B148*('Updated Population'!J$147/'Updated Population'!$B$147)*('Total Trip Tables Sup #1'!J170/'Total Trip Tables Sup #1'!$B170)</f>
        <v>10.974416143253016</v>
      </c>
      <c r="K148" s="1">
        <f ca="1">$B148*('Updated Population'!K$147/'Updated Population'!$B$147)*('Total Trip Tables Sup #1'!K170/'Total Trip Tables Sup #1'!$B170)</f>
        <v>10.769747025110538</v>
      </c>
    </row>
    <row r="149" spans="1:11" x14ac:dyDescent="0.25">
      <c r="A149" t="str">
        <f ca="1">OFFSET(Southland_Reference,7,2)</f>
        <v>Cyclist</v>
      </c>
      <c r="B149" s="4">
        <f ca="1">OFFSET(Southland_Reference,7,5)</f>
        <v>1.0312878256</v>
      </c>
      <c r="C149" s="4">
        <f ca="1">$B149*('Updated Population'!C$147/'Updated Population'!$B$147)*('Total Trip Tables Sup #1'!C171/'Total Trip Tables Sup #1'!$B171)</f>
        <v>1.0382145565471192</v>
      </c>
      <c r="D149" s="4">
        <f ca="1">$B149*('Updated Population'!D$147/'Updated Population'!$B$147)*('Total Trip Tables Sup #1'!D171/'Total Trip Tables Sup #1'!$B171)</f>
        <v>1.0136067971526146</v>
      </c>
      <c r="E149" s="4">
        <f ca="1">$B149*('Updated Population'!E$147/'Updated Population'!$B$147)*('Total Trip Tables Sup #1'!E171/'Total Trip Tables Sup #1'!$B171)</f>
        <v>0.97981827662885923</v>
      </c>
      <c r="F149" s="4">
        <f ca="1">$B149*('Updated Population'!F$147/'Updated Population'!$B$147)*('Total Trip Tables Sup #1'!F171/'Total Trip Tables Sup #1'!$B171)</f>
        <v>0.94711486048961901</v>
      </c>
      <c r="G149" s="4">
        <f ca="1">$B149*('Updated Population'!G$147/'Updated Population'!$B$147)*('Total Trip Tables Sup #1'!G171/'Total Trip Tables Sup #1'!$B171)</f>
        <v>0.9147972096620578</v>
      </c>
      <c r="H149" s="4">
        <f ca="1">$B149*('Updated Population'!H$147/'Updated Population'!$B$147)*('Total Trip Tables Sup #1'!H171/'Total Trip Tables Sup #1'!$B171)</f>
        <v>0.88312230386432278</v>
      </c>
      <c r="I149" s="1">
        <f ca="1">$B149*('Updated Population'!I$147/'Updated Population'!$B$147)*('Total Trip Tables Sup #1'!I171/'Total Trip Tables Sup #1'!$B171)</f>
        <v>0.87129235093448054</v>
      </c>
      <c r="J149" s="1">
        <f ca="1">$B149*('Updated Population'!J$147/'Updated Population'!$B$147)*('Total Trip Tables Sup #1'!J171/'Total Trip Tables Sup #1'!$B171)</f>
        <v>0.85688454598227315</v>
      </c>
      <c r="K149" s="1">
        <f ca="1">$B149*('Updated Population'!K$147/'Updated Population'!$B$147)*('Total Trip Tables Sup #1'!K171/'Total Trip Tables Sup #1'!$B171)</f>
        <v>0.8409039414483428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$B150*('Updated Population'!C$147/'Updated Population'!$B$147)*('Total Trip Tables Sup #1'!C172/'Total Trip Tables Sup #1'!$B172)</f>
        <v>69.891454563513506</v>
      </c>
      <c r="D150" s="4">
        <f ca="1">$B150*('Updated Population'!D$147/'Updated Population'!$B$147)*('Total Trip Tables Sup #1'!D172/'Total Trip Tables Sup #1'!$B172)</f>
        <v>70.411414874632811</v>
      </c>
      <c r="E150" s="4">
        <f ca="1">$B150*('Updated Population'!E$147/'Updated Population'!$B$147)*('Total Trip Tables Sup #1'!E172/'Total Trip Tables Sup #1'!$B172)</f>
        <v>70.966451526337863</v>
      </c>
      <c r="F150" s="4">
        <f ca="1">$B150*('Updated Population'!F$147/'Updated Population'!$B$147)*('Total Trip Tables Sup #1'!F172/'Total Trip Tables Sup #1'!$B172)</f>
        <v>71.146252759898346</v>
      </c>
      <c r="G150" s="4">
        <f ca="1">$B150*('Updated Population'!G$147/'Updated Population'!$B$147)*('Total Trip Tables Sup #1'!G172/'Total Trip Tables Sup #1'!$B172)</f>
        <v>70.503443895872124</v>
      </c>
      <c r="H150" s="4">
        <f ca="1">$B150*('Updated Population'!H$147/'Updated Population'!$B$147)*('Total Trip Tables Sup #1'!H172/'Total Trip Tables Sup #1'!$B172)</f>
        <v>69.531494907808394</v>
      </c>
      <c r="I150" s="1">
        <f ca="1">$B150*('Updated Population'!I$147/'Updated Population'!$B$147)*('Total Trip Tables Sup #1'!I172/'Total Trip Tables Sup #1'!$B172)</f>
        <v>68.600078830667499</v>
      </c>
      <c r="J150" s="1">
        <f ca="1">$B150*('Updated Population'!J$147/'Updated Population'!$B$147)*('Total Trip Tables Sup #1'!J172/'Total Trip Tables Sup #1'!$B172)</f>
        <v>67.46569890131515</v>
      </c>
      <c r="K150" s="1">
        <f ca="1">$B150*('Updated Population'!K$147/'Updated Population'!$B$147)*('Total Trip Tables Sup #1'!K172/'Total Trip Tables Sup #1'!$B172)</f>
        <v>66.207486626625055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$B151*('Updated Population'!C$147/'Updated Population'!$B$147)*('Total Trip Tables Sup #1'!C173/'Total Trip Tables Sup #1'!$B173)</f>
        <v>28.263292896458747</v>
      </c>
      <c r="D151" s="4">
        <f ca="1">$B151*('Updated Population'!D$147/'Updated Population'!$B$147)*('Total Trip Tables Sup #1'!D173/'Total Trip Tables Sup #1'!$B173)</f>
        <v>27.668784769921974</v>
      </c>
      <c r="E151" s="4">
        <f ca="1">$B151*('Updated Population'!E$147/'Updated Population'!$B$147)*('Total Trip Tables Sup #1'!E173/'Total Trip Tables Sup #1'!$B173)</f>
        <v>27.082104136832772</v>
      </c>
      <c r="F151" s="4">
        <f ca="1">$B151*('Updated Population'!F$147/'Updated Population'!$B$147)*('Total Trip Tables Sup #1'!F173/'Total Trip Tables Sup #1'!$B173)</f>
        <v>26.443948880127291</v>
      </c>
      <c r="G151" s="4">
        <f ca="1">$B151*('Updated Population'!G$147/'Updated Population'!$B$147)*('Total Trip Tables Sup #1'!G173/'Total Trip Tables Sup #1'!$B173)</f>
        <v>25.65013528018719</v>
      </c>
      <c r="H151" s="4">
        <f ca="1">$B151*('Updated Population'!H$147/'Updated Population'!$B$147)*('Total Trip Tables Sup #1'!H173/'Total Trip Tables Sup #1'!$B173)</f>
        <v>24.758173375727583</v>
      </c>
      <c r="I151" s="1">
        <f ca="1">$B151*('Updated Population'!I$147/'Updated Population'!$B$147)*('Total Trip Tables Sup #1'!I173/'Total Trip Tables Sup #1'!$B173)</f>
        <v>24.426522794169259</v>
      </c>
      <c r="J151" s="1">
        <f ca="1">$B151*('Updated Population'!J$147/'Updated Population'!$B$147)*('Total Trip Tables Sup #1'!J173/'Total Trip Tables Sup #1'!$B173)</f>
        <v>24.022602599413069</v>
      </c>
      <c r="K151" s="1">
        <f ca="1">$B151*('Updated Population'!K$147/'Updated Population'!$B$147)*('Total Trip Tables Sup #1'!K173/'Total Trip Tables Sup #1'!$B173)</f>
        <v>23.574589254071523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$B152*('Updated Population'!C$147/'Updated Population'!$B$147)*('Total Trip Tables Sup #1'!C174/'Total Trip Tables Sup #1'!$B174)</f>
        <v>0.52003564383977108</v>
      </c>
      <c r="D152" s="4">
        <f ca="1">$B152*('Updated Population'!D$147/'Updated Population'!$B$147)*('Total Trip Tables Sup #1'!D174/'Total Trip Tables Sup #1'!$B174)</f>
        <v>0.54493964919916038</v>
      </c>
      <c r="E152" s="4">
        <f ca="1">$B152*('Updated Population'!E$147/'Updated Population'!$B$147)*('Total Trip Tables Sup #1'!E174/'Total Trip Tables Sup #1'!$B174)</f>
        <v>0.56029838027134149</v>
      </c>
      <c r="F152" s="4">
        <f ca="1">$B152*('Updated Population'!F$147/'Updated Population'!$B$147)*('Total Trip Tables Sup #1'!F174/'Total Trip Tables Sup #1'!$B174)</f>
        <v>0.56889997015480842</v>
      </c>
      <c r="G152" s="4">
        <f ca="1">$B152*('Updated Population'!G$147/'Updated Population'!$B$147)*('Total Trip Tables Sup #1'!G174/'Total Trip Tables Sup #1'!$B174)</f>
        <v>0.56819173826413649</v>
      </c>
      <c r="H152" s="4">
        <f ca="1">$B152*('Updated Population'!H$147/'Updated Population'!$B$147)*('Total Trip Tables Sup #1'!H174/'Total Trip Tables Sup #1'!$B174)</f>
        <v>0.56550496207510748</v>
      </c>
      <c r="I152" s="1">
        <f ca="1">$B152*('Updated Population'!I$147/'Updated Population'!$B$147)*('Total Trip Tables Sup #1'!I174/'Total Trip Tables Sup #1'!$B174)</f>
        <v>0.55792968393563858</v>
      </c>
      <c r="J152" s="1">
        <f ca="1">$B152*('Updated Population'!J$147/'Updated Population'!$B$147)*('Total Trip Tables Sup #1'!J174/'Total Trip Tables Sup #1'!$B174)</f>
        <v>0.54870368527448909</v>
      </c>
      <c r="K152" s="1">
        <f ca="1">$B152*('Updated Population'!K$147/'Updated Population'!$B$147)*('Total Trip Tables Sup #1'!K174/'Total Trip Tables Sup #1'!$B174)</f>
        <v>0.53847054868473987</v>
      </c>
    </row>
    <row r="153" spans="1:11" x14ac:dyDescent="0.25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$B153*('Updated Population'!C$147/'Updated Population'!$B$147)*('Total Trip Tables Sup #1'!C175/'Total Trip Tables Sup #1'!$B175)</f>
        <v>0.63492980546757383</v>
      </c>
      <c r="D153" s="4">
        <f ca="1">$B153*('Updated Population'!D$147/'Updated Population'!$B$147)*('Total Trip Tables Sup #1'!D175/'Total Trip Tables Sup #1'!$B175)</f>
        <v>0.62408133604012994</v>
      </c>
      <c r="E153" s="4">
        <f ca="1">$B153*('Updated Population'!E$147/'Updated Population'!$B$147)*('Total Trip Tables Sup #1'!E175/'Total Trip Tables Sup #1'!$B175)</f>
        <v>0.61346505406768415</v>
      </c>
      <c r="F153" s="4">
        <f ca="1">$B153*('Updated Population'!F$147/'Updated Population'!$B$147)*('Total Trip Tables Sup #1'!F175/'Total Trip Tables Sup #1'!$B175)</f>
        <v>0.59964375147668325</v>
      </c>
      <c r="G153" s="4">
        <f ca="1">$B153*('Updated Population'!G$147/'Updated Population'!$B$147)*('Total Trip Tables Sup #1'!G175/'Total Trip Tables Sup #1'!$B175)</f>
        <v>0.57559665511819724</v>
      </c>
      <c r="H153" s="4">
        <f ca="1">$B153*('Updated Population'!H$147/'Updated Population'!$B$147)*('Total Trip Tables Sup #1'!H175/'Total Trip Tables Sup #1'!$B175)</f>
        <v>0.54898858010255702</v>
      </c>
      <c r="I153" s="1">
        <f ca="1">$B153*('Updated Population'!I$147/'Updated Population'!$B$147)*('Total Trip Tables Sup #1'!I175/'Total Trip Tables Sup #1'!$B175)</f>
        <v>0.54163454880562811</v>
      </c>
      <c r="J153" s="1">
        <f ca="1">$B153*('Updated Population'!J$147/'Updated Population'!$B$147)*('Total Trip Tables Sup #1'!J175/'Total Trip Tables Sup #1'!$B175)</f>
        <v>0.53267800864296222</v>
      </c>
      <c r="K153" s="1">
        <f ca="1">$B153*('Updated Population'!K$147/'Updated Population'!$B$147)*('Total Trip Tables Sup #1'!K175/'Total Trip Tables Sup #1'!$B175)</f>
        <v>0.52274374545668123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Trip Tables Sup #1'!C176/'Total Trip Tables Sup #1'!$B176)</f>
        <v>0</v>
      </c>
      <c r="D154" s="4">
        <f ca="1">$B154*('Updated Population'!D$147/'Updated Population'!$B$147)*('Total Trip Tables Sup #1'!D176/'Total Trip Tables Sup #1'!$B176)</f>
        <v>0</v>
      </c>
      <c r="E154" s="4">
        <f ca="1">$B154*('Updated Population'!E$147/'Updated Population'!$B$147)*('Total Trip Tables Sup #1'!E176/'Total Trip Tables Sup #1'!$B176)</f>
        <v>0</v>
      </c>
      <c r="F154" s="4">
        <f ca="1">$B154*('Updated Population'!F$147/'Updated Population'!$B$147)*('Total Trip Tables Sup #1'!F176/'Total Trip Tables Sup #1'!$B176)</f>
        <v>0</v>
      </c>
      <c r="G154" s="4">
        <f ca="1">$B154*('Updated Population'!G$147/'Updated Population'!$B$147)*('Total Trip Tables Sup #1'!G176/'Total Trip Tables Sup #1'!$B176)</f>
        <v>0</v>
      </c>
      <c r="H154" s="4">
        <f ca="1">$B154*('Updated Population'!H$147/'Updated Population'!$B$147)*('Total Trip Tables Sup #1'!H176/'Total Trip Tables Sup #1'!$B176)</f>
        <v>0</v>
      </c>
      <c r="I154" s="1">
        <f ca="1">$B154*('Updated Population'!I$147/'Updated Population'!$B$147)*('Total Trip Tables Sup #1'!I176/'Total Trip Tables Sup #1'!$B176)</f>
        <v>0</v>
      </c>
      <c r="J154" s="1">
        <f ca="1">$B154*('Updated Population'!J$147/'Updated Population'!$B$147)*('Total Trip Tables Sup #1'!J176/'Total Trip Tables Sup #1'!$B176)</f>
        <v>0</v>
      </c>
      <c r="K154" s="1">
        <f ca="1">$B154*('Updated Population'!K$147/'Updated Population'!$B$147)*('Total Trip Tables Sup #1'!K176/'Total Trip Tables Sup #1'!$B176)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$B155*('Updated Population'!C$147/'Updated Population'!$B$147)*('Total Trip Tables Sup #1'!C177/'Total Trip Tables Sup #1'!$B177)</f>
        <v>2.5103708563233997</v>
      </c>
      <c r="D155" s="4">
        <f ca="1">$B155*('Updated Population'!D$147/'Updated Population'!$B$147)*('Total Trip Tables Sup #1'!D177/'Total Trip Tables Sup #1'!$B177)</f>
        <v>2.3832829778888103</v>
      </c>
      <c r="E155" s="4">
        <f ca="1">$B155*('Updated Population'!E$147/'Updated Population'!$B$147)*('Total Trip Tables Sup #1'!E177/'Total Trip Tables Sup #1'!$B177)</f>
        <v>2.299989790150553</v>
      </c>
      <c r="F155" s="4">
        <f ca="1">$B155*('Updated Population'!F$147/'Updated Population'!$B$147)*('Total Trip Tables Sup #1'!F177/'Total Trip Tables Sup #1'!$B177)</f>
        <v>2.1939929488826926</v>
      </c>
      <c r="G155" s="4">
        <f ca="1">$B155*('Updated Population'!G$147/'Updated Population'!$B$147)*('Total Trip Tables Sup #1'!G177/'Total Trip Tables Sup #1'!$B177)</f>
        <v>2.1034076781395554</v>
      </c>
      <c r="H155" s="4">
        <f ca="1">$B155*('Updated Population'!H$147/'Updated Population'!$B$147)*('Total Trip Tables Sup #1'!H177/'Total Trip Tables Sup #1'!$B177)</f>
        <v>2.0060930615770576</v>
      </c>
      <c r="I155" s="1">
        <f ca="1">$B155*('Updated Population'!I$147/'Updated Population'!$B$147)*('Total Trip Tables Sup #1'!I177/'Total Trip Tables Sup #1'!$B177)</f>
        <v>1.9792202418243527</v>
      </c>
      <c r="J155" s="1">
        <f ca="1">$B155*('Updated Population'!J$147/'Updated Population'!$B$147)*('Total Trip Tables Sup #1'!J177/'Total Trip Tables Sup #1'!$B177)</f>
        <v>1.9464915954967663</v>
      </c>
      <c r="K155" s="1">
        <f ca="1">$B155*('Updated Population'!K$147/'Updated Population'!$B$147)*('Total Trip Tables Sup #1'!K177/'Total Trip Tables Sup #1'!$B177)</f>
        <v>1.910190191110257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Trip Tables Sup #1'!C178/'Total Trip Tables Sup #1'!$B178)</f>
        <v>0</v>
      </c>
      <c r="D156" s="4">
        <f ca="1">$B156*('Updated Population'!D$147/'Updated Population'!$B$147)*('Total Trip Tables Sup #1'!D178/'Total Trip Tables Sup #1'!$B178)</f>
        <v>0</v>
      </c>
      <c r="E156" s="4">
        <f ca="1">$B156*('Updated Population'!E$147/'Updated Population'!$B$147)*('Total Trip Tables Sup #1'!E178/'Total Trip Tables Sup #1'!$B178)</f>
        <v>0</v>
      </c>
      <c r="F156" s="4">
        <f ca="1">$B156*('Updated Population'!F$147/'Updated Population'!$B$147)*('Total Trip Tables Sup #1'!F178/'Total Trip Tables Sup #1'!$B178)</f>
        <v>0</v>
      </c>
      <c r="G156" s="4">
        <f ca="1">$B156*('Updated Population'!G$147/'Updated Population'!$B$147)*('Total Trip Tables Sup #1'!G178/'Total Trip Tables Sup #1'!$B178)</f>
        <v>0</v>
      </c>
      <c r="H156" s="4">
        <f ca="1">$B156*('Updated Population'!H$147/'Updated Population'!$B$147)*('Total Trip Tables Sup #1'!H178/'Total Trip Tables Sup #1'!$B178)</f>
        <v>0</v>
      </c>
      <c r="I156" s="1">
        <f ca="1">$B156*('Updated Population'!I$147/'Updated Population'!$B$147)*('Total Trip Tables Sup #1'!I178/'Total Trip Tables Sup #1'!$B178)</f>
        <v>0</v>
      </c>
      <c r="J156" s="1">
        <f ca="1">$B156*('Updated Population'!J$147/'Updated Population'!$B$147)*('Total Trip Tables Sup #1'!J178/'Total Trip Tables Sup #1'!$B178)</f>
        <v>0</v>
      </c>
      <c r="K156" s="1">
        <f ca="1">$B156*('Updated Population'!K$147/'Updated Population'!$B$147)*('Total Trip Tables Sup #1'!K178/'Total Trip Tables Sup #1'!$B178)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$B157*('Updated Population'!C$147/'Updated Population'!$B$147)*('Total Trip Tables Sup #1'!C179/'Total Trip Tables Sup #1'!$B179)</f>
        <v>0.44090781681752278</v>
      </c>
      <c r="D157" s="4">
        <f ca="1">$B157*('Updated Population'!D$147/'Updated Population'!$B$147)*('Total Trip Tables Sup #1'!D179/'Total Trip Tables Sup #1'!$B179)</f>
        <v>0.44735710833882175</v>
      </c>
      <c r="E157" s="4">
        <f ca="1">$B157*('Updated Population'!E$147/'Updated Population'!$B$147)*('Total Trip Tables Sup #1'!E179/'Total Trip Tables Sup #1'!$B179)</f>
        <v>0.45033405328511228</v>
      </c>
      <c r="F157" s="4">
        <f ca="1">$B157*('Updated Population'!F$147/'Updated Population'!$B$147)*('Total Trip Tables Sup #1'!F179/'Total Trip Tables Sup #1'!$B179)</f>
        <v>0.44972149016961155</v>
      </c>
      <c r="G157" s="4">
        <f ca="1">$B157*('Updated Population'!G$147/'Updated Population'!$B$147)*('Total Trip Tables Sup #1'!G179/'Total Trip Tables Sup #1'!$B179)</f>
        <v>0.44530693166937296</v>
      </c>
      <c r="H157" s="4">
        <f ca="1">$B157*('Updated Population'!H$147/'Updated Population'!$B$147)*('Total Trip Tables Sup #1'!H179/'Total Trip Tables Sup #1'!$B179)</f>
        <v>0.43484470032265587</v>
      </c>
      <c r="I157" s="1">
        <f ca="1">$B157*('Updated Population'!I$147/'Updated Population'!$B$147)*('Total Trip Tables Sup #1'!I179/'Total Trip Tables Sup #1'!$B179)</f>
        <v>0.42901969475536506</v>
      </c>
      <c r="J157" s="1">
        <f ca="1">$B157*('Updated Population'!J$147/'Updated Population'!$B$147)*('Total Trip Tables Sup #1'!J179/'Total Trip Tables Sup #1'!$B179)</f>
        <v>0.42192536863616836</v>
      </c>
      <c r="K157" s="1">
        <f ca="1">$B157*('Updated Population'!K$147/'Updated Population'!$B$147)*('Total Trip Tables Sup #1'!K179/'Total Trip Tables Sup #1'!$B179)</f>
        <v>0.41405660441277098</v>
      </c>
    </row>
    <row r="158" spans="1:11" x14ac:dyDescent="0.25">
      <c r="A158" t="s">
        <v>19</v>
      </c>
      <c r="I158" s="1"/>
      <c r="J158" s="1"/>
      <c r="K158" s="1"/>
    </row>
    <row r="159" spans="1:11" x14ac:dyDescent="0.25">
      <c r="A159" t="str">
        <f t="shared" ref="A159:A165" ca="1" si="0">A5</f>
        <v>Pedestrian</v>
      </c>
      <c r="B159" s="4">
        <f t="shared" ref="B159:H164" ca="1" si="1">B5+B16+B27+B38+B49+B60+B71+B82+B93+B104+B115+B126+B137+B148</f>
        <v>986.56972308989998</v>
      </c>
      <c r="C159" s="4">
        <f t="shared" ca="1" si="1"/>
        <v>1062.5155678554127</v>
      </c>
      <c r="D159" s="4">
        <f t="shared" ca="1" si="1"/>
        <v>1107.1285743498261</v>
      </c>
      <c r="E159" s="4">
        <f t="shared" ca="1" si="1"/>
        <v>1130.8071597916457</v>
      </c>
      <c r="F159" s="4">
        <f t="shared" ca="1" si="1"/>
        <v>1143.2701042211495</v>
      </c>
      <c r="G159" s="4">
        <f t="shared" ca="1" si="1"/>
        <v>1148.9411344625698</v>
      </c>
      <c r="H159" s="4">
        <f t="shared" ca="1" si="1"/>
        <v>1149.5557176916275</v>
      </c>
      <c r="I159" s="1">
        <f t="shared" ref="I159" ca="1" si="2">I5+I16+I27+I38+I49+I60+I71+I82+I93+I104+I115+I126+I137+I148</f>
        <v>1176.1821216642134</v>
      </c>
      <c r="J159" s="1">
        <f t="shared" ref="J159:K159" ca="1" si="3">J5+J16+J27+J38+J49+J60+J71+J82+J93+J104+J115+J126+J137+J148</f>
        <v>1199.9687127291836</v>
      </c>
      <c r="K159" s="1">
        <f t="shared" ca="1" si="3"/>
        <v>1221.9843205026198</v>
      </c>
    </row>
    <row r="160" spans="1:11" x14ac:dyDescent="0.25">
      <c r="A160" t="str">
        <f t="shared" ca="1" si="0"/>
        <v>Cyclist</v>
      </c>
      <c r="B160" s="4">
        <f t="shared" ca="1" si="1"/>
        <v>71.074316198400012</v>
      </c>
      <c r="C160" s="4">
        <f t="shared" ca="1" si="1"/>
        <v>75.150043181448098</v>
      </c>
      <c r="D160" s="4">
        <f t="shared" ca="1" si="1"/>
        <v>76.481777340760274</v>
      </c>
      <c r="E160" s="4">
        <f t="shared" ca="1" si="1"/>
        <v>76.320561348313362</v>
      </c>
      <c r="F160" s="4">
        <f t="shared" ca="1" si="1"/>
        <v>76.083227224317454</v>
      </c>
      <c r="G160" s="4">
        <f t="shared" ca="1" si="1"/>
        <v>75.780992903005782</v>
      </c>
      <c r="H160" s="4">
        <f t="shared" ca="1" si="1"/>
        <v>75.420786800852909</v>
      </c>
      <c r="I160" s="1">
        <f t="shared" ref="I160" ca="1" si="4">I6+I17+I28+I39+I50+I61+I72+I83+I94+I105+I116+I127+I138+I149</f>
        <v>76.730214574174795</v>
      </c>
      <c r="J160" s="1">
        <f t="shared" ref="J160:K160" ca="1" si="5">J6+J17+J28+J39+J50+J61+J72+J83+J94+J105+J116+J127+J138+J149</f>
        <v>77.831288433594011</v>
      </c>
      <c r="K160" s="1">
        <f t="shared" ca="1" si="5"/>
        <v>78.796025859723983</v>
      </c>
    </row>
    <row r="161" spans="1:20" x14ac:dyDescent="0.25">
      <c r="A161" t="str">
        <f t="shared" ca="1" si="0"/>
        <v>Light Vehicle Driver</v>
      </c>
      <c r="B161" s="4">
        <f t="shared" ca="1" si="1"/>
        <v>3093.3887589700003</v>
      </c>
      <c r="C161" s="4">
        <f t="shared" ca="1" si="1"/>
        <v>3416.7076994491385</v>
      </c>
      <c r="D161" s="4">
        <f t="shared" ca="1" si="1"/>
        <v>3613.4514234609142</v>
      </c>
      <c r="E161" s="4">
        <f t="shared" ca="1" si="1"/>
        <v>3783.8930349376469</v>
      </c>
      <c r="F161" s="4">
        <f t="shared" ca="1" si="1"/>
        <v>3935.3689756063022</v>
      </c>
      <c r="G161" s="4">
        <f t="shared" ca="1" si="1"/>
        <v>4043.3663022969013</v>
      </c>
      <c r="H161" s="4">
        <f t="shared" ca="1" si="1"/>
        <v>4132.5685477710958</v>
      </c>
      <c r="I161" s="1">
        <f t="shared" ref="I161" ca="1" si="6">I7+I18+I29+I40+I51+I62+I73+I84+I95+I106+I117+I128+I139+I150</f>
        <v>4226.7771765064126</v>
      </c>
      <c r="J161" s="1">
        <f t="shared" ref="J161:K161" ca="1" si="7">J7+J18+J29+J40+J51+J62+J73+J84+J95+J106+J117+J128+J139+J150</f>
        <v>4310.7574826519394</v>
      </c>
      <c r="K161" s="1">
        <f t="shared" ca="1" si="7"/>
        <v>4388.3588293081439</v>
      </c>
    </row>
    <row r="162" spans="1:20" x14ac:dyDescent="0.25">
      <c r="A162" t="str">
        <f t="shared" ca="1" si="0"/>
        <v>Light Vehicle Passenger</v>
      </c>
      <c r="B162" s="4">
        <f t="shared" ca="1" si="1"/>
        <v>1512.9377645669999</v>
      </c>
      <c r="C162" s="4">
        <f t="shared" ca="1" si="1"/>
        <v>1592.4846130406993</v>
      </c>
      <c r="D162" s="4">
        <f t="shared" ca="1" si="1"/>
        <v>1636.615808445943</v>
      </c>
      <c r="E162" s="4">
        <f t="shared" ca="1" si="1"/>
        <v>1664.4327077928294</v>
      </c>
      <c r="F162" s="4">
        <f t="shared" ca="1" si="1"/>
        <v>1686.0302151481055</v>
      </c>
      <c r="G162" s="4">
        <f t="shared" ca="1" si="1"/>
        <v>1695.6043346098429</v>
      </c>
      <c r="H162" s="4">
        <f t="shared" ca="1" si="1"/>
        <v>1696.1098656169052</v>
      </c>
      <c r="I162" s="1">
        <f t="shared" ref="I162" ca="1" si="8">I8+I19+I30+I41+I52+I63+I74+I85+I96+I107+I118+I129+I140+I151</f>
        <v>1734.7614574485572</v>
      </c>
      <c r="J162" s="1">
        <f t="shared" ref="J162:K162" ca="1" si="9">J8+J19+J30+J41+J52+J63+J74+J85+J96+J107+J118+J129+J140+J151</f>
        <v>1769.2215878783932</v>
      </c>
      <c r="K162" s="1">
        <f t="shared" ca="1" si="9"/>
        <v>1801.0706223042805</v>
      </c>
    </row>
    <row r="163" spans="1:20" x14ac:dyDescent="0.25">
      <c r="A163" t="str">
        <f t="shared" ca="1" si="0"/>
        <v>Taxi/Vehicle Share</v>
      </c>
      <c r="B163" s="4">
        <f t="shared" ca="1" si="1"/>
        <v>15.600131729099999</v>
      </c>
      <c r="C163" s="4">
        <f t="shared" ca="1" si="1"/>
        <v>18.062712262114601</v>
      </c>
      <c r="D163" s="4">
        <f t="shared" ca="1" si="1"/>
        <v>19.91031626178485</v>
      </c>
      <c r="E163" s="4">
        <f t="shared" ca="1" si="1"/>
        <v>21.303132518699922</v>
      </c>
      <c r="F163" s="4">
        <f t="shared" ca="1" si="1"/>
        <v>22.475370788190226</v>
      </c>
      <c r="G163" s="4">
        <f t="shared" ca="1" si="1"/>
        <v>23.311060062306268</v>
      </c>
      <c r="H163" s="4">
        <f t="shared" ca="1" si="1"/>
        <v>24.081953328554604</v>
      </c>
      <c r="I163" s="1">
        <f t="shared" ref="I163" ca="1" si="10">I9+I20+I31+I42+I53+I64+I75+I86+I97+I108+I119+I130+I141+I152</f>
        <v>24.670665782749843</v>
      </c>
      <c r="J163" s="1">
        <f t="shared" ref="J163:K163" ca="1" si="11">J9+J20+J31+J42+J53+J64+J75+J86+J97+J108+J119+J130+J141+J152</f>
        <v>25.202379921415368</v>
      </c>
      <c r="K163" s="1">
        <f t="shared" ca="1" si="11"/>
        <v>25.699357044564586</v>
      </c>
    </row>
    <row r="164" spans="1:20" x14ac:dyDescent="0.25">
      <c r="A164" t="str">
        <f t="shared" ca="1" si="0"/>
        <v>Motorcyclist</v>
      </c>
      <c r="B164" s="4">
        <f t="shared" ca="1" si="1"/>
        <v>19.272283824500001</v>
      </c>
      <c r="C164" s="4">
        <f t="shared" ca="1" si="1"/>
        <v>20.482856074449614</v>
      </c>
      <c r="D164" s="4">
        <f t="shared" ca="1" si="1"/>
        <v>20.982986067292881</v>
      </c>
      <c r="E164" s="4">
        <f t="shared" ca="1" si="1"/>
        <v>21.309572524779576</v>
      </c>
      <c r="F164" s="4">
        <f t="shared" ca="1" si="1"/>
        <v>21.490591603981969</v>
      </c>
      <c r="G164" s="4">
        <f t="shared" ca="1" si="1"/>
        <v>21.275775139781192</v>
      </c>
      <c r="H164" s="4">
        <f t="shared" ca="1" si="1"/>
        <v>20.920002756553632</v>
      </c>
      <c r="I164" s="1">
        <f t="shared" ref="I164" ca="1" si="12">I10+I21+I32+I43+I54+I65+I76+I87+I98+I109+I120+I131+I142+I153</f>
        <v>21.284752063120671</v>
      </c>
      <c r="J164" s="1">
        <f t="shared" ref="J164:K164" ca="1" si="13">J10+J21+J32+J43+J54+J65+J76+J87+J98+J109+J120+J131+J142+J153</f>
        <v>21.593535232839486</v>
      </c>
      <c r="K164" s="1">
        <f t="shared" ca="1" si="13"/>
        <v>21.86643001240466</v>
      </c>
      <c r="L164" s="4"/>
    </row>
    <row r="165" spans="1:20" x14ac:dyDescent="0.25">
      <c r="A165" t="str">
        <f t="shared" ca="1" si="0"/>
        <v>Local Train</v>
      </c>
      <c r="B165" s="4">
        <f t="shared" ref="B165:H165" ca="1" si="14">B22+B99</f>
        <v>20.753709268000001</v>
      </c>
      <c r="C165" s="4">
        <f t="shared" ca="1" si="14"/>
        <v>22.56988745</v>
      </c>
      <c r="D165" s="4">
        <f t="shared" ca="1" si="14"/>
        <v>23.686285507000001</v>
      </c>
      <c r="E165" s="4">
        <f t="shared" ca="1" si="14"/>
        <v>24.396592433999999</v>
      </c>
      <c r="F165" s="4">
        <f t="shared" ca="1" si="14"/>
        <v>24.817304074999999</v>
      </c>
      <c r="G165" s="4">
        <f t="shared" ca="1" si="14"/>
        <v>25.072100783</v>
      </c>
      <c r="H165" s="4">
        <f t="shared" ca="1" si="14"/>
        <v>25.162409855</v>
      </c>
      <c r="I165" s="1">
        <f t="shared" ref="I165" ca="1" si="15">I22+I99</f>
        <v>25.831416671260776</v>
      </c>
      <c r="J165" s="1">
        <f t="shared" ref="J165:K165" ca="1" si="16">J22+J99</f>
        <v>26.442009001201981</v>
      </c>
      <c r="K165" s="1">
        <f t="shared" ca="1" si="16"/>
        <v>27.017217264495176</v>
      </c>
    </row>
    <row r="166" spans="1:20" x14ac:dyDescent="0.25">
      <c r="A166" t="s">
        <v>16</v>
      </c>
      <c r="B166" s="4">
        <f t="shared" ref="B166:H166" ca="1" si="17">B12+B34+B45+B56+B67+B78+B89+B111+B122+B144+B155</f>
        <v>37.710964695899996</v>
      </c>
      <c r="C166" s="4">
        <f t="shared" ca="1" si="17"/>
        <v>36.997985097810478</v>
      </c>
      <c r="D166" s="4">
        <f t="shared" ca="1" si="17"/>
        <v>36.059313041041172</v>
      </c>
      <c r="E166" s="4">
        <f t="shared" ca="1" si="17"/>
        <v>35.523661625358464</v>
      </c>
      <c r="F166" s="4">
        <f t="shared" ca="1" si="17"/>
        <v>34.546003546016543</v>
      </c>
      <c r="G166" s="4">
        <f t="shared" ca="1" si="17"/>
        <v>33.755844571036071</v>
      </c>
      <c r="H166" s="4">
        <f t="shared" ca="1" si="17"/>
        <v>32.805168373851075</v>
      </c>
      <c r="I166" s="1">
        <f t="shared" ref="I166" ca="1" si="18">I12+I34+I45+I56+I67+I78+I89+I111+I122+I144+I155</f>
        <v>32.98466173759752</v>
      </c>
      <c r="J166" s="1">
        <f t="shared" ref="J166:K166" ca="1" si="19">J12+J34+J45+J56+J67+J78+J89+J111+J122+J144+J155</f>
        <v>33.064195525221493</v>
      </c>
      <c r="K166" s="1">
        <f t="shared" ca="1" si="19"/>
        <v>33.077304016300943</v>
      </c>
    </row>
    <row r="167" spans="1:20" x14ac:dyDescent="0.25">
      <c r="A167" t="str">
        <f ca="1">A13</f>
        <v>Local Ferry</v>
      </c>
      <c r="B167" s="4">
        <f t="shared" ref="B167:H168" ca="1" si="20">B13+B24+B35+B46+B57+B68+B79+B90+B101+B112+B123+B134+B145+B156</f>
        <v>4.9488267775000008</v>
      </c>
      <c r="C167" s="4">
        <f t="shared" ca="1" si="20"/>
        <v>5.9435903337045231</v>
      </c>
      <c r="D167" s="4">
        <f t="shared" ca="1" si="20"/>
        <v>6.7573805342898057</v>
      </c>
      <c r="E167" s="4">
        <f t="shared" ca="1" si="20"/>
        <v>7.3186845525074729</v>
      </c>
      <c r="F167" s="4">
        <f t="shared" ca="1" si="20"/>
        <v>7.7711402528089781</v>
      </c>
      <c r="G167" s="4">
        <f t="shared" ca="1" si="20"/>
        <v>8.3724132099923914</v>
      </c>
      <c r="H167" s="4">
        <f t="shared" ca="1" si="20"/>
        <v>8.9117803295109663</v>
      </c>
      <c r="I167" s="1">
        <f t="shared" ref="I167" ca="1" si="21">I13+I24+I35+I46+I57+I68+I79+I90+I101+I112+I123+I134+I145+I156</f>
        <v>9.2643600806640478</v>
      </c>
      <c r="J167" s="1">
        <f t="shared" ref="J167:K167" ca="1" si="22">J13+J24+J35+J46+J57+J68+J79+J90+J101+J112+J123+J134+J145+J156</f>
        <v>9.6012332891137575</v>
      </c>
      <c r="K167" s="1">
        <f t="shared" ca="1" si="22"/>
        <v>9.9299739110138958</v>
      </c>
    </row>
    <row r="168" spans="1:20" x14ac:dyDescent="0.25">
      <c r="A168" t="str">
        <f ca="1">A14</f>
        <v>Other Household Travel</v>
      </c>
      <c r="B168" s="4">
        <f t="shared" ca="1" si="20"/>
        <v>10.3599389081</v>
      </c>
      <c r="C168" s="4">
        <f t="shared" ca="1" si="20"/>
        <v>11.216380672733512</v>
      </c>
      <c r="D168" s="4">
        <f t="shared" ca="1" si="20"/>
        <v>11.90148603832707</v>
      </c>
      <c r="E168" s="4">
        <f t="shared" ca="1" si="20"/>
        <v>12.407687223717376</v>
      </c>
      <c r="F168" s="4">
        <f t="shared" ca="1" si="20"/>
        <v>12.813981505239271</v>
      </c>
      <c r="G168" s="4">
        <f t="shared" ca="1" si="20"/>
        <v>13.115097735575212</v>
      </c>
      <c r="H168" s="4">
        <f t="shared" ca="1" si="20"/>
        <v>13.231308700140868</v>
      </c>
      <c r="I168" s="1">
        <f t="shared" ref="I168" ca="1" si="23">I14+I25+I36+I47+I58+I69+I80+I91+I102+I113+I124+I135+I146+I157</f>
        <v>13.490633121422135</v>
      </c>
      <c r="J168" s="1">
        <f t="shared" ref="J168:K168" ca="1" si="24">J14+J25+J36+J47+J58+J69+J80+J91+J102+J113+J124+J135+J146+J157</f>
        <v>13.715342518871948</v>
      </c>
      <c r="K168" s="1">
        <f t="shared" ca="1" si="24"/>
        <v>13.917958989759255</v>
      </c>
    </row>
    <row r="169" spans="1:20" x14ac:dyDescent="0.25">
      <c r="A169" s="59" t="s">
        <v>109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110</v>
      </c>
      <c r="N169" s="59"/>
      <c r="O169" s="59"/>
      <c r="P169" s="59"/>
      <c r="Q169" s="59"/>
      <c r="R169" s="59"/>
      <c r="S169" s="59"/>
      <c r="T169" s="59"/>
    </row>
    <row r="170" spans="1:20" x14ac:dyDescent="0.25">
      <c r="A170" s="59" t="str">
        <f t="shared" ref="A170:A179" ca="1" si="25">A16</f>
        <v>Pedestrian</v>
      </c>
      <c r="B170" s="60">
        <f ca="1">B181*1000000/'Original Population'!B$158</f>
        <v>222.12034471584565</v>
      </c>
      <c r="C170" s="60">
        <f ca="1">(C181*1000000/'Original Population'!C$158)</f>
        <v>218.65063347622362</v>
      </c>
      <c r="D170" s="60">
        <f ca="1">(D181*1000000/'Original Population'!D$158)</f>
        <v>214.9743834472828</v>
      </c>
      <c r="E170" s="60">
        <f ca="1">(E181*1000000/'Original Population'!E$158)</f>
        <v>210.2079569259389</v>
      </c>
      <c r="F170" s="60">
        <f ca="1">(F181*1000000/'Original Population'!F$158)</f>
        <v>204.77661364289324</v>
      </c>
      <c r="G170" s="60">
        <f ca="1">(G181*1000000/'Original Population'!G$158)</f>
        <v>199.59319552489728</v>
      </c>
      <c r="H170" s="60">
        <f ca="1">(H181*1000000/'Original Population'!H$158)</f>
        <v>194.57069204711996</v>
      </c>
      <c r="I170" s="60">
        <f ca="1">H170</f>
        <v>194.57069204711996</v>
      </c>
      <c r="J170" s="60">
        <f t="shared" ref="J170:K170" ca="1" si="26">I170</f>
        <v>194.57069204711996</v>
      </c>
      <c r="K170" s="60">
        <f t="shared" ca="1" si="26"/>
        <v>194.57069204711996</v>
      </c>
      <c r="L170" s="60"/>
      <c r="M170" s="60">
        <f ca="1">B159*'Total Trip Tables Sup #2'!B159*1000000/'Updated Population'!B$158</f>
        <v>222.12034471584565</v>
      </c>
      <c r="N170" s="60">
        <f ca="1">C159*'Total Trip Tables Sup #2'!C159*1000000/'Updated Population'!C$158</f>
        <v>218.65063347622362</v>
      </c>
      <c r="O170" s="60">
        <f ca="1">D159*'Total Trip Tables Sup #2'!D159*1000000/'Updated Population'!D$158</f>
        <v>214.97438344728283</v>
      </c>
      <c r="P170" s="60">
        <f ca="1">E159*'Total Trip Tables Sup #2'!E159*1000000/'Updated Population'!E$158</f>
        <v>210.20795692593887</v>
      </c>
      <c r="Q170" s="60">
        <f ca="1">F159*'Total Trip Tables Sup #2'!F159*1000000/'Updated Population'!F$158</f>
        <v>204.77661364289324</v>
      </c>
      <c r="R170" s="60">
        <f ca="1">G159*'Total Trip Tables Sup #2'!G159*1000000/'Updated Population'!G$158</f>
        <v>199.59319552489725</v>
      </c>
      <c r="S170" s="60">
        <f ca="1">H159*'Total Trip Tables Sup #2'!H159*1000000/'Updated Population'!H$158</f>
        <v>194.57069204711993</v>
      </c>
      <c r="T170" s="59"/>
    </row>
    <row r="171" spans="1:20" x14ac:dyDescent="0.25">
      <c r="A171" s="59" t="str">
        <f t="shared" ca="1" si="25"/>
        <v>Cyclist</v>
      </c>
      <c r="B171" s="60">
        <f ca="1">B182*1000000/'Original Population'!B$158</f>
        <v>16.001962400576371</v>
      </c>
      <c r="C171" s="60">
        <f ca="1">(C182*1000000/'Original Population'!C$158)</f>
        <v>15.589781535089383</v>
      </c>
      <c r="D171" s="60">
        <f ca="1">(D182*1000000/'Original Population'!D$158)</f>
        <v>15.083426956084153</v>
      </c>
      <c r="E171" s="60">
        <f ca="1">(E182*1000000/'Original Population'!E$158)</f>
        <v>14.508153542590975</v>
      </c>
      <c r="F171" s="60">
        <f ca="1">(F182*1000000/'Original Population'!F$158)</f>
        <v>14.023914583150678</v>
      </c>
      <c r="G171" s="60">
        <f ca="1">(G182*1000000/'Original Population'!G$158)</f>
        <v>13.626659970374279</v>
      </c>
      <c r="H171" s="60">
        <f ca="1">(H182*1000000/'Original Population'!H$158)</f>
        <v>13.287713220366031</v>
      </c>
      <c r="I171" s="60">
        <f t="shared" ref="I171:K179" ca="1" si="27">H171</f>
        <v>13.287713220366031</v>
      </c>
      <c r="J171" s="60">
        <f t="shared" ca="1" si="27"/>
        <v>13.287713220366031</v>
      </c>
      <c r="K171" s="60">
        <f t="shared" ca="1" si="27"/>
        <v>13.287713220366031</v>
      </c>
      <c r="L171" s="60"/>
      <c r="M171" s="60">
        <f ca="1">B160*'Total Trip Tables Sup #2'!B160*1000000/'Updated Population'!B$158</f>
        <v>16.001962400576371</v>
      </c>
      <c r="N171" s="60">
        <f ca="1">C160*'Total Trip Tables Sup #2'!C160*1000000/'Updated Population'!C$158</f>
        <v>15.589781535089383</v>
      </c>
      <c r="O171" s="60">
        <f ca="1">D160*'Total Trip Tables Sup #2'!D160*1000000/'Updated Population'!D$158</f>
        <v>15.083426956084155</v>
      </c>
      <c r="P171" s="60">
        <f ca="1">E160*'Total Trip Tables Sup #2'!E160*1000000/'Updated Population'!E$158</f>
        <v>14.508153542590978</v>
      </c>
      <c r="Q171" s="60">
        <f ca="1">F160*'Total Trip Tables Sup #2'!F160*1000000/'Updated Population'!F$158</f>
        <v>14.023914583150676</v>
      </c>
      <c r="R171" s="60">
        <f ca="1">G160*'Total Trip Tables Sup #2'!G160*1000000/'Updated Population'!G$158</f>
        <v>13.626659970374279</v>
      </c>
      <c r="S171" s="60">
        <f ca="1">H160*'Total Trip Tables Sup #2'!H160*1000000/'Updated Population'!H$158</f>
        <v>13.287713220366031</v>
      </c>
      <c r="T171" s="59"/>
    </row>
    <row r="172" spans="1:20" x14ac:dyDescent="0.25">
      <c r="A172" s="59" t="str">
        <f t="shared" ca="1" si="25"/>
        <v>Light Vehicle Driver</v>
      </c>
      <c r="B172" s="60">
        <f ca="1">B183*1000000/'Original Population'!B$158</f>
        <v>696.45820401882213</v>
      </c>
      <c r="C172" s="60">
        <f ca="1">C183*1000000/'Original Population'!C$158</f>
        <v>703.27231749635916</v>
      </c>
      <c r="D172" s="60">
        <f ca="1">D183*1000000/'Original Population'!D$158</f>
        <v>702.13417153311354</v>
      </c>
      <c r="E172" s="60">
        <f ca="1">E183*1000000/'Original Population'!E$158</f>
        <v>704.15168915012111</v>
      </c>
      <c r="F172" s="60">
        <f ca="1">F183*1000000/'Original Population'!F$158</f>
        <v>705.93573414039236</v>
      </c>
      <c r="G172" s="60">
        <f ca="1">G183*1000000/'Original Population'!G$158</f>
        <v>703.75492575255532</v>
      </c>
      <c r="H172" s="60">
        <f ca="1">H183*1000000/'Original Population'!H$158</f>
        <v>701.06371215400441</v>
      </c>
      <c r="I172" s="60">
        <f t="shared" ca="1" si="27"/>
        <v>701.06371215400441</v>
      </c>
      <c r="J172" s="60">
        <f t="shared" ca="1" si="27"/>
        <v>701.06371215400441</v>
      </c>
      <c r="K172" s="60">
        <f t="shared" ca="1" si="27"/>
        <v>701.06371215400441</v>
      </c>
      <c r="L172" s="60"/>
      <c r="M172" s="60">
        <f ca="1">B161*'Total Trip Tables Sup #2'!B161*1000000/'Updated Population'!B$158</f>
        <v>696.45820401882213</v>
      </c>
      <c r="N172" s="60">
        <f ca="1">C161*'Total Trip Tables Sup #2'!C161*1000000/'Updated Population'!C$158</f>
        <v>703.27231749635916</v>
      </c>
      <c r="O172" s="60">
        <f ca="1">D161*'Total Trip Tables Sup #2'!D161*1000000/'Updated Population'!D$158</f>
        <v>702.13417153311354</v>
      </c>
      <c r="P172" s="60">
        <f ca="1">E161*'Total Trip Tables Sup #2'!E161*1000000/'Updated Population'!E$158</f>
        <v>704.15168915012111</v>
      </c>
      <c r="Q172" s="60">
        <f ca="1">F161*'Total Trip Tables Sup #2'!F161*1000000/'Updated Population'!F$158</f>
        <v>705.93573414039236</v>
      </c>
      <c r="R172" s="60">
        <f ca="1">G161*'Total Trip Tables Sup #2'!G161*1000000/'Updated Population'!G$158</f>
        <v>703.75492575255532</v>
      </c>
      <c r="S172" s="60">
        <f ca="1">H161*'Total Trip Tables Sup #2'!H161*1000000/'Updated Population'!H$158</f>
        <v>701.06371215400441</v>
      </c>
      <c r="T172" s="59"/>
    </row>
    <row r="173" spans="1:20" x14ac:dyDescent="0.25">
      <c r="A173" s="59" t="str">
        <f t="shared" ca="1" si="25"/>
        <v>Light Vehicle Passenger</v>
      </c>
      <c r="B173" s="60">
        <f ca="1">B184*1000000/'Original Population'!B$158</f>
        <v>340.62899958731089</v>
      </c>
      <c r="C173" s="60">
        <f ca="1">C184*1000000/'Original Population'!C$158</f>
        <v>327.82985686971017</v>
      </c>
      <c r="D173" s="60">
        <f ca="1">D184*1000000/'Original Population'!D$158</f>
        <v>318.04855345005166</v>
      </c>
      <c r="E173" s="60">
        <f ca="1">E184*1000000/'Original Population'!E$158</f>
        <v>309.75750679685586</v>
      </c>
      <c r="F173" s="60">
        <f ca="1">F184*1000000/'Original Population'!F$158</f>
        <v>302.45846606251524</v>
      </c>
      <c r="G173" s="60">
        <f ca="1">G184*1000000/'Original Population'!G$158</f>
        <v>295.13932317549921</v>
      </c>
      <c r="H173" s="60">
        <f ca="1">H184*1000000/'Original Population'!H$158</f>
        <v>287.75363754825497</v>
      </c>
      <c r="I173" s="60">
        <f t="shared" ca="1" si="27"/>
        <v>287.75363754825497</v>
      </c>
      <c r="J173" s="60">
        <f t="shared" ca="1" si="27"/>
        <v>287.75363754825497</v>
      </c>
      <c r="K173" s="60">
        <f t="shared" ca="1" si="27"/>
        <v>287.75363754825497</v>
      </c>
      <c r="L173" s="60"/>
      <c r="M173" s="60">
        <f ca="1">B162*'Total Trip Tables Sup #2'!B162*1000000/'Updated Population'!B$158</f>
        <v>340.62899958731089</v>
      </c>
      <c r="N173" s="60">
        <f ca="1">C162*'Total Trip Tables Sup #2'!C162*1000000/'Updated Population'!C$158</f>
        <v>327.82985686971017</v>
      </c>
      <c r="O173" s="60">
        <f ca="1">D162*'Total Trip Tables Sup #2'!D162*1000000/'Updated Population'!D$158</f>
        <v>318.0485534500516</v>
      </c>
      <c r="P173" s="60">
        <f ca="1">E162*'Total Trip Tables Sup #2'!E162*1000000/'Updated Population'!E$158</f>
        <v>309.75750679685586</v>
      </c>
      <c r="Q173" s="60">
        <f ca="1">F162*'Total Trip Tables Sup #2'!F162*1000000/'Updated Population'!F$158</f>
        <v>302.45846606251524</v>
      </c>
      <c r="R173" s="60">
        <f ca="1">G162*'Total Trip Tables Sup #2'!G162*1000000/'Updated Population'!G$158</f>
        <v>295.13932317549921</v>
      </c>
      <c r="S173" s="60">
        <f ca="1">H162*'Total Trip Tables Sup #2'!H162*1000000/'Updated Population'!H$158</f>
        <v>287.75363754825497</v>
      </c>
      <c r="T173" s="59"/>
    </row>
    <row r="174" spans="1:20" x14ac:dyDescent="0.25">
      <c r="A174" s="59" t="str">
        <f t="shared" ca="1" si="25"/>
        <v>Taxi/Vehicle Share</v>
      </c>
      <c r="B174" s="60">
        <f ca="1">B185*1000000/'Original Population'!B$158</f>
        <v>3.5122774966453529</v>
      </c>
      <c r="C174" s="60">
        <f ca="1">C185*1000000/'Original Population'!C$158</f>
        <v>3.7123972965659897</v>
      </c>
      <c r="D174" s="60">
        <f ca="1">D185*1000000/'Original Population'!D$158</f>
        <v>3.855203774984338</v>
      </c>
      <c r="E174" s="60">
        <f ca="1">E185*1000000/'Original Population'!E$158</f>
        <v>3.9441588204949052</v>
      </c>
      <c r="F174" s="60">
        <f ca="1">F185*1000000/'Original Population'!F$158</f>
        <v>4.0047087663875311</v>
      </c>
      <c r="G174" s="60">
        <f ca="1">G185*1000000/'Original Population'!G$158</f>
        <v>4.0237215853671833</v>
      </c>
      <c r="H174" s="60">
        <f ca="1">H185*1000000/'Original Population'!H$158</f>
        <v>4.0451463033446835</v>
      </c>
      <c r="I174" s="60">
        <f t="shared" ca="1" si="27"/>
        <v>4.0451463033446835</v>
      </c>
      <c r="J174" s="60">
        <f t="shared" ca="1" si="27"/>
        <v>4.0451463033446835</v>
      </c>
      <c r="K174" s="60">
        <f t="shared" ca="1" si="27"/>
        <v>4.0451463033446835</v>
      </c>
      <c r="L174" s="60"/>
      <c r="M174" s="60">
        <f ca="1">B163*'Total Trip Tables Sup #2'!B163*1000000/'Updated Population'!B$158</f>
        <v>3.5122774966453529</v>
      </c>
      <c r="N174" s="60">
        <f ca="1">C163*'Total Trip Tables Sup #2'!C163*1000000/'Updated Population'!C$158</f>
        <v>3.7123972965659888</v>
      </c>
      <c r="O174" s="60">
        <f ca="1">D163*'Total Trip Tables Sup #2'!D163*1000000/'Updated Population'!D$158</f>
        <v>3.8552037749843371</v>
      </c>
      <c r="P174" s="60">
        <f ca="1">E163*'Total Trip Tables Sup #2'!E163*1000000/'Updated Population'!E$158</f>
        <v>3.9441588204949061</v>
      </c>
      <c r="Q174" s="60">
        <f ca="1">F163*'Total Trip Tables Sup #2'!F163*1000000/'Updated Population'!F$158</f>
        <v>4.0047087663875311</v>
      </c>
      <c r="R174" s="60">
        <f ca="1">G163*'Total Trip Tables Sup #2'!G163*1000000/'Updated Population'!G$158</f>
        <v>4.0237215853671833</v>
      </c>
      <c r="S174" s="60">
        <f ca="1">H163*'Total Trip Tables Sup #2'!H163*1000000/'Updated Population'!H$158</f>
        <v>4.0451463033446835</v>
      </c>
      <c r="T174" s="59"/>
    </row>
    <row r="175" spans="1:20" x14ac:dyDescent="0.25">
      <c r="A175" s="59" t="str">
        <f t="shared" ca="1" si="25"/>
        <v>Motorcyclist</v>
      </c>
      <c r="B175" s="60">
        <f ca="1">B186*1000000/'Original Population'!B$158</f>
        <v>4.3390408466543589</v>
      </c>
      <c r="C175" s="60">
        <f ca="1">C186*1000000/'Original Population'!C$158</f>
        <v>4.2553958531416862</v>
      </c>
      <c r="D175" s="60">
        <f ca="1">D186*1000000/'Original Population'!D$158</f>
        <v>4.1450811823932412</v>
      </c>
      <c r="E175" s="60">
        <f ca="1">E186*1000000/'Original Population'!E$158</f>
        <v>4.0543176412809316</v>
      </c>
      <c r="F175" s="60">
        <f ca="1">F186*1000000/'Original Population'!F$158</f>
        <v>3.962974294909984</v>
      </c>
      <c r="G175" s="60">
        <f ca="1">G186*1000000/'Original Population'!G$158</f>
        <v>3.8268741920670712</v>
      </c>
      <c r="H175" s="60">
        <f ca="1">H186*1000000/'Original Population'!H$158</f>
        <v>3.6868378672944604</v>
      </c>
      <c r="I175" s="60">
        <f t="shared" ca="1" si="27"/>
        <v>3.6868378672944604</v>
      </c>
      <c r="J175" s="60">
        <f t="shared" ca="1" si="27"/>
        <v>3.6868378672944604</v>
      </c>
      <c r="K175" s="60">
        <f t="shared" ca="1" si="27"/>
        <v>3.6868378672944604</v>
      </c>
      <c r="L175" s="60"/>
      <c r="M175" s="60">
        <f ca="1">B164*'Total Trip Tables Sup #2'!B164*1000000/'Updated Population'!B$158</f>
        <v>4.3390408466543589</v>
      </c>
      <c r="N175" s="60">
        <f ca="1">C164*'Total Trip Tables Sup #2'!C164*1000000/'Updated Population'!C$158</f>
        <v>4.2553958531416862</v>
      </c>
      <c r="O175" s="60">
        <f ca="1">D164*'Total Trip Tables Sup #2'!D164*1000000/'Updated Population'!D$158</f>
        <v>4.1450811823932421</v>
      </c>
      <c r="P175" s="60">
        <f ca="1">E164*'Total Trip Tables Sup #2'!E164*1000000/'Updated Population'!E$158</f>
        <v>4.0543176412809316</v>
      </c>
      <c r="Q175" s="60">
        <f ca="1">F164*'Total Trip Tables Sup #2'!F164*1000000/'Updated Population'!F$158</f>
        <v>3.962974294909984</v>
      </c>
      <c r="R175" s="60">
        <f ca="1">G164*'Total Trip Tables Sup #2'!G164*1000000/'Updated Population'!G$158</f>
        <v>3.8268741920670717</v>
      </c>
      <c r="S175" s="60">
        <f ca="1">H164*'Total Trip Tables Sup #2'!H164*1000000/'Updated Population'!H$158</f>
        <v>3.6868378672944599</v>
      </c>
      <c r="T175" s="59"/>
    </row>
    <row r="176" spans="1:20" x14ac:dyDescent="0.25">
      <c r="A176" s="59" t="str">
        <f t="shared" ca="1" si="25"/>
        <v>Local Train</v>
      </c>
      <c r="B176" s="60">
        <f ca="1">B187*1000000/'Original Population'!B$158</f>
        <v>4.6725750333213263</v>
      </c>
      <c r="C176" s="60">
        <f ca="1">C187*1000000/'Original Population'!C$158</f>
        <v>4.7636901264273197</v>
      </c>
      <c r="D176" s="60">
        <f ca="1">D187*1000000/'Original Population'!D$158</f>
        <v>4.7869455966936805</v>
      </c>
      <c r="E176" s="60">
        <f ca="1">E187*1000000/'Original Population'!E$158</f>
        <v>4.7349039173216889</v>
      </c>
      <c r="F176" s="60">
        <f ca="1">F187*1000000/'Original Population'!F$158</f>
        <v>4.6492635821203097</v>
      </c>
      <c r="G176" s="60">
        <f ca="1">G187*1000000/'Original Population'!G$158</f>
        <v>4.5597244358564</v>
      </c>
      <c r="H176" s="60">
        <f ca="1">H187*1000000/'Original Population'!H$158</f>
        <v>4.4623696274029934</v>
      </c>
      <c r="I176" s="60">
        <f t="shared" ca="1" si="27"/>
        <v>4.4623696274029934</v>
      </c>
      <c r="J176" s="60">
        <f t="shared" ca="1" si="27"/>
        <v>4.4623696274029934</v>
      </c>
      <c r="K176" s="60">
        <f t="shared" ca="1" si="27"/>
        <v>4.4623696274029934</v>
      </c>
      <c r="L176" s="60"/>
      <c r="M176" s="60">
        <f ca="1">B165*'Total Trip Tables Sup #2'!B165*1000000/'Updated Population'!B$158</f>
        <v>4.6725750333213263</v>
      </c>
      <c r="N176" s="60">
        <f ca="1">C165*'Total Trip Tables Sup #2'!C165*1000000/'Updated Population'!C$158</f>
        <v>4.7636901264273188</v>
      </c>
      <c r="O176" s="60">
        <f ca="1">D165*'Total Trip Tables Sup #2'!D165*1000000/'Updated Population'!D$158</f>
        <v>4.7869455966936805</v>
      </c>
      <c r="P176" s="60">
        <f ca="1">E165*'Total Trip Tables Sup #2'!E165*1000000/'Updated Population'!E$158</f>
        <v>4.7349039173216889</v>
      </c>
      <c r="Q176" s="60">
        <f ca="1">F165*'Total Trip Tables Sup #2'!F165*1000000/'Updated Population'!F$158</f>
        <v>4.6492635821203097</v>
      </c>
      <c r="R176" s="60">
        <f ca="1">G165*'Total Trip Tables Sup #2'!G165*1000000/'Updated Population'!G$158</f>
        <v>4.5597244358564</v>
      </c>
      <c r="S176" s="60">
        <f ca="1">H165*'Total Trip Tables Sup #2'!H165*1000000/'Updated Population'!H$158</f>
        <v>4.4623696274029925</v>
      </c>
      <c r="T176" s="59"/>
    </row>
    <row r="177" spans="1:20" x14ac:dyDescent="0.25">
      <c r="A177" s="59" t="s">
        <v>16</v>
      </c>
      <c r="B177" s="60">
        <f ca="1">B188*1000000/'Original Population'!B$169</f>
        <v>19.860419578628605</v>
      </c>
      <c r="C177" s="60">
        <f ca="1">C188*1000000/'Original Population'!C$169</f>
        <v>18.297402435223184</v>
      </c>
      <c r="D177" s="60">
        <f ca="1">D188*1000000/'Original Population'!D$169</f>
        <v>17.214910196886585</v>
      </c>
      <c r="E177" s="60">
        <f ca="1">E188*1000000/'Original Population'!E$169</f>
        <v>16.53069660940448</v>
      </c>
      <c r="F177" s="60">
        <f ca="1">F188*1000000/'Original Population'!F$169</f>
        <v>15.768866434306394</v>
      </c>
      <c r="G177" s="60">
        <f ca="1">G188*1000000/'Original Population'!G$169</f>
        <v>15.208510528199565</v>
      </c>
      <c r="H177" s="60">
        <f ca="1">H188*1000000/'Original Population'!H$169</f>
        <v>14.651399454758666</v>
      </c>
      <c r="I177" s="60">
        <f t="shared" ca="1" si="27"/>
        <v>14.651399454758666</v>
      </c>
      <c r="J177" s="60">
        <f t="shared" ca="1" si="27"/>
        <v>14.651399454758666</v>
      </c>
      <c r="K177" s="60">
        <f t="shared" ca="1" si="27"/>
        <v>14.651399454758666</v>
      </c>
      <c r="L177" s="60"/>
      <c r="M177" s="60">
        <f ca="1">B166*'Total Trip Tables Sup #2'!B166*1000000/'Updated Population'!B$169</f>
        <v>19.860419578628605</v>
      </c>
      <c r="N177" s="60">
        <f ca="1">C166*'Total Trip Tables Sup #2'!C166*1000000/'Updated Population'!C$169</f>
        <v>18.297402435223184</v>
      </c>
      <c r="O177" s="60">
        <f ca="1">D166*'Total Trip Tables Sup #2'!D166*1000000/'Updated Population'!D$169</f>
        <v>17.214910196886585</v>
      </c>
      <c r="P177" s="60">
        <f ca="1">E166*'Total Trip Tables Sup #2'!E166*1000000/'Updated Population'!E$169</f>
        <v>16.53069660940448</v>
      </c>
      <c r="Q177" s="60">
        <f ca="1">F166*'Total Trip Tables Sup #2'!F166*1000000/'Updated Population'!F$169</f>
        <v>15.768866434306393</v>
      </c>
      <c r="R177" s="60">
        <f ca="1">G166*'Total Trip Tables Sup #2'!G166*1000000/'Updated Population'!G$169</f>
        <v>15.208510528199568</v>
      </c>
      <c r="S177" s="60">
        <f ca="1">H166*'Total Trip Tables Sup #2'!H166*1000000/'Updated Population'!H$169</f>
        <v>14.651399454758664</v>
      </c>
      <c r="T177" s="59"/>
    </row>
    <row r="178" spans="1:20" x14ac:dyDescent="0.25">
      <c r="A178" s="59" t="str">
        <f t="shared" ca="1" si="25"/>
        <v>Local Ferry</v>
      </c>
      <c r="B178" s="60">
        <f ca="1">B189*1000000/'Original Population'!B$158</f>
        <v>1.1141991123694166</v>
      </c>
      <c r="C178" s="60">
        <f ca="1">C189*1000000/'Original Population'!C$158</f>
        <v>1.184445728212921</v>
      </c>
      <c r="D178" s="60">
        <f ca="1">D189*1000000/'Original Population'!D$158</f>
        <v>1.2386440894282653</v>
      </c>
      <c r="E178" s="60">
        <f ca="1">E189*1000000/'Original Population'!E$158</f>
        <v>1.2588975788064045</v>
      </c>
      <c r="F178" s="60">
        <f ca="1">F189*1000000/'Original Population'!F$158</f>
        <v>1.2646056675284287</v>
      </c>
      <c r="G178" s="60">
        <f ca="1">G189*1000000/'Original Population'!G$158</f>
        <v>1.299292934801586</v>
      </c>
      <c r="H178" s="60">
        <f ca="1">H189*1000000/'Original Population'!H$158</f>
        <v>1.3259421633858268</v>
      </c>
      <c r="I178" s="60">
        <f t="shared" ca="1" si="27"/>
        <v>1.3259421633858268</v>
      </c>
      <c r="J178" s="60">
        <f t="shared" ca="1" si="27"/>
        <v>1.3259421633858268</v>
      </c>
      <c r="K178" s="60">
        <f t="shared" ca="1" si="27"/>
        <v>1.3259421633858268</v>
      </c>
      <c r="L178" s="60"/>
      <c r="M178" s="60">
        <f ca="1">B167*'Total Trip Tables Sup #2'!B167*1000000/'Updated Population'!B$158</f>
        <v>1.1141991123694166</v>
      </c>
      <c r="N178" s="60">
        <f ca="1">C167*'Total Trip Tables Sup #2'!C167*1000000/'Updated Population'!C$158</f>
        <v>1.184445728212921</v>
      </c>
      <c r="O178" s="60">
        <f ca="1">D167*'Total Trip Tables Sup #2'!D167*1000000/'Updated Population'!D$158</f>
        <v>1.2386440894282655</v>
      </c>
      <c r="P178" s="60">
        <f ca="1">E167*'Total Trip Tables Sup #2'!E167*1000000/'Updated Population'!E$158</f>
        <v>1.2588975788064045</v>
      </c>
      <c r="Q178" s="60">
        <f ca="1">F167*'Total Trip Tables Sup #2'!F167*1000000/'Updated Population'!F$158</f>
        <v>1.2646056675284287</v>
      </c>
      <c r="R178" s="60">
        <f ca="1">G167*'Total Trip Tables Sup #2'!G167*1000000/'Updated Population'!G$158</f>
        <v>1.299292934801586</v>
      </c>
      <c r="S178" s="60">
        <f ca="1">H167*'Total Trip Tables Sup #2'!H167*1000000/'Updated Population'!H$158</f>
        <v>1.3259421633858268</v>
      </c>
      <c r="T178" s="59"/>
    </row>
    <row r="179" spans="1:20" x14ac:dyDescent="0.25">
      <c r="A179" s="59" t="str">
        <f t="shared" ca="1" si="25"/>
        <v>Other Household Travel</v>
      </c>
      <c r="B179" s="60">
        <f ca="1">B190*1000000/'Original Population'!B$158</f>
        <v>2.3324790409086815</v>
      </c>
      <c r="C179" s="60">
        <f ca="1">C190*1000000/'Original Population'!C$158</f>
        <v>2.3178775197239281</v>
      </c>
      <c r="D179" s="60">
        <f ca="1">D190*1000000/'Original Population'!D$158</f>
        <v>2.3306369213637552</v>
      </c>
      <c r="E179" s="60">
        <f ca="1">E190*1000000/'Original Population'!E$158</f>
        <v>2.3344854152741386</v>
      </c>
      <c r="F179" s="60">
        <f ca="1">F190*1000000/'Original Population'!F$158</f>
        <v>2.331309951085633</v>
      </c>
      <c r="G179" s="60">
        <f ca="1">G190*1000000/'Original Population'!G$158</f>
        <v>2.3222758858618557</v>
      </c>
      <c r="H179" s="60">
        <f ca="1">H190*1000000/'Original Population'!H$158</f>
        <v>2.2906215594098032</v>
      </c>
      <c r="I179" s="60">
        <f t="shared" ca="1" si="27"/>
        <v>2.2906215594098032</v>
      </c>
      <c r="J179" s="60">
        <f t="shared" ca="1" si="27"/>
        <v>2.2906215594098032</v>
      </c>
      <c r="K179" s="60">
        <f t="shared" ca="1" si="27"/>
        <v>2.2906215594098032</v>
      </c>
      <c r="L179" s="60"/>
      <c r="M179" s="60">
        <f ca="1">B168*'Total Trip Tables Sup #2'!B168*1000000/'Updated Population'!B$158</f>
        <v>2.3324790409086815</v>
      </c>
      <c r="N179" s="60">
        <f ca="1">C168*'Total Trip Tables Sup #2'!C168*1000000/'Updated Population'!C$158</f>
        <v>2.3178775197239285</v>
      </c>
      <c r="O179" s="60">
        <f ca="1">D168*'Total Trip Tables Sup #2'!D168*1000000/'Updated Population'!D$158</f>
        <v>2.3306369213637552</v>
      </c>
      <c r="P179" s="60">
        <f ca="1">E168*'Total Trip Tables Sup #2'!E168*1000000/'Updated Population'!E$158</f>
        <v>2.3344854152741386</v>
      </c>
      <c r="Q179" s="60">
        <f ca="1">F168*'Total Trip Tables Sup #2'!F168*1000000/'Updated Population'!F$158</f>
        <v>2.3313099510856334</v>
      </c>
      <c r="R179" s="60">
        <f ca="1">G168*'Total Trip Tables Sup #2'!G168*1000000/'Updated Population'!G$158</f>
        <v>2.3222758858618553</v>
      </c>
      <c r="S179" s="60">
        <f ca="1">H168*'Total Trip Tables Sup #2'!H168*1000000/'Updated Population'!H$158</f>
        <v>2.2906215594098036</v>
      </c>
      <c r="T179" s="59"/>
    </row>
    <row r="180" spans="1:20" x14ac:dyDescent="0.25">
      <c r="A180" t="s">
        <v>21</v>
      </c>
    </row>
    <row r="181" spans="1:20" x14ac:dyDescent="0.25">
      <c r="A181" t="str">
        <f t="shared" ref="A181:A187" ca="1" si="28">A27</f>
        <v>Pedestrian</v>
      </c>
      <c r="B181" s="4">
        <f ca="1">'Total Trip Tables Original'!B159</f>
        <v>986.56972308989998</v>
      </c>
      <c r="C181" s="4">
        <f ca="1">'Total Trip Tables Original'!C159</f>
        <v>1035.9448363469999</v>
      </c>
      <c r="D181" s="4">
        <f ca="1">'Total Trip Tables Original'!D159</f>
        <v>1063.7147467355001</v>
      </c>
      <c r="E181" s="4">
        <f ca="1">'Total Trip Tables Original'!E159</f>
        <v>1083.0964980609001</v>
      </c>
      <c r="F181" s="4">
        <f ca="1">'Total Trip Tables Original'!F159</f>
        <v>1093.0770859643999</v>
      </c>
      <c r="G181" s="4">
        <f ca="1">'Total Trip Tables Original'!G159</f>
        <v>1097.4831449132</v>
      </c>
      <c r="H181" s="4">
        <f ca="1">'Total Trip Tables Original'!H159</f>
        <v>1097.1452183153001</v>
      </c>
      <c r="I181" s="4">
        <f ca="1">'Total Trip Tables Original'!I159</f>
        <v>1122.259089852211</v>
      </c>
      <c r="J181" s="4">
        <f ca="1">'Total Trip Tables Original'!J159</f>
        <v>1144.6484566773274</v>
      </c>
      <c r="K181" s="4">
        <f ca="1">'Total Trip Tables Original'!K159</f>
        <v>1165.3350224231854</v>
      </c>
    </row>
    <row r="182" spans="1:20" x14ac:dyDescent="0.25">
      <c r="A182" t="str">
        <f t="shared" ca="1" si="28"/>
        <v>Cyclist</v>
      </c>
      <c r="B182" s="4">
        <f ca="1">'Total Trip Tables Original'!B160</f>
        <v>71.074316198400012</v>
      </c>
      <c r="C182" s="4">
        <f ca="1">'Total Trip Tables Original'!C160</f>
        <v>73.862825935099991</v>
      </c>
      <c r="D182" s="4">
        <f ca="1">'Total Trip Tables Original'!D160</f>
        <v>74.634304921400002</v>
      </c>
      <c r="E182" s="4">
        <f ca="1">'Total Trip Tables Original'!E160</f>
        <v>74.753261128199995</v>
      </c>
      <c r="F182" s="4">
        <f ca="1">'Total Trip Tables Original'!F160</f>
        <v>74.858253653399998</v>
      </c>
      <c r="G182" s="4">
        <f ca="1">'Total Trip Tables Original'!G160</f>
        <v>74.927552513100011</v>
      </c>
      <c r="H182" s="4">
        <f ca="1">'Total Trip Tables Original'!H160</f>
        <v>74.926757306999988</v>
      </c>
      <c r="I182" s="4">
        <f ca="1">'Total Trip Tables Original'!I160</f>
        <v>76.224574969546552</v>
      </c>
      <c r="J182" s="4">
        <f ca="1">'Total Trip Tables Original'!J160</f>
        <v>77.316607428703989</v>
      </c>
      <c r="K182" s="4">
        <f ca="1">'Total Trip Tables Original'!K160</f>
        <v>78.274467754745999</v>
      </c>
    </row>
    <row r="183" spans="1:20" x14ac:dyDescent="0.25">
      <c r="A183" t="str">
        <f t="shared" ca="1" si="28"/>
        <v>Light Vehicle Driver</v>
      </c>
      <c r="B183" s="4">
        <f ca="1">'Total Trip Tables Original'!B161</f>
        <v>3093.3887589700003</v>
      </c>
      <c r="C183" s="4">
        <f ca="1">'Total Trip Tables Original'!C161</f>
        <v>3332.033913066</v>
      </c>
      <c r="D183" s="4">
        <f ca="1">'Total Trip Tables Original'!D161</f>
        <v>3474.2300941629992</v>
      </c>
      <c r="E183" s="4">
        <f ca="1">'Total Trip Tables Original'!E161</f>
        <v>3628.1415783459993</v>
      </c>
      <c r="F183" s="4">
        <f ca="1">'Total Trip Tables Original'!F161</f>
        <v>3768.214355268</v>
      </c>
      <c r="G183" s="4">
        <f ca="1">'Total Trip Tables Original'!G161</f>
        <v>3869.6668347430004</v>
      </c>
      <c r="H183" s="4">
        <f ca="1">'Total Trip Tables Original'!H161</f>
        <v>3953.1580600940001</v>
      </c>
      <c r="I183" s="4">
        <f ca="1">'Total Trip Tables Original'!I161</f>
        <v>4042.3035880053326</v>
      </c>
      <c r="J183" s="4">
        <f ca="1">'Total Trip Tables Original'!J161</f>
        <v>4121.6372381334941</v>
      </c>
      <c r="K183" s="4">
        <f ca="1">'Total Trip Tables Original'!K161</f>
        <v>4194.8466093060233</v>
      </c>
    </row>
    <row r="184" spans="1:20" x14ac:dyDescent="0.25">
      <c r="A184" t="str">
        <f t="shared" ca="1" si="28"/>
        <v>Light Vehicle Passenger</v>
      </c>
      <c r="B184" s="4">
        <f ca="1">'Total Trip Tables Original'!B162</f>
        <v>1512.9377645669999</v>
      </c>
      <c r="C184" s="4">
        <f ca="1">'Total Trip Tables Original'!C162</f>
        <v>1553.2250788629999</v>
      </c>
      <c r="D184" s="4">
        <f ca="1">'Total Trip Tables Original'!D162</f>
        <v>1573.7360473262004</v>
      </c>
      <c r="E184" s="4">
        <f ca="1">'Total Trip Tables Original'!E162</f>
        <v>1596.0255537707999</v>
      </c>
      <c r="F184" s="4">
        <f ca="1">'Total Trip Tables Original'!F162</f>
        <v>1614.4930459951001</v>
      </c>
      <c r="G184" s="4">
        <f ca="1">'Total Trip Tables Original'!G162</f>
        <v>1622.8530824128002</v>
      </c>
      <c r="H184" s="4">
        <f ca="1">'Total Trip Tables Original'!H162</f>
        <v>1622.5852114071001</v>
      </c>
      <c r="I184" s="4">
        <f ca="1">'Total Trip Tables Original'!I162</f>
        <v>1660.1575389358602</v>
      </c>
      <c r="J184" s="4">
        <f ca="1">'Total Trip Tables Original'!J162</f>
        <v>1693.7441565139563</v>
      </c>
      <c r="K184" s="4">
        <f ca="1">'Total Trip Tables Original'!K162</f>
        <v>1724.8540791090275</v>
      </c>
    </row>
    <row r="185" spans="1:20" x14ac:dyDescent="0.25">
      <c r="A185" t="str">
        <f t="shared" ca="1" si="28"/>
        <v>Taxi/Vehicle Share</v>
      </c>
      <c r="B185" s="4">
        <f ca="1">'Total Trip Tables Original'!B163</f>
        <v>15.600131729099999</v>
      </c>
      <c r="C185" s="4">
        <f ca="1">'Total Trip Tables Original'!C163</f>
        <v>17.588967151400002</v>
      </c>
      <c r="D185" s="4">
        <f ca="1">'Total Trip Tables Original'!D163</f>
        <v>19.075933799000001</v>
      </c>
      <c r="E185" s="4">
        <f ca="1">'Total Trip Tables Original'!E163</f>
        <v>20.322278322599999</v>
      </c>
      <c r="F185" s="4">
        <f ca="1">'Total Trip Tables Original'!F163</f>
        <v>21.376734924100003</v>
      </c>
      <c r="G185" s="4">
        <f ca="1">'Total Trip Tables Original'!G163</f>
        <v>22.124835509299995</v>
      </c>
      <c r="H185" s="4">
        <f ca="1">'Total Trip Tables Original'!H163</f>
        <v>22.809770975300001</v>
      </c>
      <c r="I185" s="4">
        <f ca="1">'Total Trip Tables Original'!I163</f>
        <v>23.394544769517637</v>
      </c>
      <c r="J185" s="4">
        <f ca="1">'Total Trip Tables Original'!J163</f>
        <v>23.926879239254678</v>
      </c>
      <c r="K185" s="4">
        <f ca="1">'Total Trip Tables Original'!K163</f>
        <v>24.427740856778062</v>
      </c>
    </row>
    <row r="186" spans="1:20" x14ac:dyDescent="0.25">
      <c r="A186" t="str">
        <f t="shared" ca="1" si="28"/>
        <v>Motorcyclist</v>
      </c>
      <c r="B186" s="4">
        <f ca="1">'Total Trip Tables Original'!B164</f>
        <v>19.272283824500001</v>
      </c>
      <c r="C186" s="4">
        <f ca="1">'Total Trip Tables Original'!C164</f>
        <v>20.161640012599996</v>
      </c>
      <c r="D186" s="4">
        <f ca="1">'Total Trip Tables Original'!D164</f>
        <v>20.510276198599996</v>
      </c>
      <c r="E186" s="4">
        <f ca="1">'Total Trip Tables Original'!E164</f>
        <v>20.889871646700001</v>
      </c>
      <c r="F186" s="4">
        <f ca="1">'Total Trip Tables Original'!F164</f>
        <v>21.153960488800003</v>
      </c>
      <c r="G186" s="4">
        <f ca="1">'Total Trip Tables Original'!G164</f>
        <v>21.042450432499997</v>
      </c>
      <c r="H186" s="4">
        <f ca="1">'Total Trip Tables Original'!H164</f>
        <v>20.789341366100004</v>
      </c>
      <c r="I186" s="4">
        <f ca="1">'Total Trip Tables Original'!I164</f>
        <v>21.189548585709954</v>
      </c>
      <c r="J186" s="4">
        <f ca="1">'Total Trip Tables Original'!J164</f>
        <v>21.53603521706393</v>
      </c>
      <c r="K186" s="4">
        <f ca="1">'Total Trip Tables Original'!K164</f>
        <v>21.84857428382573</v>
      </c>
    </row>
    <row r="187" spans="1:20" x14ac:dyDescent="0.25">
      <c r="A187" t="str">
        <f t="shared" ca="1" si="28"/>
        <v>Local Train</v>
      </c>
      <c r="B187" s="4">
        <f ca="1">'Total Trip Tables Original'!B22+'Total Trip Tables Original'!B99</f>
        <v>20.753709268000001</v>
      </c>
      <c r="C187" s="4">
        <f ca="1">'Total Trip Tables Original'!C22+'Total Trip Tables Original'!C99</f>
        <v>22.56988745</v>
      </c>
      <c r="D187" s="4">
        <f ca="1">'Total Trip Tables Original'!D22+'Total Trip Tables Original'!D99</f>
        <v>23.686285507000001</v>
      </c>
      <c r="E187" s="4">
        <f ca="1">'Total Trip Tables Original'!E22+'Total Trip Tables Original'!E99</f>
        <v>24.396592433999999</v>
      </c>
      <c r="F187" s="4">
        <f ca="1">'Total Trip Tables Original'!F22+'Total Trip Tables Original'!F99</f>
        <v>24.817304074999999</v>
      </c>
      <c r="G187" s="4">
        <f ca="1">'Total Trip Tables Original'!G22+'Total Trip Tables Original'!G99</f>
        <v>25.072100783</v>
      </c>
      <c r="H187" s="4">
        <f ca="1">'Total Trip Tables Original'!H22+'Total Trip Tables Original'!H99</f>
        <v>25.162409855</v>
      </c>
      <c r="I187" s="4">
        <f ca="1">'Total Trip Tables Original'!I22+'Total Trip Tables Original'!I99</f>
        <v>25.831416671260776</v>
      </c>
      <c r="J187" s="4">
        <f ca="1">'Total Trip Tables Original'!J22+'Total Trip Tables Original'!J99</f>
        <v>26.442009001201974</v>
      </c>
      <c r="K187" s="4">
        <f ca="1">'Total Trip Tables Original'!K22+'Total Trip Tables Original'!K99</f>
        <v>27.017217264495166</v>
      </c>
    </row>
    <row r="188" spans="1:20" x14ac:dyDescent="0.25">
      <c r="A188" t="s">
        <v>16</v>
      </c>
      <c r="B188" s="4">
        <f ca="1">'Total Trip Tables Original'!B12+'Total Trip Tables Original'!B34+'Total Trip Tables Original'!B45+'Total Trip Tables Original'!B56+'Total Trip Tables Original'!B67+'Total Trip Tables Original'!B78+'Total Trip Tables Original'!B89+'Total Trip Tables Original'!B111+'Total Trip Tables Original'!B122+'Total Trip Tables Original'!B144+'Total Trip Tables Original'!B155</f>
        <v>37.710964695899996</v>
      </c>
      <c r="C188" s="4">
        <f ca="1">'Total Trip Tables Original'!C12+'Total Trip Tables Original'!C34+'Total Trip Tables Original'!C45+'Total Trip Tables Original'!C56+'Total Trip Tables Original'!C67+'Total Trip Tables Original'!C78+'Total Trip Tables Original'!C89+'Total Trip Tables Original'!C111+'Total Trip Tables Original'!C122+'Total Trip Tables Original'!C144+'Total Trip Tables Original'!C155</f>
        <v>36.1135831864</v>
      </c>
      <c r="D188" s="4">
        <f ca="1">'Total Trip Tables Original'!D12+'Total Trip Tables Original'!D34+'Total Trip Tables Original'!D45+'Total Trip Tables Original'!D56+'Total Trip Tables Original'!D67+'Total Trip Tables Original'!D78+'Total Trip Tables Original'!D89+'Total Trip Tables Original'!D111+'Total Trip Tables Original'!D122+'Total Trip Tables Original'!D144+'Total Trip Tables Original'!D155</f>
        <v>34.834370783400004</v>
      </c>
      <c r="E188" s="4">
        <f ca="1">'Total Trip Tables Original'!E12+'Total Trip Tables Original'!E34+'Total Trip Tables Original'!E45+'Total Trip Tables Original'!E56+'Total Trip Tables Original'!E67+'Total Trip Tables Original'!E78+'Total Trip Tables Original'!E89+'Total Trip Tables Original'!E111+'Total Trip Tables Original'!E122+'Total Trip Tables Original'!E144+'Total Trip Tables Original'!E155</f>
        <v>34.170602961299998</v>
      </c>
      <c r="F188" s="4">
        <f ca="1">'Total Trip Tables Original'!F12+'Total Trip Tables Original'!F34+'Total Trip Tables Original'!F45+'Total Trip Tables Original'!F56+'Total Trip Tables Original'!F67+'Total Trip Tables Original'!F78+'Total Trip Tables Original'!F89+'Total Trip Tables Original'!F111+'Total Trip Tables Original'!F122+'Total Trip Tables Original'!F144+'Total Trip Tables Original'!F155</f>
        <v>33.113042625399999</v>
      </c>
      <c r="G188" s="4">
        <f ca="1">'Total Trip Tables Original'!G12+'Total Trip Tables Original'!G34+'Total Trip Tables Original'!G45+'Total Trip Tables Original'!G56+'Total Trip Tables Original'!G67+'Total Trip Tables Original'!G78+'Total Trip Tables Original'!G89+'Total Trip Tables Original'!G111+'Total Trip Tables Original'!G122+'Total Trip Tables Original'!G144+'Total Trip Tables Original'!G155</f>
        <v>32.251167426099997</v>
      </c>
      <c r="H188" s="4">
        <f ca="1">'Total Trip Tables Original'!H12+'Total Trip Tables Original'!H34+'Total Trip Tables Original'!H45+'Total Trip Tables Original'!H56+'Total Trip Tables Original'!H67+'Total Trip Tables Original'!H78+'Total Trip Tables Original'!H89+'Total Trip Tables Original'!H111+'Total Trip Tables Original'!H122+'Total Trip Tables Original'!H144+'Total Trip Tables Original'!H155</f>
        <v>31.235318497600002</v>
      </c>
      <c r="I188" s="4">
        <f ca="1">'Total Trip Tables Original'!I12+'Total Trip Tables Original'!I34+'Total Trip Tables Original'!I45+'Total Trip Tables Original'!I56+'Total Trip Tables Original'!I67+'Total Trip Tables Original'!I78+'Total Trip Tables Original'!I89+'Total Trip Tables Original'!I111+'Total Trip Tables Original'!I122+'Total Trip Tables Original'!I144+'Total Trip Tables Original'!I155</f>
        <v>31.402820112361596</v>
      </c>
      <c r="J188" s="4">
        <f ca="1">'Total Trip Tables Original'!J12+'Total Trip Tables Original'!J34+'Total Trip Tables Original'!J45+'Total Trip Tables Original'!J56+'Total Trip Tables Original'!J67+'Total Trip Tables Original'!J78+'Total Trip Tables Original'!J89+'Total Trip Tables Original'!J111+'Total Trip Tables Original'!J122+'Total Trip Tables Original'!J144+'Total Trip Tables Original'!J155</f>
        <v>31.475383539613542</v>
      </c>
      <c r="K188" s="4">
        <f ca="1">'Total Trip Tables Original'!K12+'Total Trip Tables Original'!K34+'Total Trip Tables Original'!K45+'Total Trip Tables Original'!K56+'Total Trip Tables Original'!K67+'Total Trip Tables Original'!K78+'Total Trip Tables Original'!K89+'Total Trip Tables Original'!K111+'Total Trip Tables Original'!K122+'Total Trip Tables Original'!K144+'Total Trip Tables Original'!K155</f>
        <v>31.484959402966808</v>
      </c>
    </row>
    <row r="189" spans="1:20" x14ac:dyDescent="0.25">
      <c r="A189" t="str">
        <f ca="1">A35</f>
        <v>Local Ferry</v>
      </c>
      <c r="B189" s="4">
        <f ca="1">'Total Trip Tables Original'!B167</f>
        <v>4.9488267775000008</v>
      </c>
      <c r="C189" s="4">
        <f ca="1">'Total Trip Tables Original'!C167</f>
        <v>5.6117854156999991</v>
      </c>
      <c r="D189" s="4">
        <f ca="1">'Total Trip Tables Original'!D167</f>
        <v>6.1289348188999995</v>
      </c>
      <c r="E189" s="4">
        <f ca="1">'Total Trip Tables Original'!E167</f>
        <v>6.4864697747999989</v>
      </c>
      <c r="F189" s="4">
        <f ca="1">'Total Trip Tables Original'!F167</f>
        <v>6.7503385927000004</v>
      </c>
      <c r="G189" s="4">
        <f ca="1">'Total Trip Tables Original'!G167</f>
        <v>7.1442921313000012</v>
      </c>
      <c r="H189" s="4">
        <f ca="1">'Total Trip Tables Original'!H167</f>
        <v>7.4767226709000001</v>
      </c>
      <c r="I189" s="4">
        <f ca="1">'Total Trip Tables Original'!I167</f>
        <v>7.7666882118188587</v>
      </c>
      <c r="J189" s="4">
        <f ca="1">'Total Trip Tables Original'!J167</f>
        <v>8.0432480232412686</v>
      </c>
      <c r="K189" s="4">
        <f ca="1">'Total Trip Tables Original'!K167</f>
        <v>8.3127865012636946</v>
      </c>
    </row>
    <row r="190" spans="1:20" x14ac:dyDescent="0.25">
      <c r="A190" t="str">
        <f ca="1">A36</f>
        <v>Other Household Travel</v>
      </c>
      <c r="B190" s="4">
        <f ca="1">'Total Trip Tables Original'!B168</f>
        <v>10.3599389081</v>
      </c>
      <c r="C190" s="4">
        <f ca="1">'Total Trip Tables Original'!C168</f>
        <v>10.9818719007</v>
      </c>
      <c r="D190" s="4">
        <f ca="1">'Total Trip Tables Original'!D168</f>
        <v>11.532224550599999</v>
      </c>
      <c r="E190" s="4">
        <f ca="1">'Total Trip Tables Original'!E168</f>
        <v>12.028436102199999</v>
      </c>
      <c r="F190" s="4">
        <f ca="1">'Total Trip Tables Original'!F168</f>
        <v>12.444299387900001</v>
      </c>
      <c r="G190" s="4">
        <f ca="1">'Total Trip Tables Original'!G168</f>
        <v>12.769266185999999</v>
      </c>
      <c r="H190" s="4">
        <f ca="1">'Total Trip Tables Original'!H168</f>
        <v>12.9163568492</v>
      </c>
      <c r="I190" s="4">
        <f ca="1">'Total Trip Tables Original'!I168</f>
        <v>13.166326998669577</v>
      </c>
      <c r="J190" s="4">
        <f ca="1">'Total Trip Tables Original'!J168</f>
        <v>13.382771744322696</v>
      </c>
      <c r="K190" s="4">
        <f ca="1">'Total Trip Tables Original'!K168</f>
        <v>13.57794226541346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190"/>
  <sheetViews>
    <sheetView workbookViewId="0">
      <selection activeCell="H24" sqref="H24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11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OFFSET(Northland_Reference,1,5)</f>
        <v>23.759483304</v>
      </c>
      <c r="D5" s="4">
        <f ca="1">OFFSET(Northland_Reference,2,5)</f>
        <v>23.653599746000001</v>
      </c>
      <c r="E5" s="4">
        <f ca="1">OFFSET(Northland_Reference,3,5)</f>
        <v>23.444217078000001</v>
      </c>
      <c r="F5" s="4">
        <f ca="1">OFFSET(Northland_Reference,4,5)</f>
        <v>23.012227841000001</v>
      </c>
      <c r="G5" s="4">
        <f ca="1">OFFSET(Northland_Reference,5,5)</f>
        <v>22.360779773000001</v>
      </c>
      <c r="H5" s="4">
        <f ca="1">OFFSET(Northland_Reference,6,5)</f>
        <v>21.6530448</v>
      </c>
      <c r="I5" s="1">
        <f ca="1">H5*('Updated Population'!I$4/'Updated Population'!H$4)</f>
        <v>21.755742929019444</v>
      </c>
      <c r="J5" s="1">
        <f ca="1">I5*('Updated Population'!J$4/'Updated Population'!I$4)</f>
        <v>21.789347409861481</v>
      </c>
      <c r="K5" s="1">
        <f ca="1">J5*('Updated Population'!K$4/'Updated Population'!J$4)</f>
        <v>21.776104752478073</v>
      </c>
    </row>
    <row r="6" spans="1:11" x14ac:dyDescent="0.25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OFFSET(Northland_Reference,8,5)</f>
        <v>0.62225861039999997</v>
      </c>
      <c r="D6" s="4">
        <f ca="1">OFFSET(Northland_Reference,9,5)</f>
        <v>0.62767138079999996</v>
      </c>
      <c r="E6" s="4">
        <f ca="1">OFFSET(Northland_Reference,10,5)</f>
        <v>0.61018096779999997</v>
      </c>
      <c r="F6" s="4">
        <f ca="1">OFFSET(Northland_Reference,11,5)</f>
        <v>0.56857701439999997</v>
      </c>
      <c r="G6" s="4">
        <f ca="1">OFFSET(Northland_Reference,12,5)</f>
        <v>0.47133398240000002</v>
      </c>
      <c r="H6" s="4">
        <f ca="1">OFFSET(Northland_Reference,13,5)</f>
        <v>0.38312130160000002</v>
      </c>
      <c r="I6" s="1">
        <f ca="1">H6*('Updated Population'!I$4/'Updated Population'!H$4)</f>
        <v>0.38493840590220024</v>
      </c>
      <c r="J6" s="1">
        <f ca="1">I6*('Updated Population'!J$4/'Updated Population'!I$4)</f>
        <v>0.38553299167795191</v>
      </c>
      <c r="K6" s="1">
        <f ca="1">J6*('Updated Population'!K$4/'Updated Population'!J$4)</f>
        <v>0.38529868079095025</v>
      </c>
    </row>
    <row r="7" spans="1:11" x14ac:dyDescent="0.25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OFFSET(Northland_Reference,15,5)</f>
        <v>89.291356045000001</v>
      </c>
      <c r="D7" s="4">
        <f ca="1">OFFSET(Northland_Reference,16,5)</f>
        <v>90.732953387999999</v>
      </c>
      <c r="E7" s="4">
        <f ca="1">OFFSET(Northland_Reference,17,5)</f>
        <v>93.275414163999997</v>
      </c>
      <c r="F7" s="4">
        <f ca="1">OFFSET(Northland_Reference,18,5)</f>
        <v>95.255421698000006</v>
      </c>
      <c r="G7" s="4">
        <f ca="1">OFFSET(Northland_Reference,19,5)</f>
        <v>95.342348017999996</v>
      </c>
      <c r="H7" s="4">
        <f ca="1">OFFSET(Northland_Reference,20,5)</f>
        <v>95.149829177000001</v>
      </c>
      <c r="I7" s="1">
        <f ca="1">H7*('Updated Population'!I$4/'Updated Population'!H$4)</f>
        <v>95.601114874843176</v>
      </c>
      <c r="J7" s="1">
        <f ca="1">I7*('Updated Population'!J$4/'Updated Population'!I$4)</f>
        <v>95.748782819062356</v>
      </c>
      <c r="K7" s="1">
        <f ca="1">J7*('Updated Population'!K$4/'Updated Population'!J$4)</f>
        <v>95.690590698761525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OFFSET(Northland_Reference,22,5)</f>
        <v>49.088961003000001</v>
      </c>
      <c r="D8" s="4">
        <f ca="1">OFFSET(Northland_Reference,23,5)</f>
        <v>47.890576781999997</v>
      </c>
      <c r="E8" s="4">
        <f ca="1">OFFSET(Northland_Reference,24,5)</f>
        <v>47.323475776000002</v>
      </c>
      <c r="F8" s="4">
        <f ca="1">OFFSET(Northland_Reference,25,5)</f>
        <v>46.880439357</v>
      </c>
      <c r="G8" s="4">
        <f ca="1">OFFSET(Northland_Reference,26,5)</f>
        <v>45.884686504999998</v>
      </c>
      <c r="H8" s="4">
        <f ca="1">OFFSET(Northland_Reference,27,5)</f>
        <v>44.819244707999999</v>
      </c>
      <c r="I8" s="1">
        <f ca="1">H8*('Updated Population'!I$4/'Updated Population'!H$4)</f>
        <v>45.031817702610724</v>
      </c>
      <c r="J8" s="1">
        <f ca="1">I8*('Updated Population'!J$4/'Updated Population'!I$4)</f>
        <v>45.101375008017705</v>
      </c>
      <c r="K8" s="1">
        <f ca="1">J8*('Updated Population'!K$4/'Updated Population'!J$4)</f>
        <v>45.073964271683238</v>
      </c>
    </row>
    <row r="9" spans="1:11" x14ac:dyDescent="0.25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OFFSET(Northland_Reference,29,5)</f>
        <v>0.1802249548</v>
      </c>
      <c r="D9" s="4">
        <f ca="1">OFFSET(Northland_Reference,30,5)</f>
        <v>0.18175987299999999</v>
      </c>
      <c r="E9" s="4">
        <f ca="1">OFFSET(Northland_Reference,31,5)</f>
        <v>0.18936623899999999</v>
      </c>
      <c r="F9" s="4">
        <f ca="1">OFFSET(Northland_Reference,32,5)</f>
        <v>0.1816627167</v>
      </c>
      <c r="G9" s="4">
        <f ca="1">OFFSET(Northland_Reference,33,5)</f>
        <v>0.16972872520000001</v>
      </c>
      <c r="H9" s="4">
        <f ca="1">OFFSET(Northland_Reference,34,5)</f>
        <v>0.1575792308</v>
      </c>
      <c r="I9" s="1">
        <f ca="1">H9*('Updated Population'!I$4/'Updated Population'!H$4)</f>
        <v>0.158326612626665</v>
      </c>
      <c r="J9" s="1">
        <f ca="1">I9*('Updated Population'!J$4/'Updated Population'!I$4)</f>
        <v>0.15857116799019161</v>
      </c>
      <c r="K9" s="1">
        <f ca="1">J9*('Updated Population'!K$4/'Updated Population'!J$4)</f>
        <v>0.15847479504202194</v>
      </c>
    </row>
    <row r="10" spans="1:11" x14ac:dyDescent="0.25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OFFSET(Northland_Reference,36,5)</f>
        <v>1.4184689704</v>
      </c>
      <c r="D10" s="4">
        <f ca="1">OFFSET(Northland_Reference,37,5)</f>
        <v>1.3625385753000001</v>
      </c>
      <c r="E10" s="4">
        <f ca="1">OFFSET(Northland_Reference,38,5)</f>
        <v>1.2809998005000001</v>
      </c>
      <c r="F10" s="4">
        <f ca="1">OFFSET(Northland_Reference,39,5)</f>
        <v>1.2547294113</v>
      </c>
      <c r="G10" s="4">
        <f ca="1">OFFSET(Northland_Reference,40,5)</f>
        <v>1.2678676129999999</v>
      </c>
      <c r="H10" s="4">
        <f ca="1">OFFSET(Northland_Reference,41,5)</f>
        <v>1.2646877831000001</v>
      </c>
      <c r="I10" s="1">
        <f ca="1">H10*('Updated Population'!I$4/'Updated Population'!H$4)</f>
        <v>1.2706860651115035</v>
      </c>
      <c r="J10" s="1">
        <f ca="1">I10*('Updated Population'!J$4/'Updated Population'!I$4)</f>
        <v>1.2726487995338858</v>
      </c>
      <c r="K10" s="1">
        <f ca="1">J10*('Updated Population'!K$4/'Updated Population'!J$4)</f>
        <v>1.2718753366254001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OFFSET(Northland_Reference,43,5)</f>
        <v>3.2202030538000002</v>
      </c>
      <c r="D12" s="4">
        <f ca="1">OFFSET(Northland_Reference,44,5)</f>
        <v>2.95278229</v>
      </c>
      <c r="E12" s="4">
        <f ca="1">OFFSET(Northland_Reference,45,5)</f>
        <v>2.7214231332000001</v>
      </c>
      <c r="F12" s="4">
        <f ca="1">OFFSET(Northland_Reference,46,5)</f>
        <v>2.5082747197000002</v>
      </c>
      <c r="G12" s="4">
        <f ca="1">OFFSET(Northland_Reference,47,5)</f>
        <v>2.318397064</v>
      </c>
      <c r="H12" s="4">
        <f ca="1">OFFSET(Northland_Reference,48,5)</f>
        <v>2.1276577350000001</v>
      </c>
      <c r="I12" s="1">
        <f ca="1">H12*('Updated Population'!I$4/'Updated Population'!H$4)</f>
        <v>2.1377489933240139</v>
      </c>
      <c r="J12" s="1">
        <f ca="1">I12*('Updated Population'!J$4/'Updated Population'!I$4)</f>
        <v>2.1410510154763083</v>
      </c>
      <c r="K12" s="1">
        <f ca="1">J12*('Updated Population'!K$4/'Updated Population'!J$4)</f>
        <v>2.1397497738876998</v>
      </c>
    </row>
    <row r="13" spans="1:11" x14ac:dyDescent="0.25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OFFSET(Northland_Reference,50,5)</f>
        <v>5.1749943899999998E-2</v>
      </c>
      <c r="D13" s="4">
        <f ca="1">OFFSET(Northland_Reference,51,5)</f>
        <v>5.3289510999999998E-2</v>
      </c>
      <c r="E13" s="4">
        <f ca="1">OFFSET(Northland_Reference,52,5)</f>
        <v>5.6046743099999997E-2</v>
      </c>
      <c r="F13" s="4">
        <f ca="1">OFFSET(Northland_Reference,53,5)</f>
        <v>5.5691695700000002E-2</v>
      </c>
      <c r="G13" s="4">
        <f ca="1">OFFSET(Northland_Reference,54,5)</f>
        <v>5.24892239E-2</v>
      </c>
      <c r="H13" s="4">
        <f ca="1">OFFSET(Northland_Reference,55,5)</f>
        <v>4.9081237200000002E-2</v>
      </c>
      <c r="I13" s="1">
        <f ca="1">H13*('Updated Population'!I$4/'Updated Population'!H$4)</f>
        <v>4.9314024379676441E-2</v>
      </c>
      <c r="J13" s="1">
        <f ca="1">I13*('Updated Population'!J$4/'Updated Population'!I$4)</f>
        <v>4.9390196091804006E-2</v>
      </c>
      <c r="K13" s="1">
        <f ca="1">J13*('Updated Population'!K$4/'Updated Population'!J$4)</f>
        <v>4.9360178788731994E-2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OFFSET(Northland_Reference,57,5)</f>
        <v>0.12575020510000001</v>
      </c>
      <c r="D14" s="4">
        <f ca="1">OFFSET(Northland_Reference,58,5)</f>
        <v>0.1245642459</v>
      </c>
      <c r="E14" s="4">
        <f ca="1">OFFSET(Northland_Reference,59,5)</f>
        <v>0.1226553625</v>
      </c>
      <c r="F14" s="4">
        <f ca="1">OFFSET(Northland_Reference,60,5)</f>
        <v>0.11947937760000001</v>
      </c>
      <c r="G14" s="4">
        <f ca="1">OFFSET(Northland_Reference,61,5)</f>
        <v>0.1152561377</v>
      </c>
      <c r="H14" s="4">
        <f ca="1">OFFSET(Northland_Reference,62,5)</f>
        <v>0.1101477317</v>
      </c>
      <c r="I14" s="1">
        <f ca="1">H14*('Updated Population'!I$4/'Updated Population'!H$4)</f>
        <v>0.11067015088242028</v>
      </c>
      <c r="J14" s="1">
        <f ca="1">I14*('Updated Population'!J$4/'Updated Population'!I$4)</f>
        <v>0.11084109484775613</v>
      </c>
      <c r="K14" s="1">
        <f ca="1">J14*('Updated Population'!K$4/'Updated Population'!J$4)</f>
        <v>0.11077373024910796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OFFSET(Auckland_Reference,1,5)</f>
        <v>354.85239390999999</v>
      </c>
      <c r="D16" s="4">
        <f ca="1">OFFSET(Auckland_Reference,2,5)</f>
        <v>375.66733532000001</v>
      </c>
      <c r="E16" s="4">
        <f ca="1">OFFSET(Auckland_Reference,3,5)</f>
        <v>390.74489007</v>
      </c>
      <c r="F16" s="4">
        <f ca="1">OFFSET(Auckland_Reference,4,5)</f>
        <v>402.26598626999998</v>
      </c>
      <c r="G16" s="4">
        <f ca="1">OFFSET(Auckland_Reference,5,5)</f>
        <v>411.57737580999998</v>
      </c>
      <c r="H16" s="4">
        <f ca="1">OFFSET(Auckland_Reference,6,5)</f>
        <v>417.72874179000002</v>
      </c>
      <c r="I16" s="1">
        <f ca="1">H16*('Updated Population'!I$15/'Updated Population'!H$15)</f>
        <v>435.68079177438108</v>
      </c>
      <c r="J16" s="1">
        <f ca="1">I16*('Updated Population'!J$15/'Updated Population'!I$15)</f>
        <v>452.95789056384359</v>
      </c>
      <c r="K16" s="1">
        <f ca="1">J16*('Updated Population'!K$15/'Updated Population'!J$15)</f>
        <v>469.90808197338652</v>
      </c>
    </row>
    <row r="17" spans="1:11" x14ac:dyDescent="0.25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OFFSET(Auckland_Reference,8,5)</f>
        <v>7.8063247726</v>
      </c>
      <c r="D17" s="4">
        <f ca="1">OFFSET(Auckland_Reference,9,5)</f>
        <v>8.3698082226999997</v>
      </c>
      <c r="E17" s="4">
        <f ca="1">OFFSET(Auckland_Reference,10,5)</f>
        <v>8.8292402498999998</v>
      </c>
      <c r="F17" s="4">
        <f ca="1">OFFSET(Auckland_Reference,11,5)</f>
        <v>9.1735518752999994</v>
      </c>
      <c r="G17" s="4">
        <f ca="1">OFFSET(Auckland_Reference,12,5)</f>
        <v>9.7187032191</v>
      </c>
      <c r="H17" s="4">
        <f ca="1">OFFSET(Auckland_Reference,13,5)</f>
        <v>10.233804469000001</v>
      </c>
      <c r="I17" s="1">
        <f ca="1">H17*('Updated Population'!I$15/'Updated Population'!H$15)</f>
        <v>10.673606069844189</v>
      </c>
      <c r="J17" s="1">
        <f ca="1">I17*('Updated Population'!J$15/'Updated Population'!I$15)</f>
        <v>11.09687225460636</v>
      </c>
      <c r="K17" s="1">
        <f ca="1">J17*('Updated Population'!K$15/'Updated Population'!J$15)</f>
        <v>11.512129638750135</v>
      </c>
    </row>
    <row r="18" spans="1:11" x14ac:dyDescent="0.25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OFFSET(Auckland_Reference,15,5)</f>
        <v>1101.4431067</v>
      </c>
      <c r="D18" s="4">
        <f ca="1">OFFSET(Auckland_Reference,16,5)</f>
        <v>1178.3826509999999</v>
      </c>
      <c r="E18" s="4">
        <f ca="1">OFFSET(Auckland_Reference,17,5)</f>
        <v>1252.1048714999999</v>
      </c>
      <c r="F18" s="4">
        <f ca="1">OFFSET(Auckland_Reference,18,5)</f>
        <v>1326.9719379000001</v>
      </c>
      <c r="G18" s="4">
        <f ca="1">OFFSET(Auckland_Reference,19,5)</f>
        <v>1394.5386391</v>
      </c>
      <c r="H18" s="4">
        <f ca="1">OFFSET(Auckland_Reference,20,5)</f>
        <v>1454.5793063000001</v>
      </c>
      <c r="I18" s="1">
        <f ca="1">H18*('Updated Population'!I$15/'Updated Population'!H$15)</f>
        <v>1517.0903997455914</v>
      </c>
      <c r="J18" s="1">
        <f ca="1">I18*('Updated Population'!J$15/'Updated Population'!I$15)</f>
        <v>1577.2512358526906</v>
      </c>
      <c r="K18" s="1">
        <f ca="1">J18*('Updated Population'!K$15/'Updated Population'!J$15)</f>
        <v>1636.2737430340133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OFFSET(Auckland_Reference,22,5)</f>
        <v>524.99204458999998</v>
      </c>
      <c r="D19" s="4">
        <f ca="1">OFFSET(Auckland_Reference,23,5)</f>
        <v>552.75275709000005</v>
      </c>
      <c r="E19" s="4">
        <f ca="1">OFFSET(Auckland_Reference,24,5)</f>
        <v>578.03229285999998</v>
      </c>
      <c r="F19" s="4">
        <f ca="1">OFFSET(Auckland_Reference,25,5)</f>
        <v>601.07709752999995</v>
      </c>
      <c r="G19" s="4">
        <f ca="1">OFFSET(Auckland_Reference,26,5)</f>
        <v>619.48626358000001</v>
      </c>
      <c r="H19" s="4">
        <f ca="1">OFFSET(Auckland_Reference,27,5)</f>
        <v>633.56556293000006</v>
      </c>
      <c r="I19" s="1">
        <f ca="1">H19*('Updated Population'!I$15/'Updated Population'!H$15)</f>
        <v>660.7932815814969</v>
      </c>
      <c r="J19" s="1">
        <f ca="1">I19*('Updated Population'!J$15/'Updated Population'!I$15)</f>
        <v>686.99730760431214</v>
      </c>
      <c r="K19" s="1">
        <f ca="1">J19*('Updated Population'!K$15/'Updated Population'!J$15)</f>
        <v>712.70551603675233</v>
      </c>
    </row>
    <row r="20" spans="1:11" x14ac:dyDescent="0.25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OFFSET(Auckland_Reference,29,5)</f>
        <v>7.1539202692000003</v>
      </c>
      <c r="D20" s="4">
        <f ca="1">OFFSET(Auckland_Reference,30,5)</f>
        <v>8.1768000226000002</v>
      </c>
      <c r="E20" s="4">
        <f ca="1">OFFSET(Auckland_Reference,31,5)</f>
        <v>9.1127637114999995</v>
      </c>
      <c r="F20" s="4">
        <f ca="1">OFFSET(Auckland_Reference,32,5)</f>
        <v>9.9924814856000008</v>
      </c>
      <c r="G20" s="4">
        <f ca="1">OFFSET(Auckland_Reference,33,5)</f>
        <v>10.714214554</v>
      </c>
      <c r="H20" s="4">
        <f ca="1">OFFSET(Auckland_Reference,34,5)</f>
        <v>11.427583651000001</v>
      </c>
      <c r="I20" s="1">
        <f ca="1">H20*('Updated Population'!I$15/'Updated Population'!H$15)</f>
        <v>11.918688361737333</v>
      </c>
      <c r="J20" s="1">
        <f ca="1">I20*('Updated Population'!J$15/'Updated Population'!I$15)</f>
        <v>12.391328790588714</v>
      </c>
      <c r="K20" s="1">
        <f ca="1">J20*('Updated Population'!K$15/'Updated Population'!J$15)</f>
        <v>12.855026187619607</v>
      </c>
    </row>
    <row r="21" spans="1:11" x14ac:dyDescent="0.25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OFFSET(Auckland_Reference,36,5)</f>
        <v>4.6680632031</v>
      </c>
      <c r="D21" s="4">
        <f ca="1">OFFSET(Auckland_Reference,37,5)</f>
        <v>5.1577772319999999</v>
      </c>
      <c r="E21" s="4">
        <f ca="1">OFFSET(Auckland_Reference,38,5)</f>
        <v>5.7890965128999996</v>
      </c>
      <c r="F21" s="4">
        <f ca="1">OFFSET(Auckland_Reference,39,5)</f>
        <v>6.3308758220000003</v>
      </c>
      <c r="G21" s="4">
        <f ca="1">OFFSET(Auckland_Reference,40,5)</f>
        <v>6.5466259148999999</v>
      </c>
      <c r="H21" s="4">
        <f ca="1">OFFSET(Auckland_Reference,41,5)</f>
        <v>6.7158455575999998</v>
      </c>
      <c r="I21" s="1">
        <f ca="1">H21*('Updated Population'!I$15/'Updated Population'!H$15)</f>
        <v>7.0044615494534597</v>
      </c>
      <c r="J21" s="1">
        <f ca="1">I21*('Updated Population'!J$15/'Updated Population'!I$15)</f>
        <v>7.282226317700502</v>
      </c>
      <c r="K21" s="1">
        <f ca="1">J21*('Updated Population'!K$15/'Updated Population'!J$15)</f>
        <v>7.5547353798982746</v>
      </c>
    </row>
    <row r="22" spans="1:11" x14ac:dyDescent="0.25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11.772808704999999</v>
      </c>
      <c r="D22" s="4">
        <f ca="1">OFFSET(Auckland_Reference,44,5)</f>
        <v>12.518159804</v>
      </c>
      <c r="E22" s="4">
        <f ca="1">OFFSET(Auckland_Reference,45,5)</f>
        <v>13.117502877</v>
      </c>
      <c r="F22" s="4">
        <f ca="1">OFFSET(Auckland_Reference,46,5)</f>
        <v>13.542770880999999</v>
      </c>
      <c r="G22" s="4">
        <f ca="1">OFFSET(Auckland_Reference,47,5)</f>
        <v>13.739815186</v>
      </c>
      <c r="H22" s="4">
        <f ca="1">OFFSET(Auckland_Reference,48,5)</f>
        <v>13.822090773999999</v>
      </c>
      <c r="I22" s="1">
        <f ca="1">H22*('Updated Population'!I$15/'Updated Population'!H$15)</f>
        <v>14.416100330058372</v>
      </c>
      <c r="J22" s="1">
        <f ca="1">I22*('Updated Population'!J$15/'Updated Population'!I$15)</f>
        <v>14.987776645066086</v>
      </c>
      <c r="K22" s="1">
        <f ca="1">J22*('Updated Population'!K$15/'Updated Population'!J$15)</f>
        <v>15.548636027869</v>
      </c>
    </row>
    <row r="23" spans="1:11" x14ac:dyDescent="0.25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58.696895283000003</v>
      </c>
      <c r="D23" s="4">
        <f ca="1">OFFSET(Auckland_Reference,51,5)</f>
        <v>60.869013830999997</v>
      </c>
      <c r="E23" s="4">
        <f ca="1">OFFSET(Auckland_Reference,52,5)</f>
        <v>61.567793471999998</v>
      </c>
      <c r="F23" s="4">
        <f ca="1">OFFSET(Auckland_Reference,53,5)</f>
        <v>61.040067092999998</v>
      </c>
      <c r="G23" s="4">
        <f ca="1">OFFSET(Auckland_Reference,54,5)</f>
        <v>60.164320037000003</v>
      </c>
      <c r="H23" s="4">
        <f ca="1">OFFSET(Auckland_Reference,55,5)</f>
        <v>58.737581425000002</v>
      </c>
      <c r="I23" s="1">
        <f ca="1">H23*('Updated Population'!I$15/'Updated Population'!H$15)</f>
        <v>61.261851105809633</v>
      </c>
      <c r="J23" s="1">
        <f ca="1">I23*('Updated Population'!J$15/'Updated Population'!I$15)</f>
        <v>63.691214698521165</v>
      </c>
      <c r="K23" s="1">
        <f ca="1">J23*('Updated Population'!K$15/'Updated Population'!J$15)</f>
        <v>66.074611263050301</v>
      </c>
    </row>
    <row r="24" spans="1:11" x14ac:dyDescent="0.25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OFFSET(Auckland_Reference,57,5)</f>
        <v>4.8955005111999998</v>
      </c>
      <c r="D24" s="4">
        <f ca="1">OFFSET(Auckland_Reference,58,5)</f>
        <v>5.3672243265999997</v>
      </c>
      <c r="E24" s="4">
        <f ca="1">OFFSET(Auckland_Reference,59,5)</f>
        <v>5.6606843005999998</v>
      </c>
      <c r="F24" s="4">
        <f ca="1">OFFSET(Auckland_Reference,60,5)</f>
        <v>5.8834432655000004</v>
      </c>
      <c r="G24" s="4">
        <f ca="1">OFFSET(Auckland_Reference,61,5)</f>
        <v>6.2514925118000004</v>
      </c>
      <c r="H24" s="4">
        <f ca="1">OFFSET(Auckland_Reference,62,5)</f>
        <v>6.5596065067999998</v>
      </c>
      <c r="I24" s="1">
        <f ca="1">H24*('Updated Population'!I$15/'Updated Population'!H$15)</f>
        <v>6.841508066609701</v>
      </c>
      <c r="J24" s="1">
        <f ca="1">I24*('Updated Population'!J$15/'Updated Population'!I$15)</f>
        <v>7.1128108482960952</v>
      </c>
      <c r="K24" s="1">
        <f ca="1">J24*('Updated Population'!K$15/'Updated Population'!J$15)</f>
        <v>7.3789801939463375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OFFSET(Auckland_Reference,64,5)</f>
        <v>2.4819497302000002</v>
      </c>
      <c r="D25" s="4">
        <f ca="1">OFFSET(Auckland_Reference,65,5)</f>
        <v>2.6817686563000001</v>
      </c>
      <c r="E25" s="4">
        <f ca="1">OFFSET(Auckland_Reference,66,5)</f>
        <v>2.8748728911999999</v>
      </c>
      <c r="F25" s="4">
        <f ca="1">OFFSET(Auckland_Reference,67,5)</f>
        <v>3.0554872954999999</v>
      </c>
      <c r="G25" s="4">
        <f ca="1">OFFSET(Auckland_Reference,68,5)</f>
        <v>3.2539136363000001</v>
      </c>
      <c r="H25" s="4">
        <f ca="1">OFFSET(Auckland_Reference,69,5)</f>
        <v>3.4451786977999999</v>
      </c>
      <c r="I25" s="1">
        <f ca="1">H25*('Updated Population'!I$15/'Updated Population'!H$15)</f>
        <v>3.5932365497041014</v>
      </c>
      <c r="J25" s="1">
        <f ca="1">I25*('Updated Population'!J$15/'Updated Population'!I$15)</f>
        <v>3.7357278048046796</v>
      </c>
      <c r="K25" s="1">
        <f ca="1">J25*('Updated Population'!K$15/'Updated Population'!J$15)</f>
        <v>3.8755229218884515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OFFSET(Waikato_Reference,1,5)</f>
        <v>72.506485991000005</v>
      </c>
      <c r="D27" s="4">
        <f ca="1">OFFSET(Waikato_Reference,2,5)</f>
        <v>74.751320499000002</v>
      </c>
      <c r="E27" s="4">
        <f ca="1">OFFSET(Waikato_Reference,3,5)</f>
        <v>76.641057734</v>
      </c>
      <c r="F27" s="4">
        <f ca="1">OFFSET(Waikato_Reference,4,5)</f>
        <v>77.794420815999999</v>
      </c>
      <c r="G27" s="4">
        <f ca="1">OFFSET(Waikato_Reference,5,5)</f>
        <v>78.090368112999997</v>
      </c>
      <c r="H27" s="4">
        <f ca="1">OFFSET(Waikato_Reference,6,5)</f>
        <v>78.092554774999996</v>
      </c>
      <c r="I27" s="1">
        <f ca="1">H27*('Updated Population'!I$26/'Updated Population'!H$26)</f>
        <v>79.754360625884701</v>
      </c>
      <c r="J27" s="1">
        <f ca="1">I27*('Updated Population'!J$26/'Updated Population'!I$26)</f>
        <v>81.192255372972937</v>
      </c>
      <c r="K27" s="1">
        <f ca="1">J27*('Updated Population'!K$26/'Updated Population'!J$26)</f>
        <v>82.478440744146482</v>
      </c>
    </row>
    <row r="28" spans="1:11" x14ac:dyDescent="0.25">
      <c r="A28" t="str">
        <f ca="1">OFFSET(Waikato_Reference,7,2)</f>
        <v>Cyclist</v>
      </c>
      <c r="B28" s="4">
        <f ca="1">OFFSET(Waikato_Reference,7,5)</f>
        <v>5.8956498267999997</v>
      </c>
      <c r="C28" s="4">
        <f ca="1">OFFSET(Waikato_Reference,8,5)</f>
        <v>6.2103844125999998</v>
      </c>
      <c r="D28" s="4">
        <f ca="1">OFFSET(Waikato_Reference,9,5)</f>
        <v>6.5298013027000001</v>
      </c>
      <c r="E28" s="4">
        <f ca="1">OFFSET(Waikato_Reference,10,5)</f>
        <v>6.7146378758000003</v>
      </c>
      <c r="F28" s="4">
        <f ca="1">OFFSET(Waikato_Reference,11,5)</f>
        <v>6.9362837576</v>
      </c>
      <c r="G28" s="4">
        <f ca="1">OFFSET(Waikato_Reference,12,5)</f>
        <v>7.2248806103999996</v>
      </c>
      <c r="H28" s="4">
        <f ca="1">OFFSET(Waikato_Reference,13,5)</f>
        <v>7.5234553713999999</v>
      </c>
      <c r="I28" s="1">
        <f ca="1">H28*('Updated Population'!I$26/'Updated Population'!H$26)</f>
        <v>7.6835541438256767</v>
      </c>
      <c r="J28" s="1">
        <f ca="1">I28*('Updated Population'!J$26/'Updated Population'!I$26)</f>
        <v>7.8220812670534601</v>
      </c>
      <c r="K28" s="1">
        <f ca="1">J28*('Updated Population'!K$26/'Updated Population'!J$26)</f>
        <v>7.9459926727854375</v>
      </c>
    </row>
    <row r="29" spans="1:11" x14ac:dyDescent="0.25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OFFSET(Waikato_Reference,15,5)</f>
        <v>331.15084179000002</v>
      </c>
      <c r="D29" s="4">
        <f ca="1">OFFSET(Waikato_Reference,16,5)</f>
        <v>346.18657646000003</v>
      </c>
      <c r="E29" s="4">
        <f ca="1">OFFSET(Waikato_Reference,17,5)</f>
        <v>362.39235446999999</v>
      </c>
      <c r="F29" s="4">
        <f ca="1">OFFSET(Waikato_Reference,18,5)</f>
        <v>376.69663960000003</v>
      </c>
      <c r="G29" s="4">
        <f ca="1">OFFSET(Waikato_Reference,19,5)</f>
        <v>386.07724008000002</v>
      </c>
      <c r="H29" s="4">
        <f ca="1">OFFSET(Waikato_Reference,20,5)</f>
        <v>393.77809801000001</v>
      </c>
      <c r="I29" s="1">
        <f ca="1">H29*('Updated Population'!I$26/'Updated Population'!H$26)</f>
        <v>402.15767720431211</v>
      </c>
      <c r="J29" s="1">
        <f ca="1">I29*('Updated Population'!J$26/'Updated Population'!I$26)</f>
        <v>409.40819500691623</v>
      </c>
      <c r="K29" s="1">
        <f ca="1">J29*('Updated Population'!K$26/'Updated Population'!J$26)</f>
        <v>415.89372529348771</v>
      </c>
    </row>
    <row r="30" spans="1:11" x14ac:dyDescent="0.25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OFFSET(Waikato_Reference,22,5)</f>
        <v>142.73073375999999</v>
      </c>
      <c r="D30" s="4">
        <f ca="1">OFFSET(Waikato_Reference,23,5)</f>
        <v>144.55903326000001</v>
      </c>
      <c r="E30" s="4">
        <f ca="1">OFFSET(Waikato_Reference,24,5)</f>
        <v>145.90861473000001</v>
      </c>
      <c r="F30" s="4">
        <f ca="1">OFFSET(Waikato_Reference,25,5)</f>
        <v>147.55463560999999</v>
      </c>
      <c r="G30" s="4">
        <f ca="1">OFFSET(Waikato_Reference,26,5)</f>
        <v>147.76696043999999</v>
      </c>
      <c r="H30" s="4">
        <f ca="1">OFFSET(Waikato_Reference,27,5)</f>
        <v>147.05574106</v>
      </c>
      <c r="I30" s="1">
        <f ca="1">H30*('Updated Population'!I$26/'Updated Population'!H$26)</f>
        <v>150.18508023457042</v>
      </c>
      <c r="J30" s="1">
        <f ca="1">I30*('Updated Population'!J$26/'Updated Population'!I$26)</f>
        <v>152.89277340978506</v>
      </c>
      <c r="K30" s="1">
        <f ca="1">J30*('Updated Population'!K$26/'Updated Population'!J$26)</f>
        <v>155.31478333689537</v>
      </c>
    </row>
    <row r="31" spans="1:11" x14ac:dyDescent="0.25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OFFSET(Waikato_Reference,29,5)</f>
        <v>0.8158209126</v>
      </c>
      <c r="D31" s="4">
        <f ca="1">OFFSET(Waikato_Reference,30,5)</f>
        <v>0.89022969669999996</v>
      </c>
      <c r="E31" s="4">
        <f ca="1">OFFSET(Waikato_Reference,31,5)</f>
        <v>0.93777434879999999</v>
      </c>
      <c r="F31" s="4">
        <f ca="1">OFFSET(Waikato_Reference,32,5)</f>
        <v>0.97002382279999999</v>
      </c>
      <c r="G31" s="4">
        <f ca="1">OFFSET(Waikato_Reference,33,5)</f>
        <v>0.97440302649999999</v>
      </c>
      <c r="H31" s="4">
        <f ca="1">OFFSET(Waikato_Reference,34,5)</f>
        <v>0.97650828430000003</v>
      </c>
      <c r="I31" s="1">
        <f ca="1">H31*('Updated Population'!I$26/'Updated Population'!H$26)</f>
        <v>0.99728833413909967</v>
      </c>
      <c r="J31" s="1">
        <f ca="1">I31*('Updated Population'!J$26/'Updated Population'!I$26)</f>
        <v>1.0152684877725497</v>
      </c>
      <c r="K31" s="1">
        <f ca="1">J31*('Updated Population'!K$26/'Updated Population'!J$26)</f>
        <v>1.0313515916448093</v>
      </c>
    </row>
    <row r="32" spans="1:11" x14ac:dyDescent="0.25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OFFSET(Waikato_Reference,36,5)</f>
        <v>1.8169065424999999</v>
      </c>
      <c r="D32" s="4">
        <f ca="1">OFFSET(Waikato_Reference,37,5)</f>
        <v>1.7665100045</v>
      </c>
      <c r="E32" s="4">
        <f ca="1">OFFSET(Waikato_Reference,38,5)</f>
        <v>1.7149340781</v>
      </c>
      <c r="F32" s="4">
        <f ca="1">OFFSET(Waikato_Reference,39,5)</f>
        <v>1.6577707763</v>
      </c>
      <c r="G32" s="4">
        <f ca="1">OFFSET(Waikato_Reference,40,5)</f>
        <v>1.5462133363999999</v>
      </c>
      <c r="H32" s="4">
        <f ca="1">OFFSET(Waikato_Reference,41,5)</f>
        <v>1.4348425339999999</v>
      </c>
      <c r="I32" s="1">
        <f ca="1">H32*('Updated Population'!I$26/'Updated Population'!H$26)</f>
        <v>1.4653759148705507</v>
      </c>
      <c r="J32" s="1">
        <f ca="1">I32*('Updated Population'!J$26/'Updated Population'!I$26)</f>
        <v>1.491795239330888</v>
      </c>
      <c r="K32" s="1">
        <f ca="1">J32*('Updated Population'!K$26/'Updated Population'!J$26)</f>
        <v>1.5154271141297795</v>
      </c>
    </row>
    <row r="33" spans="1:11" x14ac:dyDescent="0.25">
      <c r="A33" t="str">
        <f ca="1">OFFSET(Waikato_Reference,42,2)</f>
        <v>Local Train</v>
      </c>
      <c r="B33" s="4">
        <f ca="1">OFFSET(Waikato_Reference,42,5)</f>
        <v>0.12019006359999999</v>
      </c>
      <c r="C33" s="4">
        <f ca="1">OFFSET(Waikato_Reference,43,5)</f>
        <v>0.12626891809999999</v>
      </c>
      <c r="D33" s="4">
        <f ca="1">OFFSET(Waikato_Reference,44,5)</f>
        <v>0.13921474180000001</v>
      </c>
      <c r="E33" s="4">
        <f ca="1">OFFSET(Waikato_Reference,45,5)</f>
        <v>0.15409828389999999</v>
      </c>
      <c r="F33" s="4">
        <f ca="1">OFFSET(Waikato_Reference,46,5)</f>
        <v>0.16489572150000001</v>
      </c>
      <c r="G33" s="4">
        <f ca="1">OFFSET(Waikato_Reference,47,5)</f>
        <v>0.1711877373</v>
      </c>
      <c r="H33" s="4">
        <f ca="1">OFFSET(Waikato_Reference,48,5)</f>
        <v>0.175620156</v>
      </c>
      <c r="I33" s="1">
        <f ca="1">H33*('Updated Population'!I$26/'Updated Population'!H$26)</f>
        <v>0.17935734456573396</v>
      </c>
      <c r="J33" s="1">
        <f ca="1">I33*('Updated Population'!J$26/'Updated Population'!I$26)</f>
        <v>0.18259098573066684</v>
      </c>
      <c r="K33" s="1">
        <f ca="1">J33*('Updated Population'!K$26/'Updated Population'!J$26)</f>
        <v>0.18548345193543145</v>
      </c>
    </row>
    <row r="34" spans="1:11" x14ac:dyDescent="0.25">
      <c r="A34" t="str">
        <f ca="1">OFFSET(Waikato_Reference,49,2)</f>
        <v>Local Bus</v>
      </c>
      <c r="B34" s="4">
        <f ca="1">OFFSET(Waikato_Reference,49,5)</f>
        <v>5.7199103379</v>
      </c>
      <c r="C34" s="4">
        <f ca="1">OFFSET(Waikato_Reference,50,5)</f>
        <v>5.7461459003000002</v>
      </c>
      <c r="D34" s="4">
        <f ca="1">OFFSET(Waikato_Reference,51,5)</f>
        <v>5.6862867502999999</v>
      </c>
      <c r="E34" s="4">
        <f ca="1">OFFSET(Waikato_Reference,52,5)</f>
        <v>5.7386824849</v>
      </c>
      <c r="F34" s="4">
        <f ca="1">OFFSET(Waikato_Reference,53,5)</f>
        <v>5.7654870465999997</v>
      </c>
      <c r="G34" s="4">
        <f ca="1">OFFSET(Waikato_Reference,54,5)</f>
        <v>5.7454560841999998</v>
      </c>
      <c r="H34" s="4">
        <f ca="1">OFFSET(Waikato_Reference,55,5)</f>
        <v>5.6752577720000001</v>
      </c>
      <c r="I34" s="1">
        <f ca="1">H34*('Updated Population'!I$26/'Updated Population'!H$26)</f>
        <v>5.7960269874259973</v>
      </c>
      <c r="J34" s="1">
        <f ca="1">I34*('Updated Population'!J$26/'Updated Population'!I$26)</f>
        <v>5.9005238035724572</v>
      </c>
      <c r="K34" s="1">
        <f ca="1">J34*('Updated Population'!K$26/'Updated Population'!J$26)</f>
        <v>5.9939953713168661</v>
      </c>
    </row>
    <row r="35" spans="1:11" x14ac:dyDescent="0.25">
      <c r="A35" t="str">
        <f ca="1">OFFSET(Waikato_Reference,56,2)</f>
        <v>Local Ferry</v>
      </c>
      <c r="B35" s="4">
        <f ca="1">OFFSET(Waikato_Reference,56,5)</f>
        <v>0.2446181519</v>
      </c>
      <c r="C35" s="4">
        <f ca="1">OFFSET(Waikato_Reference,57,5)</f>
        <v>0.2673120779</v>
      </c>
      <c r="D35" s="4">
        <f ca="1">OFFSET(Waikato_Reference,58,5)</f>
        <v>0.2806473391</v>
      </c>
      <c r="E35" s="4">
        <f ca="1">OFFSET(Waikato_Reference,59,5)</f>
        <v>0.30273286830000001</v>
      </c>
      <c r="F35" s="4">
        <f ca="1">OFFSET(Waikato_Reference,60,5)</f>
        <v>0.31177955219999998</v>
      </c>
      <c r="G35" s="4">
        <f ca="1">OFFSET(Waikato_Reference,61,5)</f>
        <v>0.3054565018</v>
      </c>
      <c r="H35" s="4">
        <f ca="1">OFFSET(Waikato_Reference,62,5)</f>
        <v>0.29611963400000002</v>
      </c>
      <c r="I35" s="1">
        <f ca="1">H35*('Updated Population'!I$26/'Updated Population'!H$26)</f>
        <v>0.30242104572562295</v>
      </c>
      <c r="J35" s="1">
        <f ca="1">I35*('Updated Population'!J$26/'Updated Population'!I$26)</f>
        <v>0.30787340757324178</v>
      </c>
      <c r="K35" s="1">
        <f ca="1">J35*('Updated Population'!K$26/'Updated Population'!J$26)</f>
        <v>0.31275050171448748</v>
      </c>
    </row>
    <row r="36" spans="1:11" x14ac:dyDescent="0.25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OFFSET(Waikato_Reference,64,5)</f>
        <v>2.0135229020000001</v>
      </c>
      <c r="D36" s="4">
        <f ca="1">OFFSET(Waikato_Reference,65,5)</f>
        <v>2.1248313519000002</v>
      </c>
      <c r="E36" s="4">
        <f ca="1">OFFSET(Waikato_Reference,66,5)</f>
        <v>2.2213623219</v>
      </c>
      <c r="F36" s="4">
        <f ca="1">OFFSET(Waikato_Reference,67,5)</f>
        <v>2.3544325535000001</v>
      </c>
      <c r="G36" s="4">
        <f ca="1">OFFSET(Waikato_Reference,68,5)</f>
        <v>2.4175919336999998</v>
      </c>
      <c r="H36" s="4">
        <f ca="1">OFFSET(Waikato_Reference,69,5)</f>
        <v>2.3887015695999998</v>
      </c>
      <c r="I36" s="1">
        <f ca="1">H36*('Updated Population'!I$26/'Updated Population'!H$26)</f>
        <v>2.4395330253746996</v>
      </c>
      <c r="J36" s="1">
        <f ca="1">I36*('Updated Population'!J$26/'Updated Population'!I$26)</f>
        <v>2.4835154696574526</v>
      </c>
      <c r="K36" s="1">
        <f ca="1">J36*('Updated Population'!K$26/'Updated Population'!J$26)</f>
        <v>2.5228574149142156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OFFSET(BOP_Reference,0,5)</f>
        <v>43.402809341999998</v>
      </c>
      <c r="C38" s="4">
        <f ca="1">OFFSET(BOP_Reference,1,5)</f>
        <v>43.372110368999998</v>
      </c>
      <c r="D38" s="4">
        <f ca="1">OFFSET(BOP_Reference,2,5)</f>
        <v>43.995149914999999</v>
      </c>
      <c r="E38" s="4">
        <f ca="1">OFFSET(BOP_Reference,3,5)</f>
        <v>45.152885740999999</v>
      </c>
      <c r="F38" s="4">
        <f ca="1">OFFSET(BOP_Reference,4,5)</f>
        <v>45.919451062</v>
      </c>
      <c r="G38" s="4">
        <f ca="1">OFFSET(BOP_Reference,5,5)</f>
        <v>46.561837576000002</v>
      </c>
      <c r="H38" s="4">
        <f ca="1">OFFSET(BOP_Reference,6,5)</f>
        <v>47.068287372</v>
      </c>
      <c r="I38" s="1">
        <f ca="1">H38*('Updated Population'!I$37/'Updated Population'!H$37)</f>
        <v>47.745194573671341</v>
      </c>
      <c r="J38" s="1">
        <f ca="1">I38*('Updated Population'!J$37/'Updated Population'!I$37)</f>
        <v>48.277669757951323</v>
      </c>
      <c r="K38" s="1">
        <f ca="1">J38*('Updated Population'!K$37/'Updated Population'!J$37)</f>
        <v>48.711174421352489</v>
      </c>
    </row>
    <row r="39" spans="1:11" x14ac:dyDescent="0.25">
      <c r="A39" t="str">
        <f ca="1">OFFSET(BOP_Reference,7,2)</f>
        <v>Cyclist</v>
      </c>
      <c r="B39" s="4">
        <f ca="1">OFFSET(BOP_Reference,7,5)</f>
        <v>5.1579391552000002</v>
      </c>
      <c r="C39" s="4">
        <f ca="1">OFFSET(BOP_Reference,8,5)</f>
        <v>4.9444556304000002</v>
      </c>
      <c r="D39" s="4">
        <f ca="1">OFFSET(BOP_Reference,9,5)</f>
        <v>4.8500432681000003</v>
      </c>
      <c r="E39" s="4">
        <f ca="1">OFFSET(BOP_Reference,10,5)</f>
        <v>4.9282689907000004</v>
      </c>
      <c r="F39" s="4">
        <f ca="1">OFFSET(BOP_Reference,11,5)</f>
        <v>4.9497597988999997</v>
      </c>
      <c r="G39" s="4">
        <f ca="1">OFFSET(BOP_Reference,12,5)</f>
        <v>4.9417954130000004</v>
      </c>
      <c r="H39" s="4">
        <f ca="1">OFFSET(BOP_Reference,13,5)</f>
        <v>4.9165953797000004</v>
      </c>
      <c r="I39" s="1">
        <f ca="1">H39*('Updated Population'!I$37/'Updated Population'!H$37)</f>
        <v>4.9873028348899417</v>
      </c>
      <c r="J39" s="1">
        <f ca="1">I39*('Updated Population'!J$37/'Updated Population'!I$37)</f>
        <v>5.0429234061281729</v>
      </c>
      <c r="K39" s="1">
        <f ca="1">J39*('Updated Population'!K$37/'Updated Population'!J$37)</f>
        <v>5.088205848812172</v>
      </c>
    </row>
    <row r="40" spans="1:11" x14ac:dyDescent="0.25">
      <c r="A40" t="str">
        <f ca="1">OFFSET(BOP_Reference,14,2)</f>
        <v>Light Vehicle Driver</v>
      </c>
      <c r="B40" s="4">
        <f ca="1">OFFSET(BOP_Reference,14,5)</f>
        <v>178.59124365</v>
      </c>
      <c r="C40" s="4">
        <f ca="1">OFFSET(BOP_Reference,15,5)</f>
        <v>182.18770501</v>
      </c>
      <c r="D40" s="4">
        <f ca="1">OFFSET(BOP_Reference,16,5)</f>
        <v>188.84163054000001</v>
      </c>
      <c r="E40" s="4">
        <f ca="1">OFFSET(BOP_Reference,17,5)</f>
        <v>198.75493283</v>
      </c>
      <c r="F40" s="4">
        <f ca="1">OFFSET(BOP_Reference,18,5)</f>
        <v>205.77851817000001</v>
      </c>
      <c r="G40" s="4">
        <f ca="1">OFFSET(BOP_Reference,19,5)</f>
        <v>208.99509796000001</v>
      </c>
      <c r="H40" s="4">
        <f ca="1">OFFSET(BOP_Reference,20,5)</f>
        <v>211.30127001</v>
      </c>
      <c r="I40" s="1">
        <f ca="1">H40*('Updated Population'!I$37/'Updated Population'!H$37)</f>
        <v>214.34007510315399</v>
      </c>
      <c r="J40" s="1">
        <f ca="1">I40*('Updated Population'!J$37/'Updated Population'!I$37)</f>
        <v>216.73048888213717</v>
      </c>
      <c r="K40" s="1">
        <f ca="1">J40*('Updated Population'!K$37/'Updated Population'!J$37)</f>
        <v>218.67659933242763</v>
      </c>
    </row>
    <row r="41" spans="1:11" x14ac:dyDescent="0.25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OFFSET(BOP_Reference,22,5)</f>
        <v>96.854488774999993</v>
      </c>
      <c r="D41" s="4">
        <f ca="1">OFFSET(BOP_Reference,23,5)</f>
        <v>96.308968105000005</v>
      </c>
      <c r="E41" s="4">
        <f ca="1">OFFSET(BOP_Reference,24,5)</f>
        <v>97.190953843000003</v>
      </c>
      <c r="F41" s="4">
        <f ca="1">OFFSET(BOP_Reference,25,5)</f>
        <v>97.427187984</v>
      </c>
      <c r="G41" s="4">
        <f ca="1">OFFSET(BOP_Reference,26,5)</f>
        <v>97.174843167000006</v>
      </c>
      <c r="H41" s="4">
        <f ca="1">OFFSET(BOP_Reference,27,5)</f>
        <v>96.611828657000004</v>
      </c>
      <c r="I41" s="1">
        <f ca="1">H41*('Updated Population'!I$37/'Updated Population'!H$37)</f>
        <v>98.001240641925207</v>
      </c>
      <c r="J41" s="1">
        <f ca="1">I41*('Updated Population'!J$37/'Updated Population'!I$37)</f>
        <v>99.094193118848438</v>
      </c>
      <c r="K41" s="1">
        <f ca="1">J41*('Updated Population'!K$37/'Updated Population'!J$37)</f>
        <v>99.983999835874613</v>
      </c>
    </row>
    <row r="42" spans="1:11" x14ac:dyDescent="0.25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OFFSET(BOP_Reference,29,5)</f>
        <v>0.1405204562</v>
      </c>
      <c r="D42" s="4">
        <f ca="1">OFFSET(BOP_Reference,30,5)</f>
        <v>0.13009125229999999</v>
      </c>
      <c r="E42" s="4">
        <f ca="1">OFFSET(BOP_Reference,31,5)</f>
        <v>0.1243562644</v>
      </c>
      <c r="F42" s="4">
        <f ca="1">OFFSET(BOP_Reference,32,5)</f>
        <v>0.1188904566</v>
      </c>
      <c r="G42" s="4">
        <f ca="1">OFFSET(BOP_Reference,33,5)</f>
        <v>0.115249093</v>
      </c>
      <c r="H42" s="4">
        <f ca="1">OFFSET(BOP_Reference,34,5)</f>
        <v>0.1106888572</v>
      </c>
      <c r="I42" s="1">
        <f ca="1">H42*('Updated Population'!I$37/'Updated Population'!H$37)</f>
        <v>0.11228071636392664</v>
      </c>
      <c r="J42" s="1">
        <f ca="1">I42*('Updated Population'!J$37/'Updated Population'!I$37)</f>
        <v>0.11353291976723917</v>
      </c>
      <c r="K42" s="1">
        <f ca="1">J42*('Updated Population'!K$37/'Updated Population'!J$37)</f>
        <v>0.11455237763286125</v>
      </c>
    </row>
    <row r="43" spans="1:11" x14ac:dyDescent="0.25">
      <c r="A43" t="str">
        <f ca="1">OFFSET(BOP_Reference,35,2)</f>
        <v>Motorcyclist</v>
      </c>
      <c r="B43" s="4">
        <f ca="1">OFFSET(BOP_Reference,35,5)</f>
        <v>0.90641599910000004</v>
      </c>
      <c r="C43" s="4">
        <f ca="1">OFFSET(BOP_Reference,36,5)</f>
        <v>0.95061612230000003</v>
      </c>
      <c r="D43" s="4">
        <f ca="1">OFFSET(BOP_Reference,37,5)</f>
        <v>0.98734330370000001</v>
      </c>
      <c r="E43" s="4">
        <f ca="1">OFFSET(BOP_Reference,38,5)</f>
        <v>1.0275184917</v>
      </c>
      <c r="F43" s="4">
        <f ca="1">OFFSET(BOP_Reference,39,5)</f>
        <v>1.0397784501</v>
      </c>
      <c r="G43" s="4">
        <f ca="1">OFFSET(BOP_Reference,40,5)</f>
        <v>1.0238844961</v>
      </c>
      <c r="H43" s="4">
        <f ca="1">OFFSET(BOP_Reference,41,5)</f>
        <v>1.0004777245000001</v>
      </c>
      <c r="I43" s="1">
        <f ca="1">H43*('Updated Population'!I$37/'Updated Population'!H$37)</f>
        <v>1.0148659806834761</v>
      </c>
      <c r="J43" s="1">
        <f ca="1">I43*('Updated Population'!J$37/'Updated Population'!I$37)</f>
        <v>1.0261842076780292</v>
      </c>
      <c r="K43" s="1">
        <f ca="1">J43*('Updated Population'!K$37/'Updated Population'!J$37)</f>
        <v>1.0353987294593707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5">
      <c r="A45" t="str">
        <f ca="1">OFFSET(BOP_Reference,42,2)</f>
        <v>Local Bus</v>
      </c>
      <c r="B45" s="4">
        <f ca="1">OFFSET(BOP_Reference,42,5)</f>
        <v>7.4672006229000001</v>
      </c>
      <c r="C45" s="4">
        <f ca="1">OFFSET(BOP_Reference,43,5)</f>
        <v>7.1614095521000003</v>
      </c>
      <c r="D45" s="4">
        <f ca="1">OFFSET(BOP_Reference,44,5)</f>
        <v>6.9729575610000003</v>
      </c>
      <c r="E45" s="4">
        <f ca="1">OFFSET(BOP_Reference,45,5)</f>
        <v>6.9442188356000001</v>
      </c>
      <c r="F45" s="4">
        <f ca="1">OFFSET(BOP_Reference,46,5)</f>
        <v>6.9026515985000003</v>
      </c>
      <c r="G45" s="4">
        <f ca="1">OFFSET(BOP_Reference,47,5)</f>
        <v>6.9038987928999997</v>
      </c>
      <c r="H45" s="4">
        <f ca="1">OFFSET(BOP_Reference,48,5)</f>
        <v>6.8770317354000001</v>
      </c>
      <c r="I45" s="1">
        <f ca="1">H45*('Updated Population'!I$37/'Updated Population'!H$37)</f>
        <v>6.9759329822421323</v>
      </c>
      <c r="J45" s="1">
        <f ca="1">I45*('Updated Population'!J$37/'Updated Population'!I$37)</f>
        <v>7.0537316221557811</v>
      </c>
      <c r="K45" s="1">
        <f ca="1">J45*('Updated Population'!K$37/'Updated Population'!J$37)</f>
        <v>7.1170699226146841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OFFSET(BOP_Reference,50,5)</f>
        <v>0.58026710999999997</v>
      </c>
      <c r="D47" s="4">
        <f ca="1">OFFSET(BOP_Reference,51,5)</f>
        <v>0.54579265690000001</v>
      </c>
      <c r="E47" s="4">
        <f ca="1">OFFSET(BOP_Reference,52,5)</f>
        <v>0.48802212379999999</v>
      </c>
      <c r="F47" s="4">
        <f ca="1">OFFSET(BOP_Reference,53,5)</f>
        <v>0.43866323229999998</v>
      </c>
      <c r="G47" s="4">
        <f ca="1">OFFSET(BOP_Reference,54,5)</f>
        <v>0.39988539899999997</v>
      </c>
      <c r="H47" s="4">
        <f ca="1">OFFSET(BOP_Reference,55,5)</f>
        <v>0.36400247390000001</v>
      </c>
      <c r="I47" s="1">
        <f ca="1">H47*('Updated Population'!I$37/'Updated Population'!H$37)</f>
        <v>0.36923733392500424</v>
      </c>
      <c r="J47" s="1">
        <f ca="1">I47*('Updated Population'!J$37/'Updated Population'!I$37)</f>
        <v>0.37335522933165916</v>
      </c>
      <c r="K47" s="1">
        <f ca="1">J47*('Updated Population'!K$37/'Updated Population'!J$37)</f>
        <v>0.3767077364810712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OFFSET(Gisborne_Reference,0,5)</f>
        <v>12.564280467</v>
      </c>
      <c r="C49" s="4">
        <f ca="1">OFFSET(Gisborne_Reference,1,5)</f>
        <v>12.027814319000001</v>
      </c>
      <c r="D49" s="4">
        <f ca="1">OFFSET(Gisborne_Reference,2,5)</f>
        <v>11.536277094000001</v>
      </c>
      <c r="E49" s="4">
        <f ca="1">OFFSET(Gisborne_Reference,3,5)</f>
        <v>11.208667079</v>
      </c>
      <c r="F49" s="4">
        <f ca="1">OFFSET(Gisborne_Reference,4,5)</f>
        <v>10.813413696</v>
      </c>
      <c r="G49" s="4">
        <f ca="1">OFFSET(Gisborne_Reference,5,5)</f>
        <v>10.397675804</v>
      </c>
      <c r="H49" s="4">
        <f ca="1">OFFSET(Gisborne_Reference,6,5)</f>
        <v>9.9906845094999994</v>
      </c>
      <c r="I49" s="1">
        <f ca="1">H49*('Updated Population'!I$48/'Updated Population'!H$48)</f>
        <v>9.8969169702939368</v>
      </c>
      <c r="J49" s="1">
        <f ca="1">I49*('Updated Population'!J$48/'Updated Population'!I$48)</f>
        <v>9.7728215709119972</v>
      </c>
      <c r="K49" s="1">
        <f ca="1">J49*('Updated Population'!K$48/'Updated Population'!J$48)</f>
        <v>9.6295430984797648</v>
      </c>
    </row>
    <row r="50" spans="1:11" x14ac:dyDescent="0.25">
      <c r="A50" t="str">
        <f ca="1">OFFSET(Gisborne_Reference,7,2)</f>
        <v>Cyclist</v>
      </c>
      <c r="B50" s="4">
        <f ca="1">OFFSET(Gisborne_Reference,7,5)</f>
        <v>1.1119455742</v>
      </c>
      <c r="C50" s="4">
        <f ca="1">OFFSET(Gisborne_Reference,8,5)</f>
        <v>1.0553586051999999</v>
      </c>
      <c r="D50" s="4">
        <f ca="1">OFFSET(Gisborne_Reference,9,5)</f>
        <v>1.0209961311</v>
      </c>
      <c r="E50" s="4">
        <f ca="1">OFFSET(Gisborne_Reference,10,5)</f>
        <v>0.95888166450000001</v>
      </c>
      <c r="F50" s="4">
        <f ca="1">OFFSET(Gisborne_Reference,11,5)</f>
        <v>0.88622468060000004</v>
      </c>
      <c r="G50" s="4">
        <f ca="1">OFFSET(Gisborne_Reference,12,5)</f>
        <v>0.81702453730000002</v>
      </c>
      <c r="H50" s="4">
        <f ca="1">OFFSET(Gisborne_Reference,13,5)</f>
        <v>0.75471389649999998</v>
      </c>
      <c r="I50" s="1">
        <f ca="1">H50*('Updated Population'!I$48/'Updated Population'!H$48)</f>
        <v>0.74763053151013048</v>
      </c>
      <c r="J50" s="1">
        <f ca="1">I50*('Updated Population'!J$48/'Updated Population'!I$48)</f>
        <v>0.73825614657021865</v>
      </c>
      <c r="K50" s="1">
        <f ca="1">J50*('Updated Population'!K$48/'Updated Population'!J$48)</f>
        <v>0.72743263852018714</v>
      </c>
    </row>
    <row r="51" spans="1:11" x14ac:dyDescent="0.25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OFFSET(Gisborne_Reference,15,5)</f>
        <v>29.136343494999998</v>
      </c>
      <c r="D51" s="4">
        <f ca="1">OFFSET(Gisborne_Reference,16,5)</f>
        <v>28.894610711999999</v>
      </c>
      <c r="E51" s="4">
        <f ca="1">OFFSET(Gisborne_Reference,17,5)</f>
        <v>28.589899851999999</v>
      </c>
      <c r="F51" s="4">
        <f ca="1">OFFSET(Gisborne_Reference,18,5)</f>
        <v>28.122597312</v>
      </c>
      <c r="G51" s="4">
        <f ca="1">OFFSET(Gisborne_Reference,19,5)</f>
        <v>27.647387493</v>
      </c>
      <c r="H51" s="4">
        <f ca="1">OFFSET(Gisborne_Reference,20,5)</f>
        <v>27.110034266</v>
      </c>
      <c r="I51" s="1">
        <f ca="1">H51*('Updated Population'!I$48/'Updated Population'!H$48)</f>
        <v>26.855593121502078</v>
      </c>
      <c r="J51" s="1">
        <f ca="1">I51*('Updated Population'!J$48/'Updated Population'!I$48)</f>
        <v>26.518856381762344</v>
      </c>
      <c r="K51" s="1">
        <f ca="1">J51*('Updated Population'!K$48/'Updated Population'!J$48)</f>
        <v>26.130065774519721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OFFSET(Gisborne_Reference,22,5)</f>
        <v>17.520618199000001</v>
      </c>
      <c r="D52" s="4">
        <f ca="1">OFFSET(Gisborne_Reference,23,5)</f>
        <v>16.409874857999998</v>
      </c>
      <c r="E52" s="4">
        <f ca="1">OFFSET(Gisborne_Reference,24,5)</f>
        <v>15.425398207000001</v>
      </c>
      <c r="F52" s="4">
        <f ca="1">OFFSET(Gisborne_Reference,25,5)</f>
        <v>14.528901376</v>
      </c>
      <c r="G52" s="4">
        <f ca="1">OFFSET(Gisborne_Reference,26,5)</f>
        <v>13.823290866000001</v>
      </c>
      <c r="H52" s="4">
        <f ca="1">OFFSET(Gisborne_Reference,27,5)</f>
        <v>13.123630538</v>
      </c>
      <c r="I52" s="1">
        <f ca="1">H52*('Updated Population'!I$48/'Updated Population'!H$48)</f>
        <v>13.000458743331912</v>
      </c>
      <c r="J52" s="1">
        <f ca="1">I52*('Updated Population'!J$48/'Updated Population'!I$48)</f>
        <v>12.837448674161424</v>
      </c>
      <c r="K52" s="1">
        <f ca="1">J52*('Updated Population'!K$48/'Updated Population'!J$48)</f>
        <v>12.649239974901462</v>
      </c>
    </row>
    <row r="53" spans="1:11" x14ac:dyDescent="0.25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OFFSET(Gisborne_Reference,29,5)</f>
        <v>2.4493477699999999E-2</v>
      </c>
      <c r="D53" s="4">
        <f ca="1">OFFSET(Gisborne_Reference,30,5)</f>
        <v>2.89300215E-2</v>
      </c>
      <c r="E53" s="4">
        <f ca="1">OFFSET(Gisborne_Reference,31,5)</f>
        <v>3.63353114E-2</v>
      </c>
      <c r="F53" s="4">
        <f ca="1">OFFSET(Gisborne_Reference,32,5)</f>
        <v>4.3766067999999998E-2</v>
      </c>
      <c r="G53" s="4">
        <f ca="1">OFFSET(Gisborne_Reference,33,5)</f>
        <v>4.9484892799999999E-2</v>
      </c>
      <c r="H53" s="4">
        <f ca="1">OFFSET(Gisborne_Reference,34,5)</f>
        <v>5.60723375E-2</v>
      </c>
      <c r="I53" s="1">
        <f ca="1">H53*('Updated Population'!I$48/'Updated Population'!H$48)</f>
        <v>5.5546070746214787E-2</v>
      </c>
      <c r="J53" s="1">
        <f ca="1">I53*('Updated Population'!J$48/'Updated Population'!I$48)</f>
        <v>5.4849590028629838E-2</v>
      </c>
      <c r="K53" s="1">
        <f ca="1">J53*('Updated Population'!K$48/'Updated Population'!J$48)</f>
        <v>5.4045445041860887E-2</v>
      </c>
    </row>
    <row r="54" spans="1:11" x14ac:dyDescent="0.25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OFFSET(Gisborne_Reference,36,5)</f>
        <v>0.19992462229999999</v>
      </c>
      <c r="D54" s="4">
        <f ca="1">OFFSET(Gisborne_Reference,37,5)</f>
        <v>0.1891430871</v>
      </c>
      <c r="E54" s="4">
        <f ca="1">OFFSET(Gisborne_Reference,38,5)</f>
        <v>0.1751213093</v>
      </c>
      <c r="F54" s="4">
        <f ca="1">OFFSET(Gisborne_Reference,39,5)</f>
        <v>0.1623271694</v>
      </c>
      <c r="G54" s="4">
        <f ca="1">OFFSET(Gisborne_Reference,40,5)</f>
        <v>0.15268022270000001</v>
      </c>
      <c r="H54" s="4">
        <f ca="1">OFFSET(Gisborne_Reference,41,5)</f>
        <v>0.14237726610000001</v>
      </c>
      <c r="I54" s="1">
        <f ca="1">H54*('Updated Population'!I$48/'Updated Population'!H$48)</f>
        <v>0.14104098470022314</v>
      </c>
      <c r="J54" s="1">
        <f ca="1">I54*('Updated Population'!J$48/'Updated Population'!I$48)</f>
        <v>0.1392725009008611</v>
      </c>
      <c r="K54" s="1">
        <f ca="1">J54*('Updated Population'!K$48/'Updated Population'!J$48)</f>
        <v>0.13723063908683947</v>
      </c>
    </row>
    <row r="55" spans="1:11" x14ac:dyDescent="0.25">
      <c r="A55" t="str">
        <f ca="1">OFFSET(Gisborne_Reference,42,2)</f>
        <v>Local Train</v>
      </c>
      <c r="B55" s="4">
        <f ca="1">OFFSET(Gisborne_Reference,42,5)</f>
        <v>2.2764127700000001E-2</v>
      </c>
      <c r="C55" s="4">
        <f ca="1">OFFSET(Gisborne_Reference,43,5)</f>
        <v>3.39525585E-2</v>
      </c>
      <c r="D55" s="4">
        <f ca="1">OFFSET(Gisborne_Reference,44,5)</f>
        <v>5.08184198E-2</v>
      </c>
      <c r="E55" s="4">
        <f ca="1">OFFSET(Gisborne_Reference,45,5)</f>
        <v>7.5033515499999995E-2</v>
      </c>
      <c r="F55" s="4">
        <f ca="1">OFFSET(Gisborne_Reference,46,5)</f>
        <v>0.1014271294</v>
      </c>
      <c r="G55" s="4">
        <f ca="1">OFFSET(Gisborne_Reference,47,5)</f>
        <v>0.11951622169999999</v>
      </c>
      <c r="H55" s="4">
        <f ca="1">OFFSET(Gisborne_Reference,48,5)</f>
        <v>0.14010619190000001</v>
      </c>
      <c r="I55" s="1">
        <f ca="1">H55*('Updated Population'!I$48/'Updated Population'!H$48)</f>
        <v>0.13879122566024907</v>
      </c>
      <c r="J55" s="1">
        <f ca="1">I55*('Updated Population'!J$48/'Updated Population'!I$48)</f>
        <v>0.13705095112518789</v>
      </c>
      <c r="K55" s="1">
        <f ca="1">J55*('Updated Population'!K$48/'Updated Population'!J$48)</f>
        <v>0.13504165925588293</v>
      </c>
    </row>
    <row r="56" spans="1:11" x14ac:dyDescent="0.25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OFFSET(Gisborne_Reference,50,5)</f>
        <v>0.3538737542</v>
      </c>
      <c r="D56" s="4">
        <f ca="1">OFFSET(Gisborne_Reference,51,5)</f>
        <v>0.32994547610000002</v>
      </c>
      <c r="E56" s="4">
        <f ca="1">OFFSET(Gisborne_Reference,52,5)</f>
        <v>0.32498102670000001</v>
      </c>
      <c r="F56" s="4">
        <f ca="1">OFFSET(Gisborne_Reference,53,5)</f>
        <v>0.32441346199999999</v>
      </c>
      <c r="G56" s="4">
        <f ca="1">OFFSET(Gisborne_Reference,54,5)</f>
        <v>0.32167529490000002</v>
      </c>
      <c r="H56" s="4">
        <f ca="1">OFFSET(Gisborne_Reference,55,5)</f>
        <v>0.32276267879999998</v>
      </c>
      <c r="I56" s="1">
        <f ca="1">H56*('Updated Population'!I$48/'Updated Population'!H$48)</f>
        <v>0.31973339065564366</v>
      </c>
      <c r="J56" s="1">
        <f ca="1">I56*('Updated Population'!J$48/'Updated Population'!I$48)</f>
        <v>0.31572431965623571</v>
      </c>
      <c r="K56" s="1">
        <f ca="1">J56*('Updated Population'!K$48/'Updated Population'!J$48)</f>
        <v>0.31109551333844782</v>
      </c>
    </row>
    <row r="57" spans="1:11" x14ac:dyDescent="0.25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OFFSET(Gisborne_Reference,57,5)</f>
        <v>1.49002232E-2</v>
      </c>
      <c r="D57" s="4">
        <f ca="1">OFFSET(Gisborne_Reference,58,5)</f>
        <v>1.3987027900000001E-2</v>
      </c>
      <c r="E57" s="4">
        <f ca="1">OFFSET(Gisborne_Reference,59,5)</f>
        <v>1.3669896399999999E-2</v>
      </c>
      <c r="F57" s="4">
        <f ca="1">OFFSET(Gisborne_Reference,60,5)</f>
        <v>1.50819252E-2</v>
      </c>
      <c r="G57" s="4">
        <f ca="1">OFFSET(Gisborne_Reference,61,5)</f>
        <v>1.78318069E-2</v>
      </c>
      <c r="H57" s="4">
        <f ca="1">OFFSET(Gisborne_Reference,62,5)</f>
        <v>2.0723639799999999E-2</v>
      </c>
      <c r="I57" s="1">
        <f ca="1">H57*('Updated Population'!I$48/'Updated Population'!H$48)</f>
        <v>2.0529138141420846E-2</v>
      </c>
      <c r="J57" s="1">
        <f ca="1">I57*('Updated Population'!J$48/'Updated Population'!I$48)</f>
        <v>2.027172751503353E-2</v>
      </c>
      <c r="K57" s="1">
        <f ca="1">J57*('Updated Population'!K$48/'Updated Population'!J$48)</f>
        <v>1.9974525511411413E-2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OFFSET(Gisborne_Reference,64,5)</f>
        <v>2.64331667E-2</v>
      </c>
      <c r="D58" s="4">
        <f ca="1">OFFSET(Gisborne_Reference,65,5)</f>
        <v>1.9894802999999999E-2</v>
      </c>
      <c r="E58" s="4">
        <f ca="1">OFFSET(Gisborne_Reference,66,5)</f>
        <v>1.80602622E-2</v>
      </c>
      <c r="F58" s="4">
        <f ca="1">OFFSET(Gisborne_Reference,67,5)</f>
        <v>1.5345605E-2</v>
      </c>
      <c r="G58" s="4">
        <f ca="1">OFFSET(Gisborne_Reference,68,5)</f>
        <v>1.16278697E-2</v>
      </c>
      <c r="H58" s="4">
        <f ca="1">OFFSET(Gisborne_Reference,69,5)</f>
        <v>8.4809710999999999E-3</v>
      </c>
      <c r="I58" s="1">
        <f ca="1">H58*('Updated Population'!I$48/'Updated Population'!H$48)</f>
        <v>8.4013729714264729E-3</v>
      </c>
      <c r="J58" s="1">
        <f ca="1">I58*('Updated Population'!J$48/'Updated Population'!I$48)</f>
        <v>8.2960298895985544E-3</v>
      </c>
      <c r="K58" s="1">
        <f ca="1">J58*('Updated Population'!K$48/'Updated Population'!J$48)</f>
        <v>8.1744025293516709E-3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OFFSET(Hawkes_Bay_Reference,1,5)</f>
        <v>27.429980512</v>
      </c>
      <c r="D60" s="4">
        <f ca="1">OFFSET(Hawkes_Bay_Reference,2,5)</f>
        <v>28.071989247000001</v>
      </c>
      <c r="E60" s="4">
        <f ca="1">OFFSET(Hawkes_Bay_Reference,3,5)</f>
        <v>27.980235448999998</v>
      </c>
      <c r="F60" s="4">
        <f ca="1">OFFSET(Hawkes_Bay_Reference,4,5)</f>
        <v>27.334537244</v>
      </c>
      <c r="G60" s="4">
        <f ca="1">OFFSET(Hawkes_Bay_Reference,5,5)</f>
        <v>26.635841856999999</v>
      </c>
      <c r="H60" s="4">
        <f ca="1">OFFSET(Hawkes_Bay_Reference,6,5)</f>
        <v>25.825355327</v>
      </c>
      <c r="I60" s="1">
        <f ca="1">H60*('Updated Population'!I$59/'Updated Population'!H$59)</f>
        <v>25.646683237842641</v>
      </c>
      <c r="J60" s="1">
        <f ca="1">I60*('Updated Population'!J$59/'Updated Population'!I$59)</f>
        <v>25.388174284586476</v>
      </c>
      <c r="K60" s="1">
        <f ca="1">J60*('Updated Population'!K$59/'Updated Population'!J$59)</f>
        <v>25.078260131149612</v>
      </c>
    </row>
    <row r="61" spans="1:11" x14ac:dyDescent="0.25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OFFSET(Hawkes_Bay_Reference,8,5)</f>
        <v>3.2473192461</v>
      </c>
      <c r="D61" s="4">
        <f ca="1">OFFSET(Hawkes_Bay_Reference,9,5)</f>
        <v>3.3254693085999998</v>
      </c>
      <c r="E61" s="4">
        <f ca="1">OFFSET(Hawkes_Bay_Reference,10,5)</f>
        <v>3.3831654313000001</v>
      </c>
      <c r="F61" s="4">
        <f ca="1">OFFSET(Hawkes_Bay_Reference,11,5)</f>
        <v>3.3399816380999998</v>
      </c>
      <c r="G61" s="4">
        <f ca="1">OFFSET(Hawkes_Bay_Reference,12,5)</f>
        <v>3.2985489507999999</v>
      </c>
      <c r="H61" s="4">
        <f ca="1">OFFSET(Hawkes_Bay_Reference,13,5)</f>
        <v>3.2376379794000001</v>
      </c>
      <c r="I61" s="1">
        <f ca="1">H61*('Updated Population'!I$59/'Updated Population'!H$59)</f>
        <v>3.2152384602301778</v>
      </c>
      <c r="J61" s="1">
        <f ca="1">I61*('Updated Population'!J$59/'Updated Population'!I$59)</f>
        <v>3.1828300617984993</v>
      </c>
      <c r="K61" s="1">
        <f ca="1">J61*('Updated Population'!K$59/'Updated Population'!J$59)</f>
        <v>3.1439771662307177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OFFSET(Hawkes_Bay_Reference,15,5)</f>
        <v>117.27201801</v>
      </c>
      <c r="D62" s="4">
        <f ca="1">OFFSET(Hawkes_Bay_Reference,16,5)</f>
        <v>121.13650556</v>
      </c>
      <c r="E62" s="4">
        <f ca="1">OFFSET(Hawkes_Bay_Reference,17,5)</f>
        <v>125.2359852</v>
      </c>
      <c r="F62" s="4">
        <f ca="1">OFFSET(Hawkes_Bay_Reference,18,5)</f>
        <v>128.04335444</v>
      </c>
      <c r="G62" s="4">
        <f ca="1">OFFSET(Hawkes_Bay_Reference,19,5)</f>
        <v>128.84921331999999</v>
      </c>
      <c r="H62" s="4">
        <f ca="1">OFFSET(Hawkes_Bay_Reference,20,5)</f>
        <v>129.13646527</v>
      </c>
      <c r="I62" s="1">
        <f ca="1">H62*('Updated Population'!I$59/'Updated Population'!H$59)</f>
        <v>128.24303779362893</v>
      </c>
      <c r="J62" s="1">
        <f ca="1">I62*('Updated Population'!J$59/'Updated Population'!I$59)</f>
        <v>126.9503960451823</v>
      </c>
      <c r="K62" s="1">
        <f ca="1">J62*('Updated Population'!K$59/'Updated Population'!J$59)</f>
        <v>125.40070901066784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OFFSET(Hawkes_Bay_Reference,22,5)</f>
        <v>58.935029659000001</v>
      </c>
      <c r="D63" s="4">
        <f ca="1">OFFSET(Hawkes_Bay_Reference,23,5)</f>
        <v>58.666913270000002</v>
      </c>
      <c r="E63" s="4">
        <f ca="1">OFFSET(Hawkes_Bay_Reference,24,5)</f>
        <v>58.768283236000002</v>
      </c>
      <c r="F63" s="4">
        <f ca="1">OFFSET(Hawkes_Bay_Reference,25,5)</f>
        <v>58.019072258000001</v>
      </c>
      <c r="G63" s="4">
        <f ca="1">OFFSET(Hawkes_Bay_Reference,26,5)</f>
        <v>57.399440222999999</v>
      </c>
      <c r="H63" s="4">
        <f ca="1">OFFSET(Hawkes_Bay_Reference,27,5)</f>
        <v>56.550302309999999</v>
      </c>
      <c r="I63" s="1">
        <f ca="1">H63*('Updated Population'!I$59/'Updated Population'!H$59)</f>
        <v>56.159060426654278</v>
      </c>
      <c r="J63" s="1">
        <f ca="1">I63*('Updated Population'!J$59/'Updated Population'!I$59)</f>
        <v>55.592998149044725</v>
      </c>
      <c r="K63" s="1">
        <f ca="1">J63*('Updated Population'!K$59/'Updated Population'!J$59)</f>
        <v>54.914372866058613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OFFSET(Hawkes_Bay_Reference,29,5)</f>
        <v>0.33069106520000002</v>
      </c>
      <c r="D64" s="4">
        <f ca="1">OFFSET(Hawkes_Bay_Reference,30,5)</f>
        <v>0.34134944420000002</v>
      </c>
      <c r="E64" s="4">
        <f ca="1">OFFSET(Hawkes_Bay_Reference,31,5)</f>
        <v>0.35353218650000001</v>
      </c>
      <c r="F64" s="4">
        <f ca="1">OFFSET(Hawkes_Bay_Reference,32,5)</f>
        <v>0.36695981970000002</v>
      </c>
      <c r="G64" s="4">
        <f ca="1">OFFSET(Hawkes_Bay_Reference,33,5)</f>
        <v>0.35718872400000001</v>
      </c>
      <c r="H64" s="4">
        <f ca="1">OFFSET(Hawkes_Bay_Reference,34,5)</f>
        <v>0.33915382760000001</v>
      </c>
      <c r="I64" s="1">
        <f ca="1">H64*('Updated Population'!I$59/'Updated Population'!H$59)</f>
        <v>0.33680740013924582</v>
      </c>
      <c r="J64" s="1">
        <f ca="1">I64*('Updated Population'!J$59/'Updated Population'!I$59)</f>
        <v>0.33341250779969939</v>
      </c>
      <c r="K64" s="1">
        <f ca="1">J64*('Updated Population'!K$59/'Updated Population'!J$59)</f>
        <v>0.32934253199357227</v>
      </c>
    </row>
    <row r="65" spans="1:11" x14ac:dyDescent="0.25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OFFSET(Hawkes_Bay_Reference,36,5)</f>
        <v>0.61577450040000004</v>
      </c>
      <c r="D65" s="4">
        <f ca="1">OFFSET(Hawkes_Bay_Reference,37,5)</f>
        <v>0.577221863</v>
      </c>
      <c r="E65" s="4">
        <f ca="1">OFFSET(Hawkes_Bay_Reference,38,5)</f>
        <v>0.55282079679999996</v>
      </c>
      <c r="F65" s="4">
        <f ca="1">OFFSET(Hawkes_Bay_Reference,39,5)</f>
        <v>0.51548948939999995</v>
      </c>
      <c r="G65" s="4">
        <f ca="1">OFFSET(Hawkes_Bay_Reference,40,5)</f>
        <v>0.47477909750000002</v>
      </c>
      <c r="H65" s="4">
        <f ca="1">OFFSET(Hawkes_Bay_Reference,41,5)</f>
        <v>0.43350243700000002</v>
      </c>
      <c r="I65" s="1">
        <f ca="1">H65*('Updated Population'!I$59/'Updated Population'!H$59)</f>
        <v>0.43050326099282155</v>
      </c>
      <c r="J65" s="1">
        <f ca="1">I65*('Updated Population'!J$59/'Updated Population'!I$59)</f>
        <v>0.42616394949821051</v>
      </c>
      <c r="K65" s="1">
        <f ca="1">J65*('Updated Population'!K$59/'Updated Population'!J$59)</f>
        <v>0.42096175424960486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OFFSET(Hawkes_Bay_Reference,43,5)</f>
        <v>4.4607048811999999</v>
      </c>
      <c r="D67" s="4">
        <f ca="1">OFFSET(Hawkes_Bay_Reference,44,5)</f>
        <v>4.4100952614000004</v>
      </c>
      <c r="E67" s="4">
        <f ca="1">OFFSET(Hawkes_Bay_Reference,45,5)</f>
        <v>4.4172247625000001</v>
      </c>
      <c r="F67" s="4">
        <f ca="1">OFFSET(Hawkes_Bay_Reference,46,5)</f>
        <v>4.2669626844000001</v>
      </c>
      <c r="G67" s="4">
        <f ca="1">OFFSET(Hawkes_Bay_Reference,47,5)</f>
        <v>4.2079333999999999</v>
      </c>
      <c r="H67" s="4">
        <f ca="1">OFFSET(Hawkes_Bay_Reference,48,5)</f>
        <v>4.1231029353000004</v>
      </c>
      <c r="I67" s="1">
        <f ca="1">H67*('Updated Population'!I$59/'Updated Population'!H$59)</f>
        <v>4.0945773484907182</v>
      </c>
      <c r="J67" s="1">
        <f ca="1">I67*('Updated Population'!J$59/'Updated Population'!I$59)</f>
        <v>4.0533055436897412</v>
      </c>
      <c r="K67" s="1">
        <f ca="1">J67*('Updated Population'!K$59/'Updated Population'!J$59)</f>
        <v>4.0038267295728796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OFFSET(Hawkes_Bay_Reference,50,5)</f>
        <v>0.52685948049999998</v>
      </c>
      <c r="D69" s="4">
        <f ca="1">OFFSET(Hawkes_Bay_Reference,51,5)</f>
        <v>0.60921790809999998</v>
      </c>
      <c r="E69" s="4">
        <f ca="1">OFFSET(Hawkes_Bay_Reference,52,5)</f>
        <v>0.7131821572</v>
      </c>
      <c r="F69" s="4">
        <f ca="1">OFFSET(Hawkes_Bay_Reference,53,5)</f>
        <v>0.79721437640000004</v>
      </c>
      <c r="G69" s="4">
        <f ca="1">OFFSET(Hawkes_Bay_Reference,54,5)</f>
        <v>0.89059539619999994</v>
      </c>
      <c r="H69" s="4">
        <f ca="1">OFFSET(Hawkes_Bay_Reference,55,5)</f>
        <v>0.98573371649999997</v>
      </c>
      <c r="I69" s="1">
        <f ca="1">H69*('Updated Population'!I$59/'Updated Population'!H$59)</f>
        <v>0.97891394189284209</v>
      </c>
      <c r="J69" s="1">
        <f ca="1">I69*('Updated Population'!J$59/'Updated Population'!I$59)</f>
        <v>0.96904685630911302</v>
      </c>
      <c r="K69" s="1">
        <f ca="1">J69*('Updated Population'!K$59/'Updated Population'!J$59)</f>
        <v>0.95721767423610271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OFFSET(Taranaki_Reference,1,5)</f>
        <v>24.212180058000001</v>
      </c>
      <c r="D71" s="4">
        <f ca="1">OFFSET(Taranaki_Reference,2,5)</f>
        <v>24.497834480000002</v>
      </c>
      <c r="E71" s="4">
        <f ca="1">OFFSET(Taranaki_Reference,3,5)</f>
        <v>24.411519596000002</v>
      </c>
      <c r="F71" s="4">
        <f ca="1">OFFSET(Taranaki_Reference,4,5)</f>
        <v>24.167691655999999</v>
      </c>
      <c r="G71" s="4">
        <f ca="1">OFFSET(Taranaki_Reference,5,5)</f>
        <v>23.825431801000001</v>
      </c>
      <c r="H71" s="4">
        <f ca="1">OFFSET(Taranaki_Reference,6,5)</f>
        <v>23.430274555</v>
      </c>
      <c r="I71" s="1">
        <f ca="1">H71*('Updated Population'!I$70/'Updated Population'!H$70)</f>
        <v>23.584311737255369</v>
      </c>
      <c r="J71" s="1">
        <f ca="1">I71*('Updated Population'!J$70/'Updated Population'!I$70)</f>
        <v>23.663795124678547</v>
      </c>
      <c r="K71" s="1">
        <f ca="1">J71*('Updated Population'!K$70/'Updated Population'!J$70)</f>
        <v>23.692519970833317</v>
      </c>
    </row>
    <row r="72" spans="1:11" x14ac:dyDescent="0.25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OFFSET(Taranaki_Reference,8,5)</f>
        <v>2.1698102010000002</v>
      </c>
      <c r="D72" s="4">
        <f ca="1">OFFSET(Taranaki_Reference,9,5)</f>
        <v>2.1475793008999999</v>
      </c>
      <c r="E72" s="4">
        <f ca="1">OFFSET(Taranaki_Reference,10,5)</f>
        <v>2.0820245854000001</v>
      </c>
      <c r="F72" s="4">
        <f ca="1">OFFSET(Taranaki_Reference,11,5)</f>
        <v>2.0295711643000001</v>
      </c>
      <c r="G72" s="4">
        <f ca="1">OFFSET(Taranaki_Reference,12,5)</f>
        <v>1.9555655027000001</v>
      </c>
      <c r="H72" s="4">
        <f ca="1">OFFSET(Taranaki_Reference,13,5)</f>
        <v>1.8896302406000001</v>
      </c>
      <c r="I72" s="1">
        <f ca="1">H72*('Updated Population'!I$70/'Updated Population'!H$70)</f>
        <v>1.9020531986444436</v>
      </c>
      <c r="J72" s="1">
        <f ca="1">I72*('Updated Population'!J$70/'Updated Population'!I$70)</f>
        <v>1.9084634612364417</v>
      </c>
      <c r="K72" s="1">
        <f ca="1">J72*('Updated Population'!K$70/'Updated Population'!J$70)</f>
        <v>1.9107800938402646</v>
      </c>
    </row>
    <row r="73" spans="1:11" x14ac:dyDescent="0.25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OFFSET(Taranaki_Reference,15,5)</f>
        <v>96.544495486000002</v>
      </c>
      <c r="D73" s="4">
        <f ca="1">OFFSET(Taranaki_Reference,16,5)</f>
        <v>100.35730082000001</v>
      </c>
      <c r="E73" s="4">
        <f ca="1">OFFSET(Taranaki_Reference,17,5)</f>
        <v>103.33985337</v>
      </c>
      <c r="F73" s="4">
        <f ca="1">OFFSET(Taranaki_Reference,18,5)</f>
        <v>104.34847512</v>
      </c>
      <c r="G73" s="4">
        <f ca="1">OFFSET(Taranaki_Reference,19,5)</f>
        <v>105.06699736</v>
      </c>
      <c r="H73" s="4">
        <f ca="1">OFFSET(Taranaki_Reference,20,5)</f>
        <v>105.19878405999999</v>
      </c>
      <c r="I73" s="1">
        <f ca="1">H73*('Updated Population'!I$70/'Updated Population'!H$70)</f>
        <v>105.89039030794451</v>
      </c>
      <c r="J73" s="1">
        <f ca="1">I73*('Updated Population'!J$70/'Updated Population'!I$70)</f>
        <v>106.24726003605036</v>
      </c>
      <c r="K73" s="1">
        <f ca="1">J73*('Updated Population'!K$70/'Updated Population'!J$70)</f>
        <v>106.37623073507905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OFFSET(Taranaki_Reference,22,5)</f>
        <v>45.646355010999997</v>
      </c>
      <c r="D74" s="4">
        <f ca="1">OFFSET(Taranaki_Reference,23,5)</f>
        <v>45.099895337</v>
      </c>
      <c r="E74" s="4">
        <f ca="1">OFFSET(Taranaki_Reference,24,5)</f>
        <v>44.699069059999999</v>
      </c>
      <c r="F74" s="4">
        <f ca="1">OFFSET(Taranaki_Reference,25,5)</f>
        <v>44.335198783999999</v>
      </c>
      <c r="G74" s="4">
        <f ca="1">OFFSET(Taranaki_Reference,26,5)</f>
        <v>43.716073639000001</v>
      </c>
      <c r="H74" s="4">
        <f ca="1">OFFSET(Taranaki_Reference,27,5)</f>
        <v>42.864546863000001</v>
      </c>
      <c r="I74" s="1">
        <f ca="1">H74*('Updated Population'!I$70/'Updated Population'!H$70)</f>
        <v>43.146350390394893</v>
      </c>
      <c r="J74" s="1">
        <f ca="1">I74*('Updated Population'!J$70/'Updated Population'!I$70)</f>
        <v>43.291761378944479</v>
      </c>
      <c r="K74" s="1">
        <f ca="1">J74*('Updated Population'!K$70/'Updated Population'!J$70)</f>
        <v>43.344312086843495</v>
      </c>
    </row>
    <row r="75" spans="1:11" x14ac:dyDescent="0.25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OFFSET(Taranaki_Reference,29,5)</f>
        <v>0.67532584159999998</v>
      </c>
      <c r="D75" s="4">
        <f ca="1">OFFSET(Taranaki_Reference,30,5)</f>
        <v>0.73371922720000005</v>
      </c>
      <c r="E75" s="4">
        <f ca="1">OFFSET(Taranaki_Reference,31,5)</f>
        <v>0.79107644219999995</v>
      </c>
      <c r="F75" s="4">
        <f ca="1">OFFSET(Taranaki_Reference,32,5)</f>
        <v>0.80320683739999998</v>
      </c>
      <c r="G75" s="4">
        <f ca="1">OFFSET(Taranaki_Reference,33,5)</f>
        <v>0.80582034920000001</v>
      </c>
      <c r="H75" s="4">
        <f ca="1">OFFSET(Taranaki_Reference,34,5)</f>
        <v>0.80199921360000004</v>
      </c>
      <c r="I75" s="1">
        <f ca="1">H75*('Updated Population'!I$70/'Updated Population'!H$70)</f>
        <v>0.80727178088229856</v>
      </c>
      <c r="J75" s="1">
        <f ca="1">I75*('Updated Population'!J$70/'Updated Population'!I$70)</f>
        <v>0.80999243249301767</v>
      </c>
      <c r="K75" s="1">
        <f ca="1">J75*('Updated Population'!K$70/'Updated Population'!J$70)</f>
        <v>0.81097566057994552</v>
      </c>
    </row>
    <row r="76" spans="1:11" x14ac:dyDescent="0.25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OFFSET(Taranaki_Reference,36,5)</f>
        <v>1.1454847770000001</v>
      </c>
      <c r="D76" s="4">
        <f ca="1">OFFSET(Taranaki_Reference,37,5)</f>
        <v>1.1336116976999999</v>
      </c>
      <c r="E76" s="4">
        <f ca="1">OFFSET(Taranaki_Reference,38,5)</f>
        <v>1.0611769563</v>
      </c>
      <c r="F76" s="4">
        <f ca="1">OFFSET(Taranaki_Reference,39,5)</f>
        <v>0.99988484040000003</v>
      </c>
      <c r="G76" s="4">
        <f ca="1">OFFSET(Taranaki_Reference,40,5)</f>
        <v>0.97634664900000001</v>
      </c>
      <c r="H76" s="4">
        <f ca="1">OFFSET(Taranaki_Reference,41,5)</f>
        <v>0.94675415409999997</v>
      </c>
      <c r="I76" s="1">
        <f ca="1">H76*('Updated Population'!I$70/'Updated Population'!H$70)</f>
        <v>0.95297838087309206</v>
      </c>
      <c r="J76" s="1">
        <f ca="1">I76*('Updated Population'!J$70/'Updated Population'!I$70)</f>
        <v>0.95619009002520583</v>
      </c>
      <c r="K76" s="1">
        <f ca="1">J76*('Updated Population'!K$70/'Updated Population'!J$70)</f>
        <v>0.95735078352707126</v>
      </c>
    </row>
    <row r="77" spans="1:11" x14ac:dyDescent="0.25">
      <c r="A77" t="str">
        <f ca="1">OFFSET(Taranaki_Reference,42,2)</f>
        <v>Local Train</v>
      </c>
      <c r="B77" s="4">
        <f ca="1">OFFSET(Taranaki_Reference,42,5)</f>
        <v>5.3266318100000001E-2</v>
      </c>
      <c r="C77" s="4">
        <f ca="1">OFFSET(Taranaki_Reference,43,5)</f>
        <v>5.1328161800000001E-2</v>
      </c>
      <c r="D77" s="4">
        <f ca="1">OFFSET(Taranaki_Reference,44,5)</f>
        <v>4.5856063000000002E-2</v>
      </c>
      <c r="E77" s="4">
        <f ca="1">OFFSET(Taranaki_Reference,45,5)</f>
        <v>4.4473716599999998E-2</v>
      </c>
      <c r="F77" s="4">
        <f ca="1">OFFSET(Taranaki_Reference,46,5)</f>
        <v>4.8385431700000002E-2</v>
      </c>
      <c r="G77" s="4">
        <f ca="1">OFFSET(Taranaki_Reference,47,5)</f>
        <v>5.6064219999999998E-2</v>
      </c>
      <c r="H77" s="4">
        <f ca="1">OFFSET(Taranaki_Reference,48,5)</f>
        <v>6.3376737899999994E-2</v>
      </c>
      <c r="I77" s="1">
        <f ca="1">H77*('Updated Population'!I$70/'Updated Population'!H$70)</f>
        <v>6.3793394311931359E-2</v>
      </c>
      <c r="J77" s="1">
        <f ca="1">I77*('Updated Population'!J$70/'Updated Population'!I$70)</f>
        <v>6.4008389565200718E-2</v>
      </c>
      <c r="K77" s="1">
        <f ca="1">J77*('Updated Population'!K$70/'Updated Population'!J$70)</f>
        <v>6.4086087632361441E-2</v>
      </c>
    </row>
    <row r="78" spans="1:11" x14ac:dyDescent="0.25">
      <c r="A78" t="str">
        <f ca="1">OFFSET(Taranaki_Reference,49,2)</f>
        <v>Local Bus</v>
      </c>
      <c r="B78" s="4">
        <f ca="1">OFFSET(Taranaki_Reference,49,5)</f>
        <v>1.2787514622</v>
      </c>
      <c r="C78" s="4">
        <f ca="1">OFFSET(Taranaki_Reference,50,5)</f>
        <v>1.3054492605000001</v>
      </c>
      <c r="D78" s="4">
        <f ca="1">OFFSET(Taranaki_Reference,51,5)</f>
        <v>1.3057410854</v>
      </c>
      <c r="E78" s="4">
        <f ca="1">OFFSET(Taranaki_Reference,52,5)</f>
        <v>1.2753849182000001</v>
      </c>
      <c r="F78" s="4">
        <f ca="1">OFFSET(Taranaki_Reference,53,5)</f>
        <v>1.2267417540000001</v>
      </c>
      <c r="G78" s="4">
        <f ca="1">OFFSET(Taranaki_Reference,54,5)</f>
        <v>1.2294697066</v>
      </c>
      <c r="H78" s="4">
        <f ca="1">OFFSET(Taranaki_Reference,55,5)</f>
        <v>1.2296789217999999</v>
      </c>
      <c r="I78" s="1">
        <f ca="1">H78*('Updated Population'!I$70/'Updated Population'!H$70)</f>
        <v>1.2377631751768974</v>
      </c>
      <c r="J78" s="1">
        <f ca="1">I78*('Updated Population'!J$70/'Updated Population'!I$70)</f>
        <v>1.2419346604882673</v>
      </c>
      <c r="K78" s="1">
        <f ca="1">J78*('Updated Population'!K$70/'Updated Population'!J$70)</f>
        <v>1.2434422116595329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OFFSET(Taranaki_Reference,57,5)</f>
        <v>0.18407041860000001</v>
      </c>
      <c r="D80" s="4">
        <f ca="1">OFFSET(Taranaki_Reference,58,5)</f>
        <v>0.19124480669999999</v>
      </c>
      <c r="E80" s="4">
        <f ca="1">OFFSET(Taranaki_Reference,59,5)</f>
        <v>0.19594329660000001</v>
      </c>
      <c r="F80" s="4">
        <f ca="1">OFFSET(Taranaki_Reference,60,5)</f>
        <v>0.2128381821</v>
      </c>
      <c r="G80" s="4">
        <f ca="1">OFFSET(Taranaki_Reference,61,5)</f>
        <v>0.22320737660000001</v>
      </c>
      <c r="H80" s="4">
        <f ca="1">OFFSET(Taranaki_Reference,62,5)</f>
        <v>0.22671599570000001</v>
      </c>
      <c r="I80" s="1">
        <f ca="1">H80*('Updated Population'!I$70/'Updated Population'!H$70)</f>
        <v>0.22820649010576854</v>
      </c>
      <c r="J80" s="1">
        <f ca="1">I80*('Updated Population'!J$70/'Updated Population'!I$70)</f>
        <v>0.22897558716773231</v>
      </c>
      <c r="K80" s="1">
        <f ca="1">J80*('Updated Population'!K$70/'Updated Population'!J$70)</f>
        <v>0.22925353449105629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OFFSET(Manawatu_Reference,1,5)</f>
        <v>38.372721085000002</v>
      </c>
      <c r="D82" s="4">
        <f ca="1">OFFSET(Manawatu_Reference,2,5)</f>
        <v>36.858242103999999</v>
      </c>
      <c r="E82" s="4">
        <f ca="1">OFFSET(Manawatu_Reference,3,5)</f>
        <v>34.365186735999998</v>
      </c>
      <c r="F82" s="4">
        <f ca="1">OFFSET(Manawatu_Reference,4,5)</f>
        <v>32.261632708</v>
      </c>
      <c r="G82" s="4">
        <f ca="1">OFFSET(Manawatu_Reference,5,5)</f>
        <v>30.500973905999999</v>
      </c>
      <c r="H82" s="4">
        <f ca="1">OFFSET(Manawatu_Reference,6,5)</f>
        <v>28.890289515999999</v>
      </c>
      <c r="I82" s="1">
        <f ca="1">H82*('Updated Population'!I$81/'Updated Population'!H$81)</f>
        <v>28.652334445263055</v>
      </c>
      <c r="J82" s="1">
        <f ca="1">I82*('Updated Population'!J$81/'Updated Population'!I$81)</f>
        <v>28.325885188893718</v>
      </c>
      <c r="K82" s="1">
        <f ca="1">J82*('Updated Population'!K$81/'Updated Population'!J$81)</f>
        <v>27.942974730079055</v>
      </c>
    </row>
    <row r="83" spans="1:11" x14ac:dyDescent="0.25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OFFSET(Manawatu_Reference,8,5)</f>
        <v>4.8377012942000004</v>
      </c>
      <c r="D83" s="4">
        <f ca="1">OFFSET(Manawatu_Reference,9,5)</f>
        <v>4.9633109367000001</v>
      </c>
      <c r="E83" s="4">
        <f ca="1">OFFSET(Manawatu_Reference,10,5)</f>
        <v>5.0788523552999996</v>
      </c>
      <c r="F83" s="4">
        <f ca="1">OFFSET(Manawatu_Reference,11,5)</f>
        <v>5.2175805204000003</v>
      </c>
      <c r="G83" s="4">
        <f ca="1">OFFSET(Manawatu_Reference,12,5)</f>
        <v>5.1587638374999996</v>
      </c>
      <c r="H83" s="4">
        <f ca="1">OFFSET(Manawatu_Reference,13,5)</f>
        <v>5.0671308495999998</v>
      </c>
      <c r="I83" s="1">
        <f ca="1">H83*('Updated Population'!I$81/'Updated Population'!H$81)</f>
        <v>5.0253953910791651</v>
      </c>
      <c r="J83" s="1">
        <f ca="1">I83*('Updated Population'!J$81/'Updated Population'!I$81)</f>
        <v>4.9681387444518634</v>
      </c>
      <c r="K83" s="1">
        <f ca="1">J83*('Updated Population'!K$81/'Updated Population'!J$81)</f>
        <v>4.9009792444607081</v>
      </c>
    </row>
    <row r="84" spans="1:11" x14ac:dyDescent="0.25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OFFSET(Manawatu_Reference,15,5)</f>
        <v>188.49827327</v>
      </c>
      <c r="D84" s="4">
        <f ca="1">OFFSET(Manawatu_Reference,16,5)</f>
        <v>192.31292214999999</v>
      </c>
      <c r="E84" s="4">
        <f ca="1">OFFSET(Manawatu_Reference,17,5)</f>
        <v>193.65255372999999</v>
      </c>
      <c r="F84" s="4">
        <f ca="1">OFFSET(Manawatu_Reference,18,5)</f>
        <v>195.01712502999999</v>
      </c>
      <c r="G84" s="4">
        <f ca="1">OFFSET(Manawatu_Reference,19,5)</f>
        <v>193.78539778000001</v>
      </c>
      <c r="H84" s="4">
        <f ca="1">OFFSET(Manawatu_Reference,20,5)</f>
        <v>191.41939693</v>
      </c>
      <c r="I84" s="1">
        <f ca="1">H84*('Updated Population'!I$81/'Updated Population'!H$81)</f>
        <v>189.8427697344963</v>
      </c>
      <c r="J84" s="1">
        <f ca="1">I84*('Updated Population'!J$81/'Updated Population'!I$81)</f>
        <v>187.67980353272605</v>
      </c>
      <c r="K84" s="1">
        <f ca="1">J84*('Updated Population'!K$81/'Updated Population'!J$81)</f>
        <v>185.14274037647422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OFFSET(Manawatu_Reference,22,5)</f>
        <v>82.778767528000003</v>
      </c>
      <c r="D85" s="4">
        <f ca="1">OFFSET(Manawatu_Reference,23,5)</f>
        <v>81.014987134999998</v>
      </c>
      <c r="E85" s="4">
        <f ca="1">OFFSET(Manawatu_Reference,24,5)</f>
        <v>78.713376206999996</v>
      </c>
      <c r="F85" s="4">
        <f ca="1">OFFSET(Manawatu_Reference,25,5)</f>
        <v>77.007120647999997</v>
      </c>
      <c r="G85" s="4">
        <f ca="1">OFFSET(Manawatu_Reference,26,5)</f>
        <v>74.564229058999999</v>
      </c>
      <c r="H85" s="4">
        <f ca="1">OFFSET(Manawatu_Reference,27,5)</f>
        <v>71.857825821000006</v>
      </c>
      <c r="I85" s="1">
        <f ca="1">H85*('Updated Population'!I$81/'Updated Population'!H$81)</f>
        <v>71.26596833834067</v>
      </c>
      <c r="J85" s="1">
        <f ca="1">I85*('Updated Population'!J$81/'Updated Population'!I$81)</f>
        <v>70.454002304196521</v>
      </c>
      <c r="K85" s="1">
        <f ca="1">J85*('Updated Population'!K$81/'Updated Population'!J$81)</f>
        <v>69.501602258523562</v>
      </c>
    </row>
    <row r="86" spans="1:11" x14ac:dyDescent="0.25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OFFSET(Manawatu_Reference,29,5)</f>
        <v>1.0883912469000001</v>
      </c>
      <c r="D86" s="4">
        <f ca="1">OFFSET(Manawatu_Reference,30,5)</f>
        <v>1.1161906679</v>
      </c>
      <c r="E86" s="4">
        <f ca="1">OFFSET(Manawatu_Reference,31,5)</f>
        <v>1.0774708216</v>
      </c>
      <c r="F86" s="4">
        <f ca="1">OFFSET(Manawatu_Reference,32,5)</f>
        <v>1.0329405705000001</v>
      </c>
      <c r="G86" s="4">
        <f ca="1">OFFSET(Manawatu_Reference,33,5)</f>
        <v>1.0419050788999999</v>
      </c>
      <c r="H86" s="4">
        <f ca="1">OFFSET(Manawatu_Reference,34,5)</f>
        <v>1.0537864063</v>
      </c>
      <c r="I86" s="1">
        <f ca="1">H86*('Updated Population'!I$81/'Updated Population'!H$81)</f>
        <v>1.0451068872278955</v>
      </c>
      <c r="J86" s="1">
        <f ca="1">I86*('Updated Population'!J$81/'Updated Population'!I$81)</f>
        <v>1.0331995026197132</v>
      </c>
      <c r="K86" s="1">
        <f ca="1">J86*('Updated Population'!K$81/'Updated Population'!J$81)</f>
        <v>1.0192326700580139</v>
      </c>
    </row>
    <row r="87" spans="1:11" x14ac:dyDescent="0.25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OFFSET(Manawatu_Reference,36,5)</f>
        <v>0.72279976000000001</v>
      </c>
      <c r="D87" s="4">
        <f ca="1">OFFSET(Manawatu_Reference,37,5)</f>
        <v>0.64634379259999997</v>
      </c>
      <c r="E87" s="4">
        <f ca="1">OFFSET(Manawatu_Reference,38,5)</f>
        <v>0.55375817729999999</v>
      </c>
      <c r="F87" s="4">
        <f ca="1">OFFSET(Manawatu_Reference,39,5)</f>
        <v>0.50120643490000005</v>
      </c>
      <c r="G87" s="4">
        <f ca="1">OFFSET(Manawatu_Reference,40,5)</f>
        <v>0.47929156140000001</v>
      </c>
      <c r="H87" s="4">
        <f ca="1">OFFSET(Manawatu_Reference,41,5)</f>
        <v>0.45089824550000002</v>
      </c>
      <c r="I87" s="1">
        <f ca="1">H87*('Updated Population'!I$81/'Updated Population'!H$81)</f>
        <v>0.4471844189617199</v>
      </c>
      <c r="J87" s="1">
        <f ca="1">I87*('Updated Population'!J$81/'Updated Population'!I$81)</f>
        <v>0.44208944070405332</v>
      </c>
      <c r="K87" s="1">
        <f ca="1">J87*('Updated Population'!K$81/'Updated Population'!J$81)</f>
        <v>0.43611325780815285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OFFSET(Manawatu_Reference,42,5)</f>
        <v>5.2110099151</v>
      </c>
      <c r="C89" s="4">
        <f ca="1">OFFSET(Manawatu_Reference,43,5)</f>
        <v>4.7340379806000001</v>
      </c>
      <c r="D89" s="4">
        <f ca="1">OFFSET(Manawatu_Reference,44,5)</f>
        <v>4.3505879350000001</v>
      </c>
      <c r="E89" s="4">
        <f ca="1">OFFSET(Manawatu_Reference,45,5)</f>
        <v>4.0837814391</v>
      </c>
      <c r="F89" s="4">
        <f ca="1">OFFSET(Manawatu_Reference,46,5)</f>
        <v>3.8155339067999998</v>
      </c>
      <c r="G89" s="4">
        <f ca="1">OFFSET(Manawatu_Reference,47,5)</f>
        <v>3.5688865813000001</v>
      </c>
      <c r="H89" s="4">
        <f ca="1">OFFSET(Manawatu_Reference,48,5)</f>
        <v>3.2899886270000001</v>
      </c>
      <c r="I89" s="1">
        <f ca="1">H89*('Updated Population'!I$81/'Updated Population'!H$81)</f>
        <v>3.2628906127683339</v>
      </c>
      <c r="J89" s="1">
        <f ca="1">I89*('Updated Population'!J$81/'Updated Population'!I$81)</f>
        <v>3.2257149956755073</v>
      </c>
      <c r="K89" s="1">
        <f ca="1">J89*('Updated Population'!K$81/'Updated Population'!J$81)</f>
        <v>3.1821096502198341</v>
      </c>
    </row>
    <row r="90" spans="1:11" x14ac:dyDescent="0.25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OFFSET(Manawatu_Reference,50,5)</f>
        <v>0.1180056875</v>
      </c>
      <c r="D90" s="4">
        <f ca="1">OFFSET(Manawatu_Reference,51,5)</f>
        <v>0.12521198380000001</v>
      </c>
      <c r="E90" s="4">
        <f ca="1">OFFSET(Manawatu_Reference,52,5)</f>
        <v>0.13711941659999999</v>
      </c>
      <c r="F90" s="4">
        <f ca="1">OFFSET(Manawatu_Reference,53,5)</f>
        <v>0.1391529994</v>
      </c>
      <c r="G90" s="4">
        <f ca="1">OFFSET(Manawatu_Reference,54,5)</f>
        <v>0.13472141269999999</v>
      </c>
      <c r="H90" s="4">
        <f ca="1">OFFSET(Manawatu_Reference,55,5)</f>
        <v>0.1293568397</v>
      </c>
      <c r="I90" s="1">
        <f ca="1">H90*('Updated Population'!I$81/'Updated Population'!H$81)</f>
        <v>0.12829139118920976</v>
      </c>
      <c r="J90" s="1">
        <f ca="1">I90*('Updated Population'!J$81/'Updated Population'!I$81)</f>
        <v>0.12682970822120193</v>
      </c>
      <c r="K90" s="1">
        <f ca="1">J90*('Updated Population'!K$81/'Updated Population'!J$81)</f>
        <v>0.12511521910841855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OFFSET(Manawatu_Reference,57,5)</f>
        <v>0.2289719882</v>
      </c>
      <c r="D91" s="4">
        <f ca="1">OFFSET(Manawatu_Reference,58,5)</f>
        <v>0.2055630759</v>
      </c>
      <c r="E91" s="4">
        <f ca="1">OFFSET(Manawatu_Reference,59,5)</f>
        <v>0.17642258120000001</v>
      </c>
      <c r="F91" s="4">
        <f ca="1">OFFSET(Manawatu_Reference,60,5)</f>
        <v>0.15691635900000001</v>
      </c>
      <c r="G91" s="4">
        <f ca="1">OFFSET(Manawatu_Reference,61,5)</f>
        <v>0.13818034009999999</v>
      </c>
      <c r="H91" s="4">
        <f ca="1">OFFSET(Manawatu_Reference,62,5)</f>
        <v>0.1189788562</v>
      </c>
      <c r="I91" s="1">
        <f ca="1">H91*('Updated Population'!I$81/'Updated Population'!H$81)</f>
        <v>0.11799888602256055</v>
      </c>
      <c r="J91" s="1">
        <f ca="1">I91*('Updated Population'!J$81/'Updated Population'!I$81)</f>
        <v>0.11665447031123119</v>
      </c>
      <c r="K91" s="1">
        <f ca="1">J91*('Updated Population'!K$81/'Updated Population'!J$81)</f>
        <v>0.11507753047504315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OFFSET(Wellington_Reference,1,5)</f>
        <v>190.40872615999999</v>
      </c>
      <c r="D93" s="4">
        <f ca="1">OFFSET(Wellington_Reference,2,5)</f>
        <v>193.73310755</v>
      </c>
      <c r="E93" s="4">
        <f ca="1">OFFSET(Wellington_Reference,3,5)</f>
        <v>196.80875022000001</v>
      </c>
      <c r="F93" s="4">
        <f ca="1">OFFSET(Wellington_Reference,4,5)</f>
        <v>198.85145539999999</v>
      </c>
      <c r="G93" s="4">
        <f ca="1">OFFSET(Wellington_Reference,5,5)</f>
        <v>200.68600108000001</v>
      </c>
      <c r="H93" s="4">
        <f ca="1">OFFSET(Wellington_Reference,6,5)</f>
        <v>201.86804825999999</v>
      </c>
      <c r="I93" s="1">
        <f ca="1">H93*('Updated Population'!I$92/'Updated Population'!H$92)</f>
        <v>203.20306806268547</v>
      </c>
      <c r="J93" s="1">
        <f ca="1">I93*('Updated Population'!J$92/'Updated Population'!I$92)</f>
        <v>203.89580870997833</v>
      </c>
      <c r="K93" s="1">
        <f ca="1">J93*('Updated Population'!K$92/'Updated Population'!J$92)</f>
        <v>204.15123190209479</v>
      </c>
    </row>
    <row r="94" spans="1:11" x14ac:dyDescent="0.25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OFFSET(Wellington_Reference,8,5)</f>
        <v>8.2039512521999995</v>
      </c>
      <c r="D94" s="4">
        <f ca="1">OFFSET(Wellington_Reference,9,5)</f>
        <v>8.1176767918999992</v>
      </c>
      <c r="E94" s="4">
        <f ca="1">OFFSET(Wellington_Reference,10,5)</f>
        <v>7.8079709510999997</v>
      </c>
      <c r="F94" s="4">
        <f ca="1">OFFSET(Wellington_Reference,11,5)</f>
        <v>7.6109124194</v>
      </c>
      <c r="G94" s="4">
        <f ca="1">OFFSET(Wellington_Reference,12,5)</f>
        <v>7.5600450404000004</v>
      </c>
      <c r="H94" s="4">
        <f ca="1">OFFSET(Wellington_Reference,13,5)</f>
        <v>7.5180838595999999</v>
      </c>
      <c r="I94" s="1">
        <f ca="1">H94*('Updated Population'!I$92/'Updated Population'!H$92)</f>
        <v>7.5678034210527816</v>
      </c>
      <c r="J94" s="1">
        <f ca="1">I94*('Updated Population'!J$92/'Updated Population'!I$92)</f>
        <v>7.5936028594690752</v>
      </c>
      <c r="K94" s="1">
        <f ca="1">J94*('Updated Population'!K$92/'Updated Population'!J$92)</f>
        <v>7.6031154742417959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OFFSET(Wellington_Reference,15,5)</f>
        <v>393.65461706000002</v>
      </c>
      <c r="D95" s="4">
        <f ca="1">OFFSET(Wellington_Reference,16,5)</f>
        <v>402.66991358000001</v>
      </c>
      <c r="E95" s="4">
        <f ca="1">OFFSET(Wellington_Reference,17,5)</f>
        <v>417.77474382999998</v>
      </c>
      <c r="F95" s="4">
        <f ca="1">OFFSET(Wellington_Reference,18,5)</f>
        <v>430.57936690999998</v>
      </c>
      <c r="G95" s="4">
        <f ca="1">OFFSET(Wellington_Reference,19,5)</f>
        <v>439.30549060999999</v>
      </c>
      <c r="H95" s="4">
        <f ca="1">OFFSET(Wellington_Reference,20,5)</f>
        <v>446.15541109999998</v>
      </c>
      <c r="I95" s="1">
        <f ca="1">H95*('Updated Population'!I$92/'Updated Population'!H$92)</f>
        <v>449.10598358548134</v>
      </c>
      <c r="J95" s="1">
        <f ca="1">I95*('Updated Population'!J$92/'Updated Population'!I$92)</f>
        <v>450.63703315445798</v>
      </c>
      <c r="K95" s="1">
        <f ca="1">J95*('Updated Population'!K$92/'Updated Population'!J$92)</f>
        <v>451.20155260300595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OFFSET(Wellington_Reference,22,5)</f>
        <v>185.19623999999999</v>
      </c>
      <c r="D96" s="4">
        <f ca="1">OFFSET(Wellington_Reference,23,5)</f>
        <v>184.76842518000001</v>
      </c>
      <c r="E96" s="4">
        <f ca="1">OFFSET(Wellington_Reference,24,5)</f>
        <v>184.2742116</v>
      </c>
      <c r="F96" s="4">
        <f ca="1">OFFSET(Wellington_Reference,25,5)</f>
        <v>184.11298127000001</v>
      </c>
      <c r="G96" s="4">
        <f ca="1">OFFSET(Wellington_Reference,26,5)</f>
        <v>183.16953197000001</v>
      </c>
      <c r="H96" s="4">
        <f ca="1">OFFSET(Wellington_Reference,27,5)</f>
        <v>181.24657514</v>
      </c>
      <c r="I96" s="1">
        <f ca="1">H96*('Updated Population'!I$92/'Updated Population'!H$92)</f>
        <v>182.44521835801524</v>
      </c>
      <c r="J96" s="1">
        <f ca="1">I96*('Updated Population'!J$92/'Updated Population'!I$92)</f>
        <v>183.06719331078432</v>
      </c>
      <c r="K96" s="1">
        <f ca="1">J96*('Updated Population'!K$92/'Updated Population'!J$92)</f>
        <v>183.29652419886429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OFFSET(Wellington_Reference,29,5)</f>
        <v>2.5432772413000002</v>
      </c>
      <c r="D97" s="4">
        <f ca="1">OFFSET(Wellington_Reference,30,5)</f>
        <v>2.6476384677000002</v>
      </c>
      <c r="E97" s="4">
        <f ca="1">OFFSET(Wellington_Reference,31,5)</f>
        <v>2.7468313403</v>
      </c>
      <c r="F97" s="4">
        <f ca="1">OFFSET(Wellington_Reference,32,5)</f>
        <v>2.8252487921</v>
      </c>
      <c r="G97" s="4">
        <f ca="1">OFFSET(Wellington_Reference,33,5)</f>
        <v>2.8956268278000001</v>
      </c>
      <c r="H97" s="4">
        <f ca="1">OFFSET(Wellington_Reference,34,5)</f>
        <v>2.9527106017000002</v>
      </c>
      <c r="I97" s="1">
        <f ca="1">H97*('Updated Population'!I$92/'Updated Population'!H$92)</f>
        <v>2.9722378481307565</v>
      </c>
      <c r="J97" s="1">
        <f ca="1">I97*('Updated Population'!J$92/'Updated Population'!I$92)</f>
        <v>2.9823705197998049</v>
      </c>
      <c r="K97" s="1">
        <f ca="1">J97*('Updated Population'!K$92/'Updated Population'!J$92)</f>
        <v>2.9861065779515683</v>
      </c>
    </row>
    <row r="98" spans="1:11" x14ac:dyDescent="0.25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OFFSET(Wellington_Reference,36,5)</f>
        <v>2.6093417345000001</v>
      </c>
      <c r="D98" s="4">
        <f ca="1">OFFSET(Wellington_Reference,37,5)</f>
        <v>2.6299500282000001</v>
      </c>
      <c r="E98" s="4">
        <f ca="1">OFFSET(Wellington_Reference,38,5)</f>
        <v>2.6708057522000002</v>
      </c>
      <c r="F98" s="4">
        <f ca="1">OFFSET(Wellington_Reference,39,5)</f>
        <v>2.7223856131000002</v>
      </c>
      <c r="G98" s="4">
        <f ca="1">OFFSET(Wellington_Reference,40,5)</f>
        <v>2.7492731103999999</v>
      </c>
      <c r="H98" s="4">
        <f ca="1">OFFSET(Wellington_Reference,41,5)</f>
        <v>2.7439070996999999</v>
      </c>
      <c r="I98" s="1">
        <f ca="1">H98*('Updated Population'!I$92/'Updated Population'!H$92)</f>
        <v>2.762053459891241</v>
      </c>
      <c r="J98" s="1">
        <f ca="1">I98*('Updated Population'!J$92/'Updated Population'!I$92)</f>
        <v>2.7714695908576901</v>
      </c>
      <c r="K98" s="1">
        <f ca="1">J98*('Updated Population'!K$92/'Updated Population'!J$92)</f>
        <v>2.7749414504031575</v>
      </c>
    </row>
    <row r="99" spans="1:11" x14ac:dyDescent="0.25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10.797078745</v>
      </c>
      <c r="D99" s="4">
        <f ca="1">OFFSET(Wellington_Reference,44,5)</f>
        <v>11.168125702999999</v>
      </c>
      <c r="E99" s="4">
        <f ca="1">OFFSET(Wellington_Reference,45,5)</f>
        <v>11.279089557000001</v>
      </c>
      <c r="F99" s="4">
        <f ca="1">OFFSET(Wellington_Reference,46,5)</f>
        <v>11.274533194</v>
      </c>
      <c r="G99" s="4">
        <f ca="1">OFFSET(Wellington_Reference,47,5)</f>
        <v>11.332285597</v>
      </c>
      <c r="H99" s="4">
        <f ca="1">OFFSET(Wellington_Reference,48,5)</f>
        <v>11.340319081000001</v>
      </c>
      <c r="I99" s="1">
        <f ca="1">H99*('Updated Population'!I$92/'Updated Population'!H$92)</f>
        <v>11.415316341202406</v>
      </c>
      <c r="J99" s="1">
        <f ca="1">I99*('Updated Population'!J$92/'Updated Population'!I$92)</f>
        <v>11.45423235613589</v>
      </c>
      <c r="K99" s="1">
        <f ca="1">J99*('Updated Population'!K$92/'Updated Population'!J$92)</f>
        <v>11.468581236626168</v>
      </c>
    </row>
    <row r="100" spans="1:11" x14ac:dyDescent="0.25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25.478594138999998</v>
      </c>
      <c r="D100" s="4">
        <f ca="1">OFFSET(Wellington_Reference,51,5)</f>
        <v>25.553104759</v>
      </c>
      <c r="E100" s="4">
        <f ca="1">OFFSET(Wellington_Reference,52,5)</f>
        <v>25.151368187999999</v>
      </c>
      <c r="F100" s="4">
        <f ca="1">OFFSET(Wellington_Reference,53,5)</f>
        <v>24.406180762000002</v>
      </c>
      <c r="G100" s="4">
        <f ca="1">OFFSET(Wellington_Reference,54,5)</f>
        <v>23.540603255000001</v>
      </c>
      <c r="H100" s="4">
        <f ca="1">OFFSET(Wellington_Reference,55,5)</f>
        <v>22.598963101999999</v>
      </c>
      <c r="I100" s="1">
        <f ca="1">H100*('Updated Population'!I$92/'Updated Population'!H$92)</f>
        <v>22.748417478368022</v>
      </c>
      <c r="J100" s="1">
        <f ca="1">I100*('Updated Population'!J$92/'Updated Population'!I$92)</f>
        <v>22.825969227950818</v>
      </c>
      <c r="K100" s="1">
        <f ca="1">J100*('Updated Population'!K$92/'Updated Population'!J$92)</f>
        <v>22.854563645659759</v>
      </c>
    </row>
    <row r="101" spans="1:11" x14ac:dyDescent="0.25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OFFSET(Wellington_Reference,57,5)</f>
        <v>0.26431697199999998</v>
      </c>
      <c r="D101" s="4">
        <f ca="1">OFFSET(Wellington_Reference,58,5)</f>
        <v>0.28857463049999998</v>
      </c>
      <c r="E101" s="4">
        <f ca="1">OFFSET(Wellington_Reference,59,5)</f>
        <v>0.31621654980000002</v>
      </c>
      <c r="F101" s="4">
        <f ca="1">OFFSET(Wellington_Reference,60,5)</f>
        <v>0.3451891547</v>
      </c>
      <c r="G101" s="4">
        <f ca="1">OFFSET(Wellington_Reference,61,5)</f>
        <v>0.38230067420000002</v>
      </c>
      <c r="H101" s="4">
        <f ca="1">OFFSET(Wellington_Reference,62,5)</f>
        <v>0.42183481340000001</v>
      </c>
      <c r="I101" s="1">
        <f ca="1">H101*('Updated Population'!I$92/'Updated Population'!H$92)</f>
        <v>0.42462454577322734</v>
      </c>
      <c r="J101" s="1">
        <f ca="1">I101*('Updated Population'!J$92/'Updated Population'!I$92)</f>
        <v>0.42607213554389284</v>
      </c>
      <c r="K101" s="1">
        <f ca="1">J101*('Updated Population'!K$92/'Updated Population'!J$92)</f>
        <v>0.42660588219430728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OFFSET(Wellington_Reference,64,5)</f>
        <v>0.33488079380000002</v>
      </c>
      <c r="D102" s="4">
        <f ca="1">OFFSET(Wellington_Reference,65,5)</f>
        <v>0.33806265470000002</v>
      </c>
      <c r="E102" s="4">
        <f ca="1">OFFSET(Wellington_Reference,66,5)</f>
        <v>0.33497066549999999</v>
      </c>
      <c r="F102" s="4">
        <f ca="1">OFFSET(Wellington_Reference,67,5)</f>
        <v>0.3219268227</v>
      </c>
      <c r="G102" s="4">
        <f ca="1">OFFSET(Wellington_Reference,68,5)</f>
        <v>0.31181591939999997</v>
      </c>
      <c r="H102" s="4">
        <f ca="1">OFFSET(Wellington_Reference,69,5)</f>
        <v>0.29940411049999999</v>
      </c>
      <c r="I102" s="1">
        <f ca="1">H102*('Updated Population'!I$92/'Updated Population'!H$92)</f>
        <v>0.30138416836437343</v>
      </c>
      <c r="J102" s="1">
        <f ca="1">I102*('Updated Population'!J$92/'Updated Population'!I$92)</f>
        <v>0.30241161871670841</v>
      </c>
      <c r="K102" s="1">
        <f ca="1">J102*('Updated Population'!K$92/'Updated Population'!J$92)</f>
        <v>0.30279045407126737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OFFSET(Nelson_Reference,0,5)</f>
        <v>34.609993433</v>
      </c>
      <c r="C104" s="4">
        <f ca="1">OFFSET(Nelson_Reference,1,5)</f>
        <v>35.412109807999997</v>
      </c>
      <c r="D104" s="4">
        <f ca="1">OFFSET(Nelson_Reference,2,5)</f>
        <v>36.132588358</v>
      </c>
      <c r="E104" s="4">
        <f ca="1">OFFSET(Nelson_Reference,3,5)</f>
        <v>36.943221762999997</v>
      </c>
      <c r="F104" s="4">
        <f ca="1">OFFSET(Nelson_Reference,4,5)</f>
        <v>36.857263832999998</v>
      </c>
      <c r="G104" s="4">
        <f ca="1">OFFSET(Nelson_Reference,5,5)</f>
        <v>36.301921978999999</v>
      </c>
      <c r="H104" s="4">
        <f ca="1">OFFSET(Nelson_Reference,6,5)</f>
        <v>35.566581065999998</v>
      </c>
      <c r="I104" s="1">
        <f ca="1">H104*('Updated Population'!I$103/'Updated Population'!H$103)</f>
        <v>35.512434996512127</v>
      </c>
      <c r="J104" s="1">
        <f ca="1">I104*('Updated Population'!J$103/'Updated Population'!I$103)</f>
        <v>35.347169982837933</v>
      </c>
      <c r="K104" s="1">
        <f ca="1">J104*('Updated Population'!K$103/'Updated Population'!J$103)</f>
        <v>35.108723506065552</v>
      </c>
    </row>
    <row r="105" spans="1:11" x14ac:dyDescent="0.25">
      <c r="A105" t="str">
        <f ca="1">OFFSET(Nelson_Reference,7,2)</f>
        <v>Cyclist</v>
      </c>
      <c r="B105" s="4">
        <f ca="1">OFFSET(Nelson_Reference,7,5)</f>
        <v>2.9519642961999999</v>
      </c>
      <c r="C105" s="4">
        <f ca="1">OFFSET(Nelson_Reference,8,5)</f>
        <v>2.8996429138000002</v>
      </c>
      <c r="D105" s="4">
        <f ca="1">OFFSET(Nelson_Reference,9,5)</f>
        <v>2.9024097035</v>
      </c>
      <c r="E105" s="4">
        <f ca="1">OFFSET(Nelson_Reference,10,5)</f>
        <v>2.9727755146999999</v>
      </c>
      <c r="F105" s="4">
        <f ca="1">OFFSET(Nelson_Reference,11,5)</f>
        <v>3.0234496254000001</v>
      </c>
      <c r="G105" s="4">
        <f ca="1">OFFSET(Nelson_Reference,12,5)</f>
        <v>3.0546693206</v>
      </c>
      <c r="H105" s="4">
        <f ca="1">OFFSET(Nelson_Reference,13,5)</f>
        <v>3.0689121532999999</v>
      </c>
      <c r="I105" s="1">
        <f ca="1">H105*('Updated Population'!I$103/'Updated Population'!H$103)</f>
        <v>3.0642400840224835</v>
      </c>
      <c r="J105" s="1">
        <f ca="1">I105*('Updated Population'!J$103/'Updated Population'!I$103)</f>
        <v>3.0499799613517418</v>
      </c>
      <c r="K105" s="1">
        <f ca="1">J105*('Updated Population'!K$103/'Updated Population'!J$103)</f>
        <v>3.0294052738629333</v>
      </c>
    </row>
    <row r="106" spans="1:11" x14ac:dyDescent="0.25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OFFSET(Nelson_Reference,15,5)</f>
        <v>100.83257542</v>
      </c>
      <c r="D106" s="4">
        <f ca="1">OFFSET(Nelson_Reference,16,5)</f>
        <v>101.81833698</v>
      </c>
      <c r="E106" s="4">
        <f ca="1">OFFSET(Nelson_Reference,17,5)</f>
        <v>103.16927344</v>
      </c>
      <c r="F106" s="4">
        <f ca="1">OFFSET(Nelson_Reference,18,5)</f>
        <v>104.20274843</v>
      </c>
      <c r="G106" s="4">
        <f ca="1">OFFSET(Nelson_Reference,19,5)</f>
        <v>104.06905725999999</v>
      </c>
      <c r="H106" s="4">
        <f ca="1">OFFSET(Nelson_Reference,20,5)</f>
        <v>103.55998246999999</v>
      </c>
      <c r="I106" s="1">
        <f ca="1">H106*('Updated Population'!I$103/'Updated Population'!H$103)</f>
        <v>103.40232418970092</v>
      </c>
      <c r="J106" s="1">
        <f ca="1">I106*('Updated Population'!J$103/'Updated Population'!I$103)</f>
        <v>102.92111847900175</v>
      </c>
      <c r="K106" s="1">
        <f ca="1">J106*('Updated Population'!K$103/'Updated Population'!J$103)</f>
        <v>102.22682872118787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OFFSET(Nelson_Reference,22,5)</f>
        <v>44.984772403999997</v>
      </c>
      <c r="D107" s="4">
        <f ca="1">OFFSET(Nelson_Reference,23,5)</f>
        <v>43.940166802999997</v>
      </c>
      <c r="E107" s="4">
        <f ca="1">OFFSET(Nelson_Reference,24,5)</f>
        <v>43.231632124000001</v>
      </c>
      <c r="F107" s="4">
        <f ca="1">OFFSET(Nelson_Reference,25,5)</f>
        <v>42.000474392000001</v>
      </c>
      <c r="G107" s="4">
        <f ca="1">OFFSET(Nelson_Reference,26,5)</f>
        <v>40.636525716000001</v>
      </c>
      <c r="H107" s="4">
        <f ca="1">OFFSET(Nelson_Reference,27,5)</f>
        <v>39.177557395000001</v>
      </c>
      <c r="I107" s="1">
        <f ca="1">H107*('Updated Population'!I$103/'Updated Population'!H$103)</f>
        <v>39.117914025255288</v>
      </c>
      <c r="J107" s="1">
        <f ca="1">I107*('Updated Population'!J$103/'Updated Population'!I$103)</f>
        <v>38.9358701131179</v>
      </c>
      <c r="K107" s="1">
        <f ca="1">J107*('Updated Population'!K$103/'Updated Population'!J$103)</f>
        <v>38.67321482690835</v>
      </c>
    </row>
    <row r="108" spans="1:11" x14ac:dyDescent="0.25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OFFSET(Nelson_Reference,29,5)</f>
        <v>0.47919379670000001</v>
      </c>
      <c r="D108" s="4">
        <f ca="1">OFFSET(Nelson_Reference,30,5)</f>
        <v>0.55008980620000003</v>
      </c>
      <c r="E108" s="4">
        <f ca="1">OFFSET(Nelson_Reference,31,5)</f>
        <v>0.58919997930000001</v>
      </c>
      <c r="F108" s="4">
        <f ca="1">OFFSET(Nelson_Reference,32,5)</f>
        <v>0.60907284559999997</v>
      </c>
      <c r="G108" s="4">
        <f ca="1">OFFSET(Nelson_Reference,33,5)</f>
        <v>0.60845237070000002</v>
      </c>
      <c r="H108" s="4">
        <f ca="1">OFFSET(Nelson_Reference,34,5)</f>
        <v>0.60568438430000004</v>
      </c>
      <c r="I108" s="1">
        <f ca="1">H108*('Updated Population'!I$103/'Updated Population'!H$103)</f>
        <v>0.60476229879790555</v>
      </c>
      <c r="J108" s="1">
        <f ca="1">I108*('Updated Population'!J$103/'Updated Population'!I$103)</f>
        <v>0.60194790295063993</v>
      </c>
      <c r="K108" s="1">
        <f ca="1">J108*('Updated Population'!K$103/'Updated Population'!J$103)</f>
        <v>0.59788725660388031</v>
      </c>
    </row>
    <row r="109" spans="1:11" x14ac:dyDescent="0.25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OFFSET(Nelson_Reference,36,5)</f>
        <v>1.5298356796999999</v>
      </c>
      <c r="D109" s="4">
        <f ca="1">OFFSET(Nelson_Reference,37,5)</f>
        <v>1.5526989294</v>
      </c>
      <c r="E109" s="4">
        <f ca="1">OFFSET(Nelson_Reference,38,5)</f>
        <v>1.5771042610999999</v>
      </c>
      <c r="F109" s="4">
        <f ca="1">OFFSET(Nelson_Reference,39,5)</f>
        <v>1.5796654539999999</v>
      </c>
      <c r="G109" s="4">
        <f ca="1">OFFSET(Nelson_Reference,40,5)</f>
        <v>1.5432043933999999</v>
      </c>
      <c r="H109" s="4">
        <f ca="1">OFFSET(Nelson_Reference,41,5)</f>
        <v>1.5012740930999999</v>
      </c>
      <c r="I109" s="1">
        <f ca="1">H109*('Updated Population'!I$103/'Updated Population'!H$103)</f>
        <v>1.4989885742525604</v>
      </c>
      <c r="J109" s="1">
        <f ca="1">I109*('Updated Population'!J$103/'Updated Population'!I$103)</f>
        <v>1.4920126975703321</v>
      </c>
      <c r="K109" s="1">
        <f ca="1">J109*('Updated Population'!K$103/'Updated Population'!J$103)</f>
        <v>1.4819478134167199</v>
      </c>
    </row>
    <row r="110" spans="1:11" x14ac:dyDescent="0.25">
      <c r="A110" t="str">
        <f ca="1">OFFSET(Nelson_Reference,42,2)</f>
        <v>Local Train</v>
      </c>
      <c r="B110" s="4">
        <f ca="1">OFFSET(Nelson_Reference,42,5)</f>
        <v>0.1284956481</v>
      </c>
      <c r="C110" s="4">
        <f ca="1">OFFSET(Nelson_Reference,43,5)</f>
        <v>0.1134896059</v>
      </c>
      <c r="D110" s="4">
        <f ca="1">OFFSET(Nelson_Reference,44,5)</f>
        <v>9.4112662700000002E-2</v>
      </c>
      <c r="E110" s="4">
        <f ca="1">OFFSET(Nelson_Reference,45,5)</f>
        <v>7.0660532299999995E-2</v>
      </c>
      <c r="F110" s="4">
        <f ca="1">OFFSET(Nelson_Reference,46,5)</f>
        <v>5.7692273000000002E-2</v>
      </c>
      <c r="G110" s="4">
        <f ca="1">OFFSET(Nelson_Reference,47,5)</f>
        <v>5.1121848499999997E-2</v>
      </c>
      <c r="H110" s="4">
        <f ca="1">OFFSET(Nelson_Reference,48,5)</f>
        <v>4.2699806700000002E-2</v>
      </c>
      <c r="I110" s="1">
        <f ca="1">H110*('Updated Population'!I$103/'Updated Population'!H$103)</f>
        <v>4.2634801106788599E-2</v>
      </c>
      <c r="J110" s="1">
        <f ca="1">I110*('Updated Population'!J$103/'Updated Population'!I$103)</f>
        <v>4.2436390578515837E-2</v>
      </c>
      <c r="K110" s="1">
        <f ca="1">J110*('Updated Population'!K$103/'Updated Population'!J$103)</f>
        <v>4.215012132908804E-2</v>
      </c>
    </row>
    <row r="111" spans="1:11" x14ac:dyDescent="0.25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OFFSET(Nelson_Reference,50,5)</f>
        <v>1.9501721902</v>
      </c>
      <c r="D111" s="4">
        <f ca="1">OFFSET(Nelson_Reference,51,5)</f>
        <v>1.866246732</v>
      </c>
      <c r="E111" s="4">
        <f ca="1">OFFSET(Nelson_Reference,52,5)</f>
        <v>1.8701886668000001</v>
      </c>
      <c r="F111" s="4">
        <f ca="1">OFFSET(Nelson_Reference,53,5)</f>
        <v>1.7695148225999999</v>
      </c>
      <c r="G111" s="4">
        <f ca="1">OFFSET(Nelson_Reference,54,5)</f>
        <v>1.7795549256000001</v>
      </c>
      <c r="H111" s="4">
        <f ca="1">OFFSET(Nelson_Reference,55,5)</f>
        <v>1.7863552908</v>
      </c>
      <c r="I111" s="1">
        <f ca="1">H111*('Updated Population'!I$103/'Updated Population'!H$103)</f>
        <v>1.7836357682930097</v>
      </c>
      <c r="J111" s="1">
        <f ca="1">I111*('Updated Population'!J$103/'Updated Population'!I$103)</f>
        <v>1.7753352225921677</v>
      </c>
      <c r="K111" s="1">
        <f ca="1">J111*('Updated Population'!K$103/'Updated Population'!J$103)</f>
        <v>1.7633590890255328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OFFSET(Nelson_Reference,57,5)</f>
        <v>1.4846608834999999</v>
      </c>
      <c r="D113" s="4">
        <f ca="1">OFFSET(Nelson_Reference,58,5)</f>
        <v>1.4770050393</v>
      </c>
      <c r="E113" s="4">
        <f ca="1">OFFSET(Nelson_Reference,59,5)</f>
        <v>1.5121176313</v>
      </c>
      <c r="F113" s="4">
        <f ca="1">OFFSET(Nelson_Reference,60,5)</f>
        <v>1.5299452587</v>
      </c>
      <c r="G113" s="4">
        <f ca="1">OFFSET(Nelson_Reference,61,5)</f>
        <v>1.5753644444999999</v>
      </c>
      <c r="H113" s="4">
        <f ca="1">OFFSET(Nelson_Reference,62,5)</f>
        <v>1.6032982712999999</v>
      </c>
      <c r="I113" s="1">
        <f ca="1">H113*('Updated Population'!I$103/'Updated Population'!H$103)</f>
        <v>1.6008574322593707</v>
      </c>
      <c r="J113" s="1">
        <f ca="1">I113*('Updated Population'!J$103/'Updated Population'!I$103)</f>
        <v>1.5934074861923446</v>
      </c>
      <c r="K113" s="1">
        <f ca="1">J113*('Updated Population'!K$103/'Updated Population'!J$103)</f>
        <v>1.5826586086632588</v>
      </c>
    </row>
    <row r="114" spans="1:11" x14ac:dyDescent="0.25">
      <c r="A114" t="str">
        <f ca="1">OFFSET(West_Coast_Reference,0,0)</f>
        <v>12 WEST COAST</v>
      </c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OFFSET(West_Coast_Reference,1,5)</f>
        <v>4.8971719419999999</v>
      </c>
      <c r="D115" s="4">
        <f ca="1">OFFSET(West_Coast_Reference,2,5)</f>
        <v>4.4243053725000001</v>
      </c>
      <c r="E115" s="4">
        <f ca="1">OFFSET(West_Coast_Reference,3,5)</f>
        <v>4.0880509228999999</v>
      </c>
      <c r="F115" s="4">
        <f ca="1">OFFSET(West_Coast_Reference,4,5)</f>
        <v>3.7489539073999998</v>
      </c>
      <c r="G115" s="4">
        <f ca="1">OFFSET(West_Coast_Reference,5,5)</f>
        <v>3.4247532602000001</v>
      </c>
      <c r="H115" s="4">
        <f ca="1">OFFSET(West_Coast_Reference,6,5)</f>
        <v>3.1530552308000002</v>
      </c>
      <c r="I115" s="1">
        <f ca="1">H115*('Updated Population'!I$114/'Updated Population'!H$114)</f>
        <v>3.0719668198039516</v>
      </c>
      <c r="J115" s="1">
        <f ca="1">I115*('Updated Population'!J$114/'Updated Population'!I$114)</f>
        <v>2.9834366731866315</v>
      </c>
      <c r="K115" s="1">
        <f ca="1">J115*('Updated Population'!K$114/'Updated Population'!J$114)</f>
        <v>2.8912310278792037</v>
      </c>
    </row>
    <row r="116" spans="1:11" x14ac:dyDescent="0.25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OFFSET(West_Coast_Reference,8,5)</f>
        <v>0.7045123807</v>
      </c>
      <c r="D116" s="4">
        <f ca="1">OFFSET(West_Coast_Reference,9,5)</f>
        <v>0.65592883639999999</v>
      </c>
      <c r="E116" s="4">
        <f ca="1">OFFSET(West_Coast_Reference,10,5)</f>
        <v>0.6304516885</v>
      </c>
      <c r="F116" s="4">
        <f ca="1">OFFSET(West_Coast_Reference,11,5)</f>
        <v>0.581820051</v>
      </c>
      <c r="G116" s="4">
        <f ca="1">OFFSET(West_Coast_Reference,12,5)</f>
        <v>0.5422196105</v>
      </c>
      <c r="H116" s="4">
        <f ca="1">OFFSET(West_Coast_Reference,13,5)</f>
        <v>0.50170419190000004</v>
      </c>
      <c r="I116" s="1">
        <f ca="1">H116*('Updated Population'!I$114/'Updated Population'!H$114)</f>
        <v>0.48880165999576008</v>
      </c>
      <c r="J116" s="1">
        <f ca="1">I116*('Updated Population'!J$114/'Updated Population'!I$114)</f>
        <v>0.47471502261828485</v>
      </c>
      <c r="K116" s="1">
        <f ca="1">J116*('Updated Population'!K$114/'Updated Population'!J$114)</f>
        <v>0.460043551495388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OFFSET(West_Coast_Reference,15,5)</f>
        <v>20.953896258</v>
      </c>
      <c r="D117" s="4">
        <f ca="1">OFFSET(West_Coast_Reference,16,5)</f>
        <v>19.757387843</v>
      </c>
      <c r="E117" s="4">
        <f ca="1">OFFSET(West_Coast_Reference,17,5)</f>
        <v>19.190715725</v>
      </c>
      <c r="F117" s="4">
        <f ca="1">OFFSET(West_Coast_Reference,18,5)</f>
        <v>18.305491980999999</v>
      </c>
      <c r="G117" s="4">
        <f ca="1">OFFSET(West_Coast_Reference,19,5)</f>
        <v>17.691253008</v>
      </c>
      <c r="H117" s="4">
        <f ca="1">OFFSET(West_Coast_Reference,20,5)</f>
        <v>17.053718071999999</v>
      </c>
      <c r="I117" s="1">
        <f ca="1">H117*('Updated Population'!I$114/'Updated Population'!H$114)</f>
        <v>16.615140629231192</v>
      </c>
      <c r="J117" s="1">
        <f ca="1">I117*('Updated Population'!J$114/'Updated Population'!I$114)</f>
        <v>16.136313570784285</v>
      </c>
      <c r="K117" s="1">
        <f ca="1">J117*('Updated Population'!K$114/'Updated Population'!J$114)</f>
        <v>15.637607089413599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OFFSET(West_Coast_Reference,22,5)</f>
        <v>10.306065443</v>
      </c>
      <c r="D118" s="4">
        <f ca="1">OFFSET(West_Coast_Reference,23,5)</f>
        <v>9.3868131552000005</v>
      </c>
      <c r="E118" s="4">
        <f ca="1">OFFSET(West_Coast_Reference,24,5)</f>
        <v>8.8977334607999996</v>
      </c>
      <c r="F118" s="4">
        <f ca="1">OFFSET(West_Coast_Reference,25,5)</f>
        <v>8.2339480200999997</v>
      </c>
      <c r="G118" s="4">
        <f ca="1">OFFSET(West_Coast_Reference,26,5)</f>
        <v>7.5332235138000003</v>
      </c>
      <c r="H118" s="4">
        <f ca="1">OFFSET(West_Coast_Reference,27,5)</f>
        <v>6.8546224590999998</v>
      </c>
      <c r="I118" s="1">
        <f ca="1">H118*('Updated Population'!I$114/'Updated Population'!H$114)</f>
        <v>6.6783393297222693</v>
      </c>
      <c r="J118" s="1">
        <f ca="1">I118*('Updated Population'!J$114/'Updated Population'!I$114)</f>
        <v>6.4858781494096966</v>
      </c>
      <c r="K118" s="1">
        <f ca="1">J118*('Updated Population'!K$114/'Updated Population'!J$114)</f>
        <v>6.2854265743766318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OFFSET(West_Coast_Reference,29,5)</f>
        <v>0.34684764379999999</v>
      </c>
      <c r="D119" s="4">
        <f ca="1">OFFSET(West_Coast_Reference,30,5)</f>
        <v>0.37321370780000002</v>
      </c>
      <c r="E119" s="4">
        <f ca="1">OFFSET(West_Coast_Reference,31,5)</f>
        <v>0.37145374310000001</v>
      </c>
      <c r="F119" s="4">
        <f ca="1">OFFSET(West_Coast_Reference,32,5)</f>
        <v>0.35109570880000002</v>
      </c>
      <c r="G119" s="4">
        <f ca="1">OFFSET(West_Coast_Reference,33,5)</f>
        <v>0.33488629180000001</v>
      </c>
      <c r="H119" s="4">
        <f ca="1">OFFSET(West_Coast_Reference,34,5)</f>
        <v>0.31544404500000001</v>
      </c>
      <c r="I119" s="1">
        <f ca="1">H119*('Updated Population'!I$114/'Updated Population'!H$114)</f>
        <v>0.30733164147552189</v>
      </c>
      <c r="J119" s="1">
        <f ca="1">I119*('Updated Population'!J$114/'Updated Population'!I$114)</f>
        <v>0.29847473745410869</v>
      </c>
      <c r="K119" s="1">
        <f ca="1">J119*('Updated Population'!K$114/'Updated Population'!J$114)</f>
        <v>0.28925012208946421</v>
      </c>
    </row>
    <row r="120" spans="1:11" x14ac:dyDescent="0.25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OFFSET(West_Coast_Reference,36,5)</f>
        <v>6.9650529799999999E-2</v>
      </c>
      <c r="D120" s="4">
        <f ca="1">OFFSET(West_Coast_Reference,37,5)</f>
        <v>7.3824414899999996E-2</v>
      </c>
      <c r="E120" s="4">
        <f ca="1">OFFSET(West_Coast_Reference,38,5)</f>
        <v>8.0306246900000003E-2</v>
      </c>
      <c r="F120" s="4">
        <f ca="1">OFFSET(West_Coast_Reference,39,5)</f>
        <v>8.6941624199999998E-2</v>
      </c>
      <c r="G120" s="4">
        <f ca="1">OFFSET(West_Coast_Reference,40,5)</f>
        <v>9.6624051599999997E-2</v>
      </c>
      <c r="H120" s="4">
        <f ca="1">OFFSET(West_Coast_Reference,41,5)</f>
        <v>0.1033886827</v>
      </c>
      <c r="I120" s="1">
        <f ca="1">H120*('Updated Population'!I$114/'Updated Population'!H$114)</f>
        <v>0.10072979366018113</v>
      </c>
      <c r="J120" s="1">
        <f ca="1">I120*('Updated Population'!J$114/'Updated Population'!I$114)</f>
        <v>9.7826890105370809E-2</v>
      </c>
      <c r="K120" s="1">
        <f ca="1">J120*('Updated Population'!K$114/'Updated Population'!J$114)</f>
        <v>9.4803466946551077E-2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OFFSET(West_Coast_Reference,43,5)</f>
        <v>0.4780004658</v>
      </c>
      <c r="D122" s="4">
        <f ca="1">OFFSET(West_Coast_Reference,44,5)</f>
        <v>0.4300318273</v>
      </c>
      <c r="E122" s="4">
        <f ca="1">OFFSET(West_Coast_Reference,45,5)</f>
        <v>0.40924305290000002</v>
      </c>
      <c r="F122" s="4">
        <f ca="1">OFFSET(West_Coast_Reference,46,5)</f>
        <v>0.37875555150000001</v>
      </c>
      <c r="G122" s="4">
        <f ca="1">OFFSET(West_Coast_Reference,47,5)</f>
        <v>0.34372816350000002</v>
      </c>
      <c r="H122" s="4">
        <f ca="1">OFFSET(West_Coast_Reference,48,5)</f>
        <v>0.31013663540000003</v>
      </c>
      <c r="I122" s="1">
        <f ca="1">H122*('Updated Population'!I$114/'Updated Population'!H$114)</f>
        <v>0.30216072469897937</v>
      </c>
      <c r="J122" s="1">
        <f ca="1">I122*('Updated Population'!J$114/'Updated Population'!I$114)</f>
        <v>0.29345283987185627</v>
      </c>
      <c r="K122" s="1">
        <f ca="1">J122*('Updated Population'!K$114/'Updated Population'!J$114)</f>
        <v>0.2843834305189234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OFFSET(West_Coast_Reference,50,5)</f>
        <v>2.6985750499999999E-2</v>
      </c>
      <c r="D124" s="4">
        <f ca="1">OFFSET(West_Coast_Reference,51,5)</f>
        <v>2.5017010100000001E-2</v>
      </c>
      <c r="E124" s="4">
        <f ca="1">OFFSET(West_Coast_Reference,52,5)</f>
        <v>2.1808722400000001E-2</v>
      </c>
      <c r="F124" s="4">
        <f ca="1">OFFSET(West_Coast_Reference,53,5)</f>
        <v>1.9668801100000001E-2</v>
      </c>
      <c r="G124" s="4">
        <f ca="1">OFFSET(West_Coast_Reference,54,5)</f>
        <v>1.9387709100000001E-2</v>
      </c>
      <c r="H124" s="4">
        <f ca="1">OFFSET(West_Coast_Reference,55,5)</f>
        <v>1.8943876799999999E-2</v>
      </c>
      <c r="I124" s="1">
        <f ca="1">H124*('Updated Population'!I$114/'Updated Population'!H$114)</f>
        <v>1.8456689372132722E-2</v>
      </c>
      <c r="J124" s="1">
        <f ca="1">I124*('Updated Population'!J$114/'Updated Population'!I$114)</f>
        <v>1.7924791239102261E-2</v>
      </c>
      <c r="K124" s="1">
        <f ca="1">J124*('Updated Population'!K$114/'Updated Population'!J$114)</f>
        <v>1.7370810335784807E-2</v>
      </c>
    </row>
    <row r="125" spans="1:11" x14ac:dyDescent="0.25">
      <c r="A125" t="str">
        <f ca="1">OFFSET(Canterbury_Reference,0,0)</f>
        <v>13 CANTERBURY</v>
      </c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OFFSET(Canterbury_Reference,1,5)</f>
        <v>137.62234237000001</v>
      </c>
      <c r="D126" s="4">
        <f ca="1">OFFSET(Canterbury_Reference,2,5)</f>
        <v>139.85934610000001</v>
      </c>
      <c r="E126" s="4">
        <f ca="1">OFFSET(Canterbury_Reference,3,5)</f>
        <v>141.32226632999999</v>
      </c>
      <c r="F126" s="4">
        <f ca="1">OFFSET(Canterbury_Reference,4,5)</f>
        <v>140.92750760999999</v>
      </c>
      <c r="G126" s="4">
        <f ca="1">OFFSET(Canterbury_Reference,5,5)</f>
        <v>139.69566753000001</v>
      </c>
      <c r="H126" s="4">
        <f ca="1">OFFSET(Canterbury_Reference,6,5)</f>
        <v>138.14709187</v>
      </c>
      <c r="I126" s="1">
        <f ca="1">H126*('Updated Population'!I$125/'Updated Population'!H$125)</f>
        <v>141.64212043381281</v>
      </c>
      <c r="J126" s="1">
        <f ca="1">I126*('Updated Population'!J$125/'Updated Population'!I$125)</f>
        <v>144.7632928559004</v>
      </c>
      <c r="K126" s="1">
        <f ca="1">J126*('Updated Population'!K$125/'Updated Population'!J$125)</f>
        <v>147.63528118502461</v>
      </c>
    </row>
    <row r="127" spans="1:11" x14ac:dyDescent="0.25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OFFSET(Canterbury_Reference,8,5)</f>
        <v>25.417578553999999</v>
      </c>
      <c r="D127" s="4">
        <f ca="1">OFFSET(Canterbury_Reference,9,5)</f>
        <v>25.42587597</v>
      </c>
      <c r="E127" s="4">
        <f ca="1">OFFSET(Canterbury_Reference,10,5)</f>
        <v>25.220827229000001</v>
      </c>
      <c r="F127" s="4">
        <f ca="1">OFFSET(Canterbury_Reference,11,5)</f>
        <v>25.083951463999998</v>
      </c>
      <c r="G127" s="4">
        <f ca="1">OFFSET(Canterbury_Reference,12,5)</f>
        <v>24.806932477</v>
      </c>
      <c r="H127" s="4">
        <f ca="1">OFFSET(Canterbury_Reference,13,5)</f>
        <v>24.561853533000001</v>
      </c>
      <c r="I127" s="1">
        <f ca="1">H127*('Updated Population'!I$125/'Updated Population'!H$125)</f>
        <v>25.183251917258449</v>
      </c>
      <c r="J127" s="1">
        <f ca="1">I127*('Updated Population'!J$125/'Updated Population'!I$125)</f>
        <v>25.738180572251018</v>
      </c>
      <c r="K127" s="1">
        <f ca="1">J127*('Updated Population'!K$125/'Updated Population'!J$125)</f>
        <v>26.248805557066589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OFFSET(Canterbury_Reference,15,5)</f>
        <v>456.88618625999999</v>
      </c>
      <c r="D128" s="4">
        <f ca="1">OFFSET(Canterbury_Reference,16,5)</f>
        <v>476.23280511000002</v>
      </c>
      <c r="E128" s="4">
        <f ca="1">OFFSET(Canterbury_Reference,17,5)</f>
        <v>499.14627985999999</v>
      </c>
      <c r="F128" s="4">
        <f ca="1">OFFSET(Canterbury_Reference,18,5)</f>
        <v>519.51235643999996</v>
      </c>
      <c r="G128" s="4">
        <f ca="1">OFFSET(Canterbury_Reference,19,5)</f>
        <v>532.90488145999996</v>
      </c>
      <c r="H128" s="4">
        <f ca="1">OFFSET(Canterbury_Reference,20,5)</f>
        <v>544.09149822999996</v>
      </c>
      <c r="I128" s="1">
        <f ca="1">H128*('Updated Population'!I$125/'Updated Population'!H$125)</f>
        <v>557.85664740470008</v>
      </c>
      <c r="J128" s="1">
        <f ca="1">I128*('Updated Population'!J$125/'Updated Population'!I$125)</f>
        <v>570.14936639270343</v>
      </c>
      <c r="K128" s="1">
        <f ca="1">J128*('Updated Population'!K$125/'Updated Population'!J$125)</f>
        <v>581.46067531524466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OFFSET(Canterbury_Reference,22,5)</f>
        <v>196.69660003000001</v>
      </c>
      <c r="D129" s="4">
        <f ca="1">OFFSET(Canterbury_Reference,23,5)</f>
        <v>197.82385070000001</v>
      </c>
      <c r="E129" s="4">
        <f ca="1">OFFSET(Canterbury_Reference,24,5)</f>
        <v>200.41244144000001</v>
      </c>
      <c r="F129" s="4">
        <f ca="1">OFFSET(Canterbury_Reference,25,5)</f>
        <v>202.04019518000001</v>
      </c>
      <c r="G129" s="4">
        <f ca="1">OFFSET(Canterbury_Reference,26,5)</f>
        <v>203.03009499999999</v>
      </c>
      <c r="H129" s="4">
        <f ca="1">OFFSET(Canterbury_Reference,27,5)</f>
        <v>203.08168089</v>
      </c>
      <c r="I129" s="1">
        <f ca="1">H129*('Updated Population'!I$125/'Updated Population'!H$125)</f>
        <v>208.21951090791731</v>
      </c>
      <c r="J129" s="1">
        <f ca="1">I129*('Updated Population'!J$125/'Updated Population'!I$125)</f>
        <v>212.80775763280337</v>
      </c>
      <c r="K129" s="1">
        <f ca="1">J129*('Updated Population'!K$125/'Updated Population'!J$125)</f>
        <v>217.02969390000948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OFFSET(Canterbury_Reference,29,5)</f>
        <v>2.4513720858000001</v>
      </c>
      <c r="D130" s="4">
        <f ca="1">OFFSET(Canterbury_Reference,30,5)</f>
        <v>2.5487065212000002</v>
      </c>
      <c r="E130" s="4">
        <f ca="1">OFFSET(Canterbury_Reference,31,5)</f>
        <v>2.6171188869000002</v>
      </c>
      <c r="F130" s="4">
        <f ca="1">OFFSET(Canterbury_Reference,32,5)</f>
        <v>2.6804354780000001</v>
      </c>
      <c r="G130" s="4">
        <f ca="1">OFFSET(Canterbury_Reference,33,5)</f>
        <v>2.6883079357000002</v>
      </c>
      <c r="H130" s="4">
        <f ca="1">OFFSET(Canterbury_Reference,34,5)</f>
        <v>2.6795537845999999</v>
      </c>
      <c r="I130" s="1">
        <f ca="1">H130*('Updated Population'!I$125/'Updated Population'!H$125)</f>
        <v>2.7473446941926718</v>
      </c>
      <c r="J130" s="1">
        <f ca="1">I130*('Updated Population'!J$125/'Updated Population'!I$125)</f>
        <v>2.807884147197329</v>
      </c>
      <c r="K130" s="1">
        <f ca="1">J130*('Updated Population'!K$125/'Updated Population'!J$125)</f>
        <v>2.8635903303131749</v>
      </c>
    </row>
    <row r="131" spans="1:11" x14ac:dyDescent="0.25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OFFSET(Canterbury_Reference,36,5)</f>
        <v>1.5664429900000001</v>
      </c>
      <c r="D131" s="4">
        <f ca="1">OFFSET(Canterbury_Reference,37,5)</f>
        <v>1.5804710229000001</v>
      </c>
      <c r="E131" s="4">
        <f ca="1">OFFSET(Canterbury_Reference,38,5)</f>
        <v>1.5938945508</v>
      </c>
      <c r="F131" s="4">
        <f ca="1">OFFSET(Canterbury_Reference,39,5)</f>
        <v>1.6165467195000001</v>
      </c>
      <c r="G131" s="4">
        <f ca="1">OFFSET(Canterbury_Reference,40,5)</f>
        <v>1.67534143</v>
      </c>
      <c r="H131" s="4">
        <f ca="1">OFFSET(Canterbury_Reference,41,5)</f>
        <v>1.7244187016000001</v>
      </c>
      <c r="I131" s="1">
        <f ca="1">H131*('Updated Population'!I$125/'Updated Population'!H$125)</f>
        <v>1.7680453356209063</v>
      </c>
      <c r="J131" s="1">
        <f ca="1">I131*('Updated Population'!J$125/'Updated Population'!I$125)</f>
        <v>1.8070053167736821</v>
      </c>
      <c r="K131" s="1">
        <f ca="1">J131*('Updated Population'!K$125/'Updated Population'!J$125)</f>
        <v>1.8428548617657632</v>
      </c>
    </row>
    <row r="132" spans="1:11" x14ac:dyDescent="0.25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2.1881727399999999E-2</v>
      </c>
      <c r="D132" s="4">
        <f ca="1">OFFSET(Canterbury_Reference,44,5)</f>
        <v>1.8407240299999999E-2</v>
      </c>
      <c r="E132" s="4">
        <f ca="1">OFFSET(Canterbury_Reference,45,5)</f>
        <v>1.69883797E-2</v>
      </c>
      <c r="F132" s="4">
        <f ca="1">OFFSET(Canterbury_Reference,46,5)</f>
        <v>1.5993343199999999E-2</v>
      </c>
      <c r="G132" s="4">
        <f ca="1">OFFSET(Canterbury_Reference,47,5)</f>
        <v>1.33864925E-2</v>
      </c>
      <c r="H132" s="4">
        <f ca="1">OFFSET(Canterbury_Reference,48,5)</f>
        <v>1.09840489E-2</v>
      </c>
      <c r="I132" s="1">
        <f ca="1">H132*('Updated Population'!I$125/'Updated Population'!H$125)</f>
        <v>1.1261937953849516E-2</v>
      </c>
      <c r="J132" s="1">
        <f ca="1">I132*('Updated Population'!J$125/'Updated Population'!I$125)</f>
        <v>1.1510101777245834E-2</v>
      </c>
      <c r="K132" s="1">
        <f ca="1">J132*('Updated Population'!K$125/'Updated Population'!J$125)</f>
        <v>1.1738453020984032E-2</v>
      </c>
    </row>
    <row r="133" spans="1:11" x14ac:dyDescent="0.25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20.614719994000001</v>
      </c>
      <c r="D133" s="4">
        <f ca="1">OFFSET(Canterbury_Reference,51,5)</f>
        <v>20.193307146999999</v>
      </c>
      <c r="E133" s="4">
        <f ca="1">OFFSET(Canterbury_Reference,52,5)</f>
        <v>19.779883885</v>
      </c>
      <c r="F133" s="4">
        <f ca="1">OFFSET(Canterbury_Reference,53,5)</f>
        <v>18.941076702</v>
      </c>
      <c r="G133" s="4">
        <f ca="1">OFFSET(Canterbury_Reference,54,5)</f>
        <v>18.141836940000001</v>
      </c>
      <c r="H133" s="4">
        <f ca="1">OFFSET(Canterbury_Reference,55,5)</f>
        <v>17.313158362999999</v>
      </c>
      <c r="I133" s="1">
        <f ca="1">H133*('Updated Population'!I$125/'Updated Population'!H$125)</f>
        <v>17.751169631926608</v>
      </c>
      <c r="J133" s="1">
        <f ca="1">I133*('Updated Population'!J$125/'Updated Population'!I$125)</f>
        <v>18.142327720673645</v>
      </c>
      <c r="K133" s="1">
        <f ca="1">J133*('Updated Population'!K$125/'Updated Population'!J$125)</f>
        <v>18.502257040109527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OFFSET(Canterbury_Reference,57,5)</f>
        <v>1.6897531055999999</v>
      </c>
      <c r="D135" s="4">
        <f ca="1">OFFSET(Canterbury_Reference,58,5)</f>
        <v>1.8567256129</v>
      </c>
      <c r="E135" s="4">
        <f ca="1">OFFSET(Canterbury_Reference,59,5)</f>
        <v>2.0062104758000001</v>
      </c>
      <c r="F135" s="4">
        <f ca="1">OFFSET(Canterbury_Reference,60,5)</f>
        <v>2.0963955068</v>
      </c>
      <c r="G135" s="4">
        <f ca="1">OFFSET(Canterbury_Reference,61,5)</f>
        <v>2.1285409460000002</v>
      </c>
      <c r="H135" s="4">
        <f ca="1">OFFSET(Canterbury_Reference,62,5)</f>
        <v>2.1084795025999998</v>
      </c>
      <c r="I135" s="1">
        <f ca="1">H135*('Updated Population'!I$125/'Updated Population'!H$125)</f>
        <v>2.1618226167260315</v>
      </c>
      <c r="J135" s="1">
        <f ca="1">I135*('Updated Population'!J$125/'Updated Population'!I$125)</f>
        <v>2.2094597257449089</v>
      </c>
      <c r="K135" s="1">
        <f ca="1">J135*('Updated Population'!K$125/'Updated Population'!J$125)</f>
        <v>2.2532936453858898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OFFSET(Otago_Reference,1,5)</f>
        <v>58.399550069</v>
      </c>
      <c r="D137" s="4">
        <f ca="1">OFFSET(Otago_Reference,2,5)</f>
        <v>57.869853607000003</v>
      </c>
      <c r="E137" s="4">
        <f ca="1">OFFSET(Otago_Reference,3,5)</f>
        <v>57.315406877000001</v>
      </c>
      <c r="F137" s="4">
        <f ca="1">OFFSET(Otago_Reference,4,5)</f>
        <v>56.647576256000001</v>
      </c>
      <c r="G137" s="4">
        <f ca="1">OFFSET(Otago_Reference,5,5)</f>
        <v>55.296365457</v>
      </c>
      <c r="H137" s="4">
        <f ca="1">OFFSET(Otago_Reference,6,5)</f>
        <v>54.010862269999997</v>
      </c>
      <c r="I137" s="1">
        <f ca="1">H137*('Updated Population'!I$136/'Updated Population'!H$136)</f>
        <v>54.549817349005338</v>
      </c>
      <c r="J137" s="1">
        <f ca="1">I137*('Updated Population'!J$136/'Updated Population'!I$136)</f>
        <v>54.918776294098691</v>
      </c>
      <c r="K137" s="1">
        <f ca="1">J137*('Updated Population'!K$136/'Updated Population'!J$136)</f>
        <v>55.171408492370539</v>
      </c>
    </row>
    <row r="138" spans="1:11" x14ac:dyDescent="0.25">
      <c r="A138" t="str">
        <f ca="1">OFFSET(Otago_Reference,7,2)</f>
        <v>Cyclist</v>
      </c>
      <c r="B138" s="4">
        <f ca="1">OFFSET(Otago_Reference,7,5)</f>
        <v>4.5847179276999999</v>
      </c>
      <c r="C138" s="4">
        <f ca="1">OFFSET(Otago_Reference,8,5)</f>
        <v>4.6756519179999998</v>
      </c>
      <c r="D138" s="4">
        <f ca="1">OFFSET(Otago_Reference,9,5)</f>
        <v>4.6405959529</v>
      </c>
      <c r="E138" s="4">
        <f ca="1">OFFSET(Otago_Reference,10,5)</f>
        <v>4.4864427367999999</v>
      </c>
      <c r="F138" s="4">
        <f ca="1">OFFSET(Otago_Reference,11,5)</f>
        <v>4.4104717837000003</v>
      </c>
      <c r="G138" s="4">
        <f ca="1">OFFSET(Otago_Reference,12,5)</f>
        <v>4.3822035199</v>
      </c>
      <c r="H138" s="4">
        <f ca="1">OFFSET(Otago_Reference,13,5)</f>
        <v>4.3313108607000004</v>
      </c>
      <c r="I138" s="1">
        <f ca="1">H138*('Updated Population'!I$136/'Updated Population'!H$136)</f>
        <v>4.374531462797699</v>
      </c>
      <c r="J138" s="1">
        <f ca="1">I138*('Updated Population'!J$136/'Updated Population'!I$136)</f>
        <v>4.4041195089586083</v>
      </c>
      <c r="K138" s="1">
        <f ca="1">J138*('Updated Population'!K$136/'Updated Population'!J$136)</f>
        <v>4.4243789260119284</v>
      </c>
    </row>
    <row r="139" spans="1:11" x14ac:dyDescent="0.25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OFFSET(Otago_Reference,15,5)</f>
        <v>154.06958877</v>
      </c>
      <c r="D139" s="4">
        <f ca="1">OFFSET(Otago_Reference,16,5)</f>
        <v>156.14662668</v>
      </c>
      <c r="E139" s="4">
        <f ca="1">OFFSET(Otago_Reference,17,5)</f>
        <v>160.54822317</v>
      </c>
      <c r="F139" s="4">
        <f ca="1">OFFSET(Otago_Reference,18,5)</f>
        <v>163.89833879</v>
      </c>
      <c r="G139" s="4">
        <f ca="1">OFFSET(Otago_Reference,19,5)</f>
        <v>163.97062295999999</v>
      </c>
      <c r="H139" s="4">
        <f ca="1">OFFSET(Otago_Reference,20,5)</f>
        <v>163.47485639000001</v>
      </c>
      <c r="I139" s="1">
        <f ca="1">H139*('Updated Population'!I$136/'Updated Population'!H$136)</f>
        <v>165.10611351936447</v>
      </c>
      <c r="J139" s="1">
        <f ca="1">I139*('Updated Population'!J$136/'Updated Population'!I$136)</f>
        <v>166.22284278507078</v>
      </c>
      <c r="K139" s="1">
        <f ca="1">J139*('Updated Population'!K$136/'Updated Population'!J$136)</f>
        <v>166.9874854994479</v>
      </c>
    </row>
    <row r="140" spans="1:11" x14ac:dyDescent="0.25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OFFSET(Otago_Reference,22,5)</f>
        <v>70.097743003000005</v>
      </c>
      <c r="D140" s="4">
        <f ca="1">OFFSET(Otago_Reference,23,5)</f>
        <v>68.808064856000001</v>
      </c>
      <c r="E140" s="4">
        <f ca="1">OFFSET(Otago_Reference,24,5)</f>
        <v>67.709549449999997</v>
      </c>
      <c r="F140" s="4">
        <f ca="1">OFFSET(Otago_Reference,25,5)</f>
        <v>66.792101639999998</v>
      </c>
      <c r="G140" s="4">
        <f ca="1">OFFSET(Otago_Reference,26,5)</f>
        <v>65.273197816999996</v>
      </c>
      <c r="H140" s="4">
        <f ca="1">OFFSET(Otago_Reference,27,5)</f>
        <v>63.584000590000002</v>
      </c>
      <c r="I140" s="1">
        <f ca="1">H140*('Updated Population'!I$136/'Updated Population'!H$136)</f>
        <v>64.218482592715475</v>
      </c>
      <c r="J140" s="1">
        <f ca="1">I140*('Updated Population'!J$136/'Updated Population'!I$136)</f>
        <v>64.652837550153961</v>
      </c>
      <c r="K140" s="1">
        <f ca="1">J140*('Updated Population'!K$136/'Updated Population'!J$136)</f>
        <v>64.950247463064997</v>
      </c>
    </row>
    <row r="141" spans="1:11" x14ac:dyDescent="0.25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OFFSET(Otago_Reference,29,5)</f>
        <v>0.84517777959999996</v>
      </c>
      <c r="D141" s="4">
        <f ca="1">OFFSET(Otago_Reference,30,5)</f>
        <v>0.8174161311</v>
      </c>
      <c r="E141" s="4">
        <f ca="1">OFFSET(Otago_Reference,31,5)</f>
        <v>0.80638240490000002</v>
      </c>
      <c r="F141" s="4">
        <f ca="1">OFFSET(Otago_Reference,32,5)</f>
        <v>0.80308993309999999</v>
      </c>
      <c r="G141" s="4">
        <f ca="1">OFFSET(Otago_Reference,33,5)</f>
        <v>0.75440099650000003</v>
      </c>
      <c r="H141" s="4">
        <f ca="1">OFFSET(Otago_Reference,34,5)</f>
        <v>0.70172077150000001</v>
      </c>
      <c r="I141" s="1">
        <f ca="1">H141*('Updated Population'!I$136/'Updated Population'!H$136)</f>
        <v>0.70872299212652645</v>
      </c>
      <c r="J141" s="1">
        <f ca="1">I141*('Updated Population'!J$136/'Updated Population'!I$136)</f>
        <v>0.71351658631705173</v>
      </c>
      <c r="K141" s="1">
        <f ca="1">J141*('Updated Population'!K$136/'Updated Population'!J$136)</f>
        <v>0.71679883832389535</v>
      </c>
    </row>
    <row r="142" spans="1:11" x14ac:dyDescent="0.25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OFFSET(Otago_Reference,36,5)</f>
        <v>2.1317228518000002</v>
      </c>
      <c r="D142" s="4">
        <f ca="1">OFFSET(Otago_Reference,37,5)</f>
        <v>2.0779205309000002</v>
      </c>
      <c r="E142" s="4">
        <f ca="1">OFFSET(Otago_Reference,38,5)</f>
        <v>2.0121532861000002</v>
      </c>
      <c r="F142" s="4">
        <f ca="1">OFFSET(Otago_Reference,39,5)</f>
        <v>1.8890060949</v>
      </c>
      <c r="G142" s="4">
        <f ca="1">OFFSET(Otago_Reference,40,5)</f>
        <v>1.7327841992999999</v>
      </c>
      <c r="H142" s="4">
        <f ca="1">OFFSET(Otago_Reference,41,5)</f>
        <v>1.5760467905</v>
      </c>
      <c r="I142" s="1">
        <f ca="1">H142*('Updated Population'!I$136/'Updated Population'!H$136)</f>
        <v>1.5917735977900558</v>
      </c>
      <c r="J142" s="1">
        <f ca="1">I142*('Updated Population'!J$136/'Updated Population'!I$136)</f>
        <v>1.6025398869548861</v>
      </c>
      <c r="K142" s="1">
        <f ca="1">J142*('Updated Population'!K$136/'Updated Population'!J$136)</f>
        <v>1.6099117404771075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OFFSET(Otago_Reference,43,5)</f>
        <v>4.0484617910000003</v>
      </c>
      <c r="D144" s="4">
        <f ca="1">OFFSET(Otago_Reference,44,5)</f>
        <v>3.8607801174</v>
      </c>
      <c r="E144" s="4">
        <f ca="1">OFFSET(Otago_Reference,45,5)</f>
        <v>3.6869357593999998</v>
      </c>
      <c r="F144" s="4">
        <f ca="1">OFFSET(Otago_Reference,46,5)</f>
        <v>3.5434761765</v>
      </c>
      <c r="G144" s="4">
        <f ca="1">OFFSET(Otago_Reference,47,5)</f>
        <v>3.3237590398000001</v>
      </c>
      <c r="H144" s="4">
        <f ca="1">OFFSET(Otago_Reference,48,5)</f>
        <v>3.1055821776000001</v>
      </c>
      <c r="I144" s="1">
        <f ca="1">H144*('Updated Population'!I$136/'Updated Population'!H$136)</f>
        <v>3.1365716715191829</v>
      </c>
      <c r="J144" s="1">
        <f ca="1">I144*('Updated Population'!J$136/'Updated Population'!I$136)</f>
        <v>3.1577865211992346</v>
      </c>
      <c r="K144" s="1">
        <f ca="1">J144*('Updated Population'!K$136/'Updated Population'!J$136)</f>
        <v>3.1723126742630186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OFFSET(Otago_Reference,50,5)</f>
        <v>0.80259287879999996</v>
      </c>
      <c r="D146" s="4">
        <f ca="1">OFFSET(Otago_Reference,51,5)</f>
        <v>0.82863269260000005</v>
      </c>
      <c r="E146" s="4">
        <f ca="1">OFFSET(Otago_Reference,52,5)</f>
        <v>0.80969802790000001</v>
      </c>
      <c r="F146" s="4">
        <f ca="1">OFFSET(Otago_Reference,53,5)</f>
        <v>0.76624665739999998</v>
      </c>
      <c r="G146" s="4">
        <f ca="1">OFFSET(Otago_Reference,54,5)</f>
        <v>0.71957924100000004</v>
      </c>
      <c r="H146" s="4">
        <f ca="1">OFFSET(Otago_Reference,55,5)</f>
        <v>0.68044632699999996</v>
      </c>
      <c r="I146" s="1">
        <f ca="1">H146*('Updated Population'!I$136/'Updated Population'!H$136)</f>
        <v>0.68723625755311535</v>
      </c>
      <c r="J146" s="1">
        <f ca="1">I146*('Updated Population'!J$136/'Updated Population'!I$136)</f>
        <v>0.69188452178092075</v>
      </c>
      <c r="K146" s="1">
        <f ca="1">J146*('Updated Population'!K$136/'Updated Population'!J$136)</f>
        <v>0.69506726399556407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OFFSET(Southland_Reference,1,5)</f>
        <v>12.67176645</v>
      </c>
      <c r="D148" s="4">
        <f ca="1">OFFSET(Southland_Reference,2,5)</f>
        <v>12.663797343000001</v>
      </c>
      <c r="E148" s="4">
        <f ca="1">OFFSET(Southland_Reference,3,5)</f>
        <v>12.670142465</v>
      </c>
      <c r="F148" s="4">
        <f ca="1">OFFSET(Southland_Reference,4,5)</f>
        <v>12.474967664999999</v>
      </c>
      <c r="G148" s="4">
        <f ca="1">OFFSET(Southland_Reference,5,5)</f>
        <v>12.128150967</v>
      </c>
      <c r="H148" s="4">
        <f ca="1">OFFSET(Southland_Reference,6,5)</f>
        <v>11.720346974</v>
      </c>
      <c r="I148" s="1">
        <f ca="1">H148*('Updated Population'!I$147/'Updated Population'!H$147)</f>
        <v>11.56334589677985</v>
      </c>
      <c r="J148" s="1">
        <f ca="1">I148*('Updated Population'!J$147/'Updated Population'!I$147)</f>
        <v>11.372132887625087</v>
      </c>
      <c r="K148" s="1">
        <f ca="1">J148*('Updated Population'!K$147/'Updated Population'!J$147)</f>
        <v>11.160046487845158</v>
      </c>
    </row>
    <row r="149" spans="1:11" x14ac:dyDescent="0.25">
      <c r="A149" t="str">
        <f ca="1">OFFSET(Southland_Reference,7,2)</f>
        <v>Cyclist</v>
      </c>
      <c r="B149" s="4">
        <f ca="1">OFFSET(Southland_Reference,7,5)</f>
        <v>1.0312878256</v>
      </c>
      <c r="C149" s="4">
        <f ca="1">OFFSET(Southland_Reference,8,5)</f>
        <v>1.0678761439</v>
      </c>
      <c r="D149" s="4">
        <f ca="1">OFFSET(Southland_Reference,9,5)</f>
        <v>1.0571378150999999</v>
      </c>
      <c r="E149" s="4">
        <f ca="1">OFFSET(Southland_Reference,10,5)</f>
        <v>1.0495408874000001</v>
      </c>
      <c r="F149" s="4">
        <f ca="1">OFFSET(Southland_Reference,11,5)</f>
        <v>1.0461178603000001</v>
      </c>
      <c r="G149" s="4">
        <f ca="1">OFFSET(Southland_Reference,12,5)</f>
        <v>0.99486649149999995</v>
      </c>
      <c r="H149" s="4">
        <f ca="1">OFFSET(Southland_Reference,13,5)</f>
        <v>0.9388032207</v>
      </c>
      <c r="I149" s="1">
        <f ca="1">H149*('Updated Population'!I$147/'Updated Population'!H$147)</f>
        <v>0.92622738849344355</v>
      </c>
      <c r="J149" s="1">
        <f ca="1">I149*('Updated Population'!J$147/'Updated Population'!I$147)</f>
        <v>0.91091117053228143</v>
      </c>
      <c r="K149" s="1">
        <f ca="1">J149*('Updated Population'!K$147/'Updated Population'!J$147)</f>
        <v>0.89392298787678848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OFFSET(Southland_Reference,15,5)</f>
        <v>70.112909492</v>
      </c>
      <c r="D150" s="4">
        <f ca="1">OFFSET(Southland_Reference,16,5)</f>
        <v>70.759873339999999</v>
      </c>
      <c r="E150" s="4">
        <f ca="1">OFFSET(Southland_Reference,17,5)</f>
        <v>70.966477205000004</v>
      </c>
      <c r="F150" s="4">
        <f ca="1">OFFSET(Southland_Reference,18,5)</f>
        <v>71.481983447000005</v>
      </c>
      <c r="G150" s="4">
        <f ca="1">OFFSET(Southland_Reference,19,5)</f>
        <v>71.423208333999995</v>
      </c>
      <c r="H150" s="4">
        <f ca="1">OFFSET(Southland_Reference,20,5)</f>
        <v>71.149409809000005</v>
      </c>
      <c r="I150" s="1">
        <f ca="1">H150*('Updated Population'!I$147/'Updated Population'!H$147)</f>
        <v>70.196320791382092</v>
      </c>
      <c r="J150" s="1">
        <f ca="1">I150*('Updated Population'!J$147/'Updated Population'!I$147)</f>
        <v>69.035545194947574</v>
      </c>
      <c r="K150" s="1">
        <f ca="1">J150*('Updated Population'!K$147/'Updated Population'!J$147)</f>
        <v>67.748055822292272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OFFSET(Southland_Reference,22,5)</f>
        <v>27.396659457999998</v>
      </c>
      <c r="D151" s="4">
        <f ca="1">OFFSET(Southland_Reference,23,5)</f>
        <v>26.305720794999999</v>
      </c>
      <c r="E151" s="4">
        <f ca="1">OFFSET(Southland_Reference,24,5)</f>
        <v>25.438521776999998</v>
      </c>
      <c r="F151" s="4">
        <f ca="1">OFFSET(Southland_Reference,25,5)</f>
        <v>24.483691946</v>
      </c>
      <c r="G151" s="4">
        <f ca="1">OFFSET(Southland_Reference,26,5)</f>
        <v>23.394720917000001</v>
      </c>
      <c r="H151" s="4">
        <f ca="1">OFFSET(Southland_Reference,27,5)</f>
        <v>22.192092045999999</v>
      </c>
      <c r="I151" s="1">
        <f ca="1">H151*('Updated Population'!I$147/'Updated Population'!H$147)</f>
        <v>21.894815662909988</v>
      </c>
      <c r="J151" s="1">
        <f ca="1">I151*('Updated Population'!J$147/'Updated Population'!I$147)</f>
        <v>21.53276011037655</v>
      </c>
      <c r="K151" s="1">
        <f ca="1">J151*('Updated Population'!K$147/'Updated Population'!J$147)</f>
        <v>21.131181478271031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OFFSET(Southland_Reference,29,5)</f>
        <v>0.51371038000000002</v>
      </c>
      <c r="D152" s="4">
        <f ca="1">OFFSET(Southland_Reference,30,5)</f>
        <v>0.53979895960000002</v>
      </c>
      <c r="E152" s="4">
        <f ca="1">OFFSET(Southland_Reference,31,5)</f>
        <v>0.56861664270000001</v>
      </c>
      <c r="F152" s="4">
        <f ca="1">OFFSET(Southland_Reference,32,5)</f>
        <v>0.59786038919999995</v>
      </c>
      <c r="G152" s="4">
        <f ca="1">OFFSET(Southland_Reference,33,5)</f>
        <v>0.61516664320000003</v>
      </c>
      <c r="H152" s="4">
        <f ca="1">OFFSET(Southland_Reference,34,5)</f>
        <v>0.6312855799</v>
      </c>
      <c r="I152" s="1">
        <f ca="1">H152*('Updated Population'!I$147/'Updated Population'!H$147)</f>
        <v>0.62282913093157666</v>
      </c>
      <c r="J152" s="1">
        <f ca="1">I152*('Updated Population'!J$147/'Updated Population'!I$147)</f>
        <v>0.61252994647599124</v>
      </c>
      <c r="K152" s="1">
        <f ca="1">J152*('Updated Population'!K$147/'Updated Population'!J$147)</f>
        <v>0.60110647188338862</v>
      </c>
    </row>
    <row r="153" spans="1:11" x14ac:dyDescent="0.25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OFFSET(Southland_Reference,36,5)</f>
        <v>0.71660772880000001</v>
      </c>
      <c r="D153" s="4">
        <f ca="1">OFFSET(Southland_Reference,37,5)</f>
        <v>0.77492171639999996</v>
      </c>
      <c r="E153" s="4">
        <f ca="1">OFFSET(Southland_Reference,38,5)</f>
        <v>0.80018142670000003</v>
      </c>
      <c r="F153" s="4">
        <f ca="1">OFFSET(Southland_Reference,39,5)</f>
        <v>0.79735258929999997</v>
      </c>
      <c r="G153" s="4">
        <f ca="1">OFFSET(Southland_Reference,40,5)</f>
        <v>0.77753435680000005</v>
      </c>
      <c r="H153" s="4">
        <f ca="1">OFFSET(Southland_Reference,41,5)</f>
        <v>0.75092029660000004</v>
      </c>
      <c r="I153" s="1">
        <f ca="1">H153*('Updated Population'!I$147/'Updated Population'!H$147)</f>
        <v>0.74086126884815884</v>
      </c>
      <c r="J153" s="1">
        <f ca="1">I153*('Updated Population'!J$147/'Updated Population'!I$147)</f>
        <v>0.72861028943033113</v>
      </c>
      <c r="K153" s="1">
        <f ca="1">J153*('Updated Population'!K$147/'Updated Population'!J$147)</f>
        <v>0.71502195603193708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OFFSET(Southland_Reference,43,5)</f>
        <v>2.6551243567</v>
      </c>
      <c r="D155" s="4">
        <f ca="1">OFFSET(Southland_Reference,44,5)</f>
        <v>2.6689157474999998</v>
      </c>
      <c r="E155" s="4">
        <f ca="1">OFFSET(Southland_Reference,45,5)</f>
        <v>2.6985388819999998</v>
      </c>
      <c r="F155" s="4">
        <f ca="1">OFFSET(Southland_Reference,46,5)</f>
        <v>2.6112309028</v>
      </c>
      <c r="G155" s="4">
        <f ca="1">OFFSET(Southland_Reference,47,5)</f>
        <v>2.5084083733</v>
      </c>
      <c r="H155" s="4">
        <f ca="1">OFFSET(Southland_Reference,48,5)</f>
        <v>2.3877639885000002</v>
      </c>
      <c r="I155" s="1">
        <f ca="1">H155*('Updated Population'!I$147/'Updated Population'!H$147)</f>
        <v>2.3557784577666863</v>
      </c>
      <c r="J155" s="1">
        <f ca="1">I155*('Updated Population'!J$147/'Updated Population'!I$147)</f>
        <v>2.3168229952359858</v>
      </c>
      <c r="K155" s="1">
        <f ca="1">J155*('Updated Population'!K$147/'Updated Population'!J$147)</f>
        <v>2.2736150365493923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OFFSET(Southland_Reference,50,5)</f>
        <v>0.47517348720000002</v>
      </c>
      <c r="D157" s="4">
        <f ca="1">OFFSET(Southland_Reference,51,5)</f>
        <v>0.50390403630000002</v>
      </c>
      <c r="E157" s="4">
        <f ca="1">OFFSET(Southland_Reference,52,5)</f>
        <v>0.53310958269999997</v>
      </c>
      <c r="F157" s="4">
        <f ca="1">OFFSET(Southland_Reference,53,5)</f>
        <v>0.5597393598</v>
      </c>
      <c r="G157" s="4">
        <f ca="1">OFFSET(Southland_Reference,54,5)</f>
        <v>0.56431983669999997</v>
      </c>
      <c r="H157" s="4">
        <f ca="1">OFFSET(Southland_Reference,55,5)</f>
        <v>0.55784474849999999</v>
      </c>
      <c r="I157" s="1">
        <f ca="1">H157*('Updated Population'!I$147/'Updated Population'!H$147)</f>
        <v>0.55037208351573008</v>
      </c>
      <c r="J157" s="1">
        <f ca="1">I157*('Updated Population'!J$147/'Updated Population'!I$147)</f>
        <v>0.54127105832948819</v>
      </c>
      <c r="K157" s="1">
        <f ca="1">J157*('Updated Population'!K$147/'Updated Population'!J$147)</f>
        <v>0.531176537697295</v>
      </c>
    </row>
    <row r="158" spans="1:11" x14ac:dyDescent="0.25">
      <c r="A158" t="s">
        <v>12</v>
      </c>
      <c r="I158" s="1"/>
      <c r="J158" s="1"/>
      <c r="K158" s="1"/>
    </row>
    <row r="159" spans="1:11" x14ac:dyDescent="0.25">
      <c r="A159" t="str">
        <f t="shared" ref="A159:A168" ca="1" si="0">A5</f>
        <v>Pedestrian</v>
      </c>
      <c r="B159" s="4">
        <f ca="1">B5+B16+B27+B38+B49+B60+B71+B82+B93+B104+B115+B126+B137+B148</f>
        <v>986.56972308989998</v>
      </c>
      <c r="C159" s="4">
        <f t="shared" ref="C159:K168" ca="1" si="1">C5+C16+C27+C38+C49+C60+C71+C82+C93+C104+C115+C126+C137+C148</f>
        <v>1035.9448363469999</v>
      </c>
      <c r="D159" s="4">
        <f t="shared" ca="1" si="1"/>
        <v>1063.7147467355001</v>
      </c>
      <c r="E159" s="4">
        <f t="shared" ca="1" si="1"/>
        <v>1083.0964980609001</v>
      </c>
      <c r="F159" s="4">
        <f t="shared" ca="1" si="1"/>
        <v>1093.0770859643999</v>
      </c>
      <c r="G159" s="4">
        <f t="shared" ca="1" si="1"/>
        <v>1097.4831449132</v>
      </c>
      <c r="H159" s="4">
        <f t="shared" ca="1" si="1"/>
        <v>1097.1452183153001</v>
      </c>
      <c r="I159" s="1">
        <f t="shared" ca="1" si="1"/>
        <v>1122.259089852211</v>
      </c>
      <c r="J159" s="1">
        <f t="shared" ca="1" si="1"/>
        <v>1144.6484566773274</v>
      </c>
      <c r="K159" s="1">
        <f t="shared" ca="1" si="1"/>
        <v>1165.3350224231854</v>
      </c>
    </row>
    <row r="160" spans="1:11" x14ac:dyDescent="0.25">
      <c r="A160" t="str">
        <f t="shared" ca="1" si="0"/>
        <v>Cyclist</v>
      </c>
      <c r="B160" s="4">
        <f t="shared" ref="B160:H160" ca="1" si="2">B6+B17+B28+B39+B50+B61+B72+B83+B94+B105+B116+B127+B138+B149</f>
        <v>71.074316198400012</v>
      </c>
      <c r="C160" s="4">
        <f t="shared" ca="1" si="2"/>
        <v>73.862825935099991</v>
      </c>
      <c r="D160" s="4">
        <f t="shared" ca="1" si="2"/>
        <v>74.634304921400002</v>
      </c>
      <c r="E160" s="4">
        <f t="shared" ca="1" si="2"/>
        <v>74.753261128199995</v>
      </c>
      <c r="F160" s="4">
        <f t="shared" ca="1" si="2"/>
        <v>74.858253653399998</v>
      </c>
      <c r="G160" s="4">
        <f t="shared" ca="1" si="2"/>
        <v>74.927552513100011</v>
      </c>
      <c r="H160" s="4">
        <f t="shared" ca="1" si="2"/>
        <v>74.926757306999988</v>
      </c>
      <c r="I160" s="1">
        <f t="shared" ca="1" si="1"/>
        <v>76.224574969546552</v>
      </c>
      <c r="J160" s="1">
        <f t="shared" ca="1" si="1"/>
        <v>77.316607428703989</v>
      </c>
      <c r="K160" s="1">
        <f t="shared" ca="1" si="1"/>
        <v>78.274467754745999</v>
      </c>
    </row>
    <row r="161" spans="1:11" x14ac:dyDescent="0.25">
      <c r="A161" t="str">
        <f t="shared" ca="1" si="0"/>
        <v>Light Vehicle Driver</v>
      </c>
      <c r="B161" s="4">
        <f t="shared" ref="B161:H161" ca="1" si="3">B7+B18+B29+B40+B51+B62+B73+B84+B95+B106+B117+B128+B139+B150</f>
        <v>3093.3887589700003</v>
      </c>
      <c r="C161" s="4">
        <f t="shared" ca="1" si="3"/>
        <v>3332.033913066</v>
      </c>
      <c r="D161" s="4">
        <f t="shared" ca="1" si="3"/>
        <v>3474.2300941629992</v>
      </c>
      <c r="E161" s="4">
        <f t="shared" ca="1" si="3"/>
        <v>3628.1415783459993</v>
      </c>
      <c r="F161" s="4">
        <f t="shared" ca="1" si="3"/>
        <v>3768.214355268</v>
      </c>
      <c r="G161" s="4">
        <f t="shared" ca="1" si="3"/>
        <v>3869.6668347430004</v>
      </c>
      <c r="H161" s="4">
        <f t="shared" ca="1" si="3"/>
        <v>3953.1580600940001</v>
      </c>
      <c r="I161" s="1">
        <f t="shared" ca="1" si="1"/>
        <v>4042.3035880053326</v>
      </c>
      <c r="J161" s="1">
        <f t="shared" ca="1" si="1"/>
        <v>4121.6372381334941</v>
      </c>
      <c r="K161" s="1">
        <f t="shared" ca="1" si="1"/>
        <v>4194.8466093060233</v>
      </c>
    </row>
    <row r="162" spans="1:11" x14ac:dyDescent="0.25">
      <c r="A162" t="str">
        <f t="shared" ca="1" si="0"/>
        <v>Light Vehicle Passenger</v>
      </c>
      <c r="B162" s="4">
        <f t="shared" ref="B162:H162" ca="1" si="4">B8+B19+B30+B41+B52+B63+B74+B85+B96+B107+B118+B129+B140+B151</f>
        <v>1512.9377645669999</v>
      </c>
      <c r="C162" s="4">
        <f t="shared" ca="1" si="4"/>
        <v>1553.2250788629999</v>
      </c>
      <c r="D162" s="4">
        <f t="shared" ca="1" si="4"/>
        <v>1573.7360473262004</v>
      </c>
      <c r="E162" s="4">
        <f t="shared" ca="1" si="4"/>
        <v>1596.0255537707999</v>
      </c>
      <c r="F162" s="4">
        <f t="shared" ca="1" si="4"/>
        <v>1614.4930459951001</v>
      </c>
      <c r="G162" s="4">
        <f t="shared" ca="1" si="4"/>
        <v>1622.8530824128002</v>
      </c>
      <c r="H162" s="4">
        <f t="shared" ca="1" si="4"/>
        <v>1622.5852114071001</v>
      </c>
      <c r="I162" s="1">
        <f t="shared" ca="1" si="1"/>
        <v>1660.1575389358602</v>
      </c>
      <c r="J162" s="1">
        <f t="shared" ca="1" si="1"/>
        <v>1693.7441565139563</v>
      </c>
      <c r="K162" s="1">
        <f t="shared" ca="1" si="1"/>
        <v>1724.8540791090275</v>
      </c>
    </row>
    <row r="163" spans="1:11" x14ac:dyDescent="0.25">
      <c r="A163" t="str">
        <f t="shared" ca="1" si="0"/>
        <v>Taxi/Vehicle Share</v>
      </c>
      <c r="B163" s="4">
        <f t="shared" ref="B163:H163" ca="1" si="5">B9+B20+B31+B42+B53+B64+B75+B86+B97+B108+B119+B130+B141+B152</f>
        <v>15.600131729099999</v>
      </c>
      <c r="C163" s="4">
        <f t="shared" ca="1" si="5"/>
        <v>17.588967151400002</v>
      </c>
      <c r="D163" s="4">
        <f t="shared" ca="1" si="5"/>
        <v>19.075933799000001</v>
      </c>
      <c r="E163" s="4">
        <f t="shared" ca="1" si="5"/>
        <v>20.322278322599999</v>
      </c>
      <c r="F163" s="4">
        <f t="shared" ca="1" si="5"/>
        <v>21.376734924100003</v>
      </c>
      <c r="G163" s="4">
        <f t="shared" ca="1" si="5"/>
        <v>22.124835509299995</v>
      </c>
      <c r="H163" s="4">
        <f t="shared" ca="1" si="5"/>
        <v>22.809770975300001</v>
      </c>
      <c r="I163" s="1">
        <f t="shared" ca="1" si="1"/>
        <v>23.394544769517637</v>
      </c>
      <c r="J163" s="1">
        <f t="shared" ca="1" si="1"/>
        <v>23.926879239254678</v>
      </c>
      <c r="K163" s="1">
        <f t="shared" ca="1" si="1"/>
        <v>24.427740856778062</v>
      </c>
    </row>
    <row r="164" spans="1:11" x14ac:dyDescent="0.25">
      <c r="A164" t="str">
        <f t="shared" ca="1" si="0"/>
        <v>Motorcyclist</v>
      </c>
      <c r="B164" s="4">
        <f t="shared" ref="B164:H164" ca="1" si="6">B10+B21+B32+B43+B54+B65+B76+B87+B98+B109+B120+B131+B142+B153</f>
        <v>19.272283824500001</v>
      </c>
      <c r="C164" s="4">
        <f t="shared" ca="1" si="6"/>
        <v>20.161640012599996</v>
      </c>
      <c r="D164" s="4">
        <f t="shared" ca="1" si="6"/>
        <v>20.510276198599996</v>
      </c>
      <c r="E164" s="4">
        <f t="shared" ca="1" si="6"/>
        <v>20.889871646700001</v>
      </c>
      <c r="F164" s="4">
        <f t="shared" ca="1" si="6"/>
        <v>21.153960488800003</v>
      </c>
      <c r="G164" s="4">
        <f t="shared" ca="1" si="6"/>
        <v>21.042450432499997</v>
      </c>
      <c r="H164" s="4">
        <f t="shared" ca="1" si="6"/>
        <v>20.789341366100004</v>
      </c>
      <c r="I164" s="1">
        <f t="shared" ca="1" si="1"/>
        <v>21.189548585709954</v>
      </c>
      <c r="J164" s="1">
        <f t="shared" ca="1" si="1"/>
        <v>21.53603521706393</v>
      </c>
      <c r="K164" s="1">
        <f t="shared" ca="1" si="1"/>
        <v>21.84857428382573</v>
      </c>
    </row>
    <row r="165" spans="1:11" x14ac:dyDescent="0.25">
      <c r="A165" t="str">
        <f t="shared" ca="1" si="0"/>
        <v>Local Train</v>
      </c>
      <c r="B165" s="4">
        <f t="shared" ref="B165:H165" ca="1" si="7">B11+B22+B33+B44+B55+B66+B77+B88+B99+B110+B121+B132+B143+B154</f>
        <v>21.100326668600001</v>
      </c>
      <c r="C165" s="4">
        <f t="shared" ca="1" si="7"/>
        <v>22.916808421699997</v>
      </c>
      <c r="D165" s="4">
        <f t="shared" ca="1" si="7"/>
        <v>24.034694634600001</v>
      </c>
      <c r="E165" s="4">
        <f t="shared" ca="1" si="7"/>
        <v>24.757846862000001</v>
      </c>
      <c r="F165" s="4">
        <f t="shared" ca="1" si="7"/>
        <v>25.2056979738</v>
      </c>
      <c r="G165" s="4">
        <f t="shared" ca="1" si="7"/>
        <v>25.483377302999997</v>
      </c>
      <c r="H165" s="4">
        <f t="shared" ca="1" si="7"/>
        <v>25.5951967964</v>
      </c>
      <c r="I165" s="1">
        <f t="shared" ca="1" si="1"/>
        <v>26.267255374859332</v>
      </c>
      <c r="J165" s="1">
        <f t="shared" ca="1" si="1"/>
        <v>26.879605819978792</v>
      </c>
      <c r="K165" s="1">
        <f t="shared" ca="1" si="1"/>
        <v>27.455717037668915</v>
      </c>
    </row>
    <row r="166" spans="1:11" x14ac:dyDescent="0.25">
      <c r="A166" t="str">
        <f t="shared" ca="1" si="0"/>
        <v>Local Bus</v>
      </c>
      <c r="B166" s="4">
        <f t="shared" ref="B166:H166" ca="1" si="8">B12+B23+B34+B45+B56+B67+B78+B89+B100+B111+B122+B133+B144+B155</f>
        <v>137.43780974689997</v>
      </c>
      <c r="C166" s="4">
        <f t="shared" ca="1" si="8"/>
        <v>140.90379260239996</v>
      </c>
      <c r="D166" s="4">
        <f t="shared" ca="1" si="8"/>
        <v>141.44979652039999</v>
      </c>
      <c r="E166" s="4">
        <f t="shared" ca="1" si="8"/>
        <v>140.66964850630001</v>
      </c>
      <c r="F166" s="4">
        <f t="shared" ca="1" si="8"/>
        <v>137.5003671824</v>
      </c>
      <c r="G166" s="4">
        <f t="shared" ca="1" si="8"/>
        <v>134.09792765809999</v>
      </c>
      <c r="H166" s="4">
        <f t="shared" ca="1" si="8"/>
        <v>129.88502138760001</v>
      </c>
      <c r="I166" s="1">
        <f t="shared" ca="1" si="1"/>
        <v>133.16425832846588</v>
      </c>
      <c r="J166" s="1">
        <f t="shared" ca="1" si="1"/>
        <v>136.13489518675917</v>
      </c>
      <c r="K166" s="1">
        <f t="shared" ca="1" si="1"/>
        <v>138.91639135178642</v>
      </c>
    </row>
    <row r="167" spans="1:11" x14ac:dyDescent="0.25">
      <c r="A167" t="str">
        <f t="shared" ca="1" si="0"/>
        <v>Local Ferry</v>
      </c>
      <c r="B167" s="4">
        <f t="shared" ref="B167:H167" ca="1" si="9">B13+B24+B35+B46+B57+B68+B79+B90+B101+B112+B123+B134+B145+B156</f>
        <v>4.9488267775000008</v>
      </c>
      <c r="C167" s="4">
        <f t="shared" ca="1" si="9"/>
        <v>5.6117854156999991</v>
      </c>
      <c r="D167" s="4">
        <f t="shared" ca="1" si="9"/>
        <v>6.1289348188999995</v>
      </c>
      <c r="E167" s="4">
        <f t="shared" ca="1" si="9"/>
        <v>6.4864697747999989</v>
      </c>
      <c r="F167" s="4">
        <f t="shared" ca="1" si="9"/>
        <v>6.7503385927000004</v>
      </c>
      <c r="G167" s="4">
        <f t="shared" ca="1" si="9"/>
        <v>7.1442921313000012</v>
      </c>
      <c r="H167" s="4">
        <f t="shared" ca="1" si="9"/>
        <v>7.4767226709000001</v>
      </c>
      <c r="I167" s="1">
        <f t="shared" ca="1" si="1"/>
        <v>7.7666882118188587</v>
      </c>
      <c r="J167" s="1">
        <f t="shared" ca="1" si="1"/>
        <v>8.0432480232412686</v>
      </c>
      <c r="K167" s="1">
        <f t="shared" ca="1" si="1"/>
        <v>8.3127865012636946</v>
      </c>
    </row>
    <row r="168" spans="1:11" x14ac:dyDescent="0.25">
      <c r="A168" t="str">
        <f t="shared" ca="1" si="0"/>
        <v>Other Household Travel</v>
      </c>
      <c r="B168" s="4">
        <f t="shared" ref="B168:H168" ca="1" si="10">B14+B25+B36+B47+B58+B69+B80+B91+B102+B113+B124+B135+B146+B157</f>
        <v>10.3599389081</v>
      </c>
      <c r="C168" s="4">
        <f t="shared" ca="1" si="10"/>
        <v>10.9818719007</v>
      </c>
      <c r="D168" s="4">
        <f t="shared" ca="1" si="10"/>
        <v>11.532224550599999</v>
      </c>
      <c r="E168" s="4">
        <f t="shared" ca="1" si="10"/>
        <v>12.028436102199999</v>
      </c>
      <c r="F168" s="4">
        <f t="shared" ca="1" si="10"/>
        <v>12.444299387900001</v>
      </c>
      <c r="G168" s="4">
        <f t="shared" ca="1" si="10"/>
        <v>12.769266185999999</v>
      </c>
      <c r="H168" s="4">
        <f t="shared" ca="1" si="10"/>
        <v>12.9163568492</v>
      </c>
      <c r="I168" s="1">
        <f t="shared" ca="1" si="1"/>
        <v>13.166326998669577</v>
      </c>
      <c r="J168" s="1">
        <f t="shared" ca="1" si="1"/>
        <v>13.382771744322696</v>
      </c>
      <c r="K168" s="1">
        <f t="shared" ca="1" si="1"/>
        <v>13.57794226541346</v>
      </c>
    </row>
    <row r="170" spans="1:11" x14ac:dyDescent="0.25">
      <c r="B170" s="4"/>
      <c r="C170" s="4"/>
      <c r="D170" s="4"/>
      <c r="E170" s="4"/>
      <c r="F170" s="4"/>
      <c r="G170" s="4"/>
      <c r="H170" s="4"/>
    </row>
    <row r="171" spans="1:11" x14ac:dyDescent="0.25">
      <c r="B171" s="4"/>
      <c r="C171" s="4"/>
      <c r="D171" s="4"/>
      <c r="E171" s="4"/>
      <c r="F171" s="4"/>
      <c r="G171" s="4"/>
      <c r="H171" s="4"/>
    </row>
    <row r="172" spans="1:11" x14ac:dyDescent="0.25">
      <c r="B172" s="4"/>
      <c r="C172" s="4"/>
      <c r="D172" s="4"/>
      <c r="E172" s="4"/>
      <c r="F172" s="4"/>
      <c r="G172" s="4"/>
      <c r="H172" s="4"/>
    </row>
    <row r="173" spans="1:11" x14ac:dyDescent="0.25">
      <c r="B173" s="4"/>
      <c r="C173" s="4"/>
      <c r="D173" s="4"/>
      <c r="E173" s="4"/>
      <c r="F173" s="4"/>
      <c r="G173" s="4"/>
      <c r="H173" s="4"/>
    </row>
    <row r="174" spans="1:11" x14ac:dyDescent="0.25">
      <c r="B174" s="4"/>
      <c r="C174" s="4"/>
      <c r="D174" s="4"/>
      <c r="E174" s="4"/>
      <c r="F174" s="4"/>
      <c r="G174" s="4"/>
      <c r="H174" s="4"/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1" spans="2:8" x14ac:dyDescent="0.25">
      <c r="B181" s="4"/>
      <c r="C181" s="4"/>
      <c r="D181" s="4"/>
      <c r="E181" s="4"/>
      <c r="F181" s="4"/>
      <c r="G181" s="4"/>
      <c r="H181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02"/>
  <sheetViews>
    <sheetView topLeftCell="A63" workbookViewId="0">
      <selection activeCell="K182" sqref="K182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70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B159*'Total Distance Tables Sup #1'!B5*(1+'Other Assumptions'!D$44)*(1+'Active Mode Assumptions'!B9)</f>
        <v>17.849116999</v>
      </c>
      <c r="C5" s="4">
        <f ca="1">C159*'Total Distance Tables Sup #1'!C5*(1+'Other Assumptions'!G$44)*(1+'Active Mode Assumptions'!C9)</f>
        <v>18.767226236114464</v>
      </c>
      <c r="D5" s="4">
        <f ca="1">D159*'Total Distance Tables Sup #1'!D5*(1+'Other Assumptions'!H$44)*(1+'Active Mode Assumptions'!D9)</f>
        <v>20.291577888308879</v>
      </c>
      <c r="E5" s="4">
        <f ca="1">E159*'Total Distance Tables Sup #1'!E5*(1+'Other Assumptions'!I$44)*(1+'Active Mode Assumptions'!E9)</f>
        <v>21.483983549718808</v>
      </c>
      <c r="F5" s="4">
        <f ca="1">F159*'Total Distance Tables Sup #1'!F5*(1+'Other Assumptions'!J$44)*(1+'Active Mode Assumptions'!F9)</f>
        <v>22.406057002806783</v>
      </c>
      <c r="G5" s="4">
        <f ca="1">G159*'Total Distance Tables Sup #1'!G5*(1+'Other Assumptions'!K$44)*(1+'Active Mode Assumptions'!G9)</f>
        <v>23.224637609220522</v>
      </c>
      <c r="H5" s="4">
        <f ca="1">H159*'Total Distance Tables Sup #1'!H5*(1+'Other Assumptions'!L$44)*(1+'Active Mode Assumptions'!H9)</f>
        <v>23.90847607705016</v>
      </c>
      <c r="I5" s="1">
        <f ca="1">I159*'Total Distance Tables Sup #1'!I5*(1+'Other Assumptions'!M$44)*(1+'Active Mode Assumptions'!I9)</f>
        <v>23.993334875152701</v>
      </c>
      <c r="J5" s="1">
        <f ca="1">J159*'Total Distance Tables Sup #1'!J5*(1+'Other Assumptions'!N$44)*(1+'Active Mode Assumptions'!J9)</f>
        <v>24.002187653056286</v>
      </c>
      <c r="K5" s="1">
        <f ca="1">K159*'Total Distance Tables Sup #1'!K5*(1+'Other Assumptions'!O$44)*(1+'Active Mode Assumptions'!K9)</f>
        <v>23.959780257933598</v>
      </c>
    </row>
    <row r="6" spans="1:11" x14ac:dyDescent="0.25">
      <c r="A6" t="str">
        <f ca="1">OFFSET(Northland_Reference,7,2)</f>
        <v>Cyclist</v>
      </c>
      <c r="B6" s="4">
        <f ca="1">B160*'Total Distance Tables Sup #1'!B6*(1+'Other Assumptions'!D$44)*(1+'Active Mode Assumptions'!B18)</f>
        <v>1.0072239942000001</v>
      </c>
      <c r="C6" s="4">
        <f ca="1">C160*'Total Distance Tables Sup #1'!C6*(1+'Other Assumptions'!G$44)*(1+'Active Mode Assumptions'!C18)</f>
        <v>1.0961271310404386</v>
      </c>
      <c r="D6" s="4">
        <f ca="1">D160*'Total Distance Tables Sup #1'!D6*(1+'Other Assumptions'!H$44)*(1+'Active Mode Assumptions'!D18)</f>
        <v>1.5882903765152652</v>
      </c>
      <c r="E6" s="4">
        <f ca="1">E160*'Total Distance Tables Sup #1'!E6*(1+'Other Assumptions'!I$44)*(1+'Active Mode Assumptions'!E18)</f>
        <v>2.0637005897739966</v>
      </c>
      <c r="F6" s="4">
        <f ca="1">F160*'Total Distance Tables Sup #1'!F6*(1+'Other Assumptions'!J$44)*(1+'Active Mode Assumptions'!F18)</f>
        <v>2.5723890343799867</v>
      </c>
      <c r="G6" s="4">
        <f ca="1">G160*'Total Distance Tables Sup #1'!G6*(1+'Other Assumptions'!K$44)*(1+'Active Mode Assumptions'!G18)</f>
        <v>3.1387298424584</v>
      </c>
      <c r="H6" s="4">
        <f ca="1">H160*'Total Distance Tables Sup #1'!H6*(1+'Other Assumptions'!L$44)*(1+'Active Mode Assumptions'!H18)</f>
        <v>3.7322381023877482</v>
      </c>
      <c r="I6" s="1">
        <f ca="1">I160*'Total Distance Tables Sup #1'!I6*(1+'Other Assumptions'!M$44)*(1+'Active Mode Assumptions'!I18)</f>
        <v>3.7630820800573894</v>
      </c>
      <c r="J6" s="1">
        <f ca="1">J160*'Total Distance Tables Sup #1'!J6*(1+'Other Assumptions'!N$44)*(1+'Active Mode Assumptions'!J18)</f>
        <v>3.7823290036573289</v>
      </c>
      <c r="K6" s="1">
        <f ca="1">K160*'Total Distance Tables Sup #1'!K6*(1+'Other Assumptions'!O$44)*(1+'Active Mode Assumptions'!K18)</f>
        <v>3.7937260613731683</v>
      </c>
    </row>
    <row r="7" spans="1:11" x14ac:dyDescent="0.25">
      <c r="A7" t="str">
        <f ca="1">OFFSET(Northland_Reference,14,2)</f>
        <v>Light Vehicle Driver</v>
      </c>
      <c r="B7" s="4">
        <f ca="1">B161*'Total Distance Tables Sup #1'!B7*(1+'Other Assumptions'!D$44)-(B5*'Active Mode Assumptions'!B9*'Active Mode Assumptions'!B14/(1+'Active Mode Assumptions'!B9))-(B6*'Active Mode Assumptions'!B18*'Active Mode Assumptions'!B23/(1+'Active Mode Assumptions'!B18))</f>
        <v>1011.4273062</v>
      </c>
      <c r="C7" s="4">
        <f ca="1">C161*'Total Distance Tables Sup #1'!C7*(1+'Other Assumptions'!G$44)-(C5*'Active Mode Assumptions'!C9*'Active Mode Assumptions'!C14/(1+'Active Mode Assumptions'!C9))-(C6*'Active Mode Assumptions'!C18*'Active Mode Assumptions'!C23/(1+'Active Mode Assumptions'!C18))</f>
        <v>1100.7217232881153</v>
      </c>
      <c r="D7" s="4">
        <f ca="1">D161*'Total Distance Tables Sup #1'!D7*(1+'Other Assumptions'!H$44)-(D5*'Active Mode Assumptions'!D9*'Active Mode Assumptions'!D14/(1+'Active Mode Assumptions'!D9))-(D6*'Active Mode Assumptions'!D18*'Active Mode Assumptions'!D23/(1+'Active Mode Assumptions'!D18))</f>
        <v>1147.710610488765</v>
      </c>
      <c r="E7" s="4">
        <f ca="1">E161*'Total Distance Tables Sup #1'!E7*(1+'Other Assumptions'!I$44)-(E5*'Active Mode Assumptions'!E9*'Active Mode Assumptions'!E14/(1+'Active Mode Assumptions'!E9))-(E6*'Active Mode Assumptions'!E18*'Active Mode Assumptions'!E23/(1+'Active Mode Assumptions'!E18))</f>
        <v>1187.810367114801</v>
      </c>
      <c r="F7" s="4">
        <f ca="1">F161*'Total Distance Tables Sup #1'!F7*(1+'Other Assumptions'!J$44)-(F5*'Active Mode Assumptions'!F9*'Active Mode Assumptions'!F14/(1+'Active Mode Assumptions'!F9))-(F6*'Active Mode Assumptions'!F18*'Active Mode Assumptions'!F23/(1+'Active Mode Assumptions'!F18))</f>
        <v>1219.0300219640073</v>
      </c>
      <c r="G7" s="4">
        <f ca="1">G161*'Total Distance Tables Sup #1'!G7*(1+'Other Assumptions'!K$44)-(G5*'Active Mode Assumptions'!G9*'Active Mode Assumptions'!G14/(1+'Active Mode Assumptions'!G9))-(G6*'Active Mode Assumptions'!G18*'Active Mode Assumptions'!G23/(1+'Active Mode Assumptions'!G18))</f>
        <v>1235.493572969975</v>
      </c>
      <c r="H7" s="4">
        <f ca="1">H161*'Total Distance Tables Sup #1'!H7*(1+'Other Assumptions'!L$44)-(H5*'Active Mode Assumptions'!H9*'Active Mode Assumptions'!H14/(1+'Active Mode Assumptions'!H9))-(H6*'Active Mode Assumptions'!H18*'Active Mode Assumptions'!H23/(1+'Active Mode Assumptions'!H18))</f>
        <v>1244.8674223827393</v>
      </c>
      <c r="I7" s="1">
        <f ca="1">I161*'Total Distance Tables Sup #1'!I7*(1+'Other Assumptions'!M$44)-(I5*'Active Mode Assumptions'!I9*'Active Mode Assumptions'!I14/(1+'Active Mode Assumptions'!I9))-(I6*'Active Mode Assumptions'!I18*'Active Mode Assumptions'!I23/(1+'Active Mode Assumptions'!I18))</f>
        <v>1251.7115212612182</v>
      </c>
      <c r="J7" s="1">
        <f ca="1">J161*'Total Distance Tables Sup #1'!J7*(1+'Other Assumptions'!N$44)-(J5*'Active Mode Assumptions'!J9*'Active Mode Assumptions'!J14/(1+'Active Mode Assumptions'!J9))-(J6*'Active Mode Assumptions'!J18*'Active Mode Assumptions'!J23/(1+'Active Mode Assumptions'!J18))</f>
        <v>1254.5967806365747</v>
      </c>
      <c r="K7" s="1">
        <f ca="1">K161*'Total Distance Tables Sup #1'!K7*(1+'Other Assumptions'!O$44)-(K5*'Active Mode Assumptions'!K9*'Active Mode Assumptions'!K14/(1+'Active Mode Assumptions'!K9))-(K6*'Active Mode Assumptions'!K18*'Active Mode Assumptions'!K23/(1+'Active Mode Assumptions'!K18))</f>
        <v>1254.7955902987089</v>
      </c>
    </row>
    <row r="8" spans="1:11" x14ac:dyDescent="0.25">
      <c r="A8" t="str">
        <f ca="1">OFFSET(Northland_Reference,21,2)</f>
        <v>Light Vehicle Passenger</v>
      </c>
      <c r="B8" s="4">
        <f ca="1">B162*'Total Distance Tables Sup #1'!B8*(1+'Other Assumptions'!D$44)-(B5*'Active Mode Assumptions'!B9*'Active Mode Assumptions'!B15/(1+'Active Mode Assumptions'!B9))-(B6*'Active Mode Assumptions'!B18*'Active Mode Assumptions'!B24/(1+'Active Mode Assumptions'!B18))</f>
        <v>666.23785996000004</v>
      </c>
      <c r="C8" s="4">
        <f ca="1">C162*'Total Distance Tables Sup #1'!C8*(1+'Other Assumptions'!G$44)-(C5*'Active Mode Assumptions'!C9*'Active Mode Assumptions'!C15/(1+'Active Mode Assumptions'!C9))-(C6*'Active Mode Assumptions'!C18*'Active Mode Assumptions'!C24/(1+'Active Mode Assumptions'!C18))</f>
        <v>697.54273977354603</v>
      </c>
      <c r="D8" s="4">
        <f ca="1">D162*'Total Distance Tables Sup #1'!D8*(1+'Other Assumptions'!H$44)-(D5*'Active Mode Assumptions'!D9*'Active Mode Assumptions'!D15/(1+'Active Mode Assumptions'!D9))-(D6*'Active Mode Assumptions'!D18*'Active Mode Assumptions'!D24/(1+'Active Mode Assumptions'!D18))</f>
        <v>711.71771149172048</v>
      </c>
      <c r="E8" s="4">
        <f ca="1">E162*'Total Distance Tables Sup #1'!E8*(1+'Other Assumptions'!I$44)-(E5*'Active Mode Assumptions'!E9*'Active Mode Assumptions'!E15/(1+'Active Mode Assumptions'!E9))-(E6*'Active Mode Assumptions'!E18*'Active Mode Assumptions'!E24/(1+'Active Mode Assumptions'!E18))</f>
        <v>721.45424694305996</v>
      </c>
      <c r="F8" s="4">
        <f ca="1">F162*'Total Distance Tables Sup #1'!F8*(1+'Other Assumptions'!J$44)-(F5*'Active Mode Assumptions'!F9*'Active Mode Assumptions'!F15/(1+'Active Mode Assumptions'!F9))-(F6*'Active Mode Assumptions'!F18*'Active Mode Assumptions'!F24/(1+'Active Mode Assumptions'!F18))</f>
        <v>724.09051014161719</v>
      </c>
      <c r="G8" s="4">
        <f ca="1">G162*'Total Distance Tables Sup #1'!G8*(1+'Other Assumptions'!K$44)-(G5*'Active Mode Assumptions'!G9*'Active Mode Assumptions'!G15/(1+'Active Mode Assumptions'!G9))-(G6*'Active Mode Assumptions'!G18*'Active Mode Assumptions'!G24/(1+'Active Mode Assumptions'!G18))</f>
        <v>720.90850430769603</v>
      </c>
      <c r="H8" s="4">
        <f ca="1">H162*'Total Distance Tables Sup #1'!H8*(1+'Other Assumptions'!L$44)-(H5*'Active Mode Assumptions'!H9*'Active Mode Assumptions'!H15/(1+'Active Mode Assumptions'!H9))-(H6*'Active Mode Assumptions'!H18*'Active Mode Assumptions'!H24/(1+'Active Mode Assumptions'!H18))</f>
        <v>713.49376853189915</v>
      </c>
      <c r="I8" s="1">
        <f ca="1">I162*'Total Distance Tables Sup #1'!I8*(1+'Other Assumptions'!M$44)-(I5*'Active Mode Assumptions'!I9*'Active Mode Assumptions'!I15/(1+'Active Mode Assumptions'!I9))-(I6*'Active Mode Assumptions'!I18*'Active Mode Assumptions'!I24/(1+'Active Mode Assumptions'!I18))</f>
        <v>718.20984900362885</v>
      </c>
      <c r="J8" s="1">
        <f ca="1">J162*'Total Distance Tables Sup #1'!J8*(1+'Other Assumptions'!N$44)-(J5*'Active Mode Assumptions'!J9*'Active Mode Assumptions'!J15/(1+'Active Mode Assumptions'!J9))-(J6*'Active Mode Assumptions'!J18*'Active Mode Assumptions'!J24/(1+'Active Mode Assumptions'!J18))</f>
        <v>720.66404548330809</v>
      </c>
      <c r="K8" s="1">
        <f ca="1">K162*'Total Distance Tables Sup #1'!K8*(1+'Other Assumptions'!O$44)-(K5*'Active Mode Assumptions'!K9*'Active Mode Assumptions'!K15/(1+'Active Mode Assumptions'!K9))-(K6*'Active Mode Assumptions'!K18*'Active Mode Assumptions'!K24/(1+'Active Mode Assumptions'!K18))</f>
        <v>721.58009871445813</v>
      </c>
    </row>
    <row r="9" spans="1:11" x14ac:dyDescent="0.25">
      <c r="A9" t="str">
        <f ca="1">OFFSET(Northland_Reference,28,2)</f>
        <v>Taxi/Vehicle Share</v>
      </c>
      <c r="B9" s="4">
        <f ca="1">B163*'Total Distance Tables Sup #1'!B9*(1+'Other Assumptions'!D$44)</f>
        <v>0.75976041549999995</v>
      </c>
      <c r="C9" s="4">
        <f ca="1">C163*'Total Distance Tables Sup #1'!C9*(1+'Other Assumptions'!G$44)</f>
        <v>0.8617410004730689</v>
      </c>
      <c r="D9" s="4">
        <f ca="1">D163*'Total Distance Tables Sup #1'!D9*(1+'Other Assumptions'!H$44)</f>
        <v>0.94481287775548894</v>
      </c>
      <c r="E9" s="4">
        <f ca="1">E163*'Total Distance Tables Sup #1'!E9*(1+'Other Assumptions'!I$44)</f>
        <v>1.0183444741172938</v>
      </c>
      <c r="F9" s="4">
        <f ca="1">F163*'Total Distance Tables Sup #1'!F9*(1+'Other Assumptions'!J$44)</f>
        <v>1.0772402978308857</v>
      </c>
      <c r="G9" s="4">
        <f ca="1">G163*'Total Distance Tables Sup #1'!G9*(1+'Other Assumptions'!K$44)</f>
        <v>1.1166011536222811</v>
      </c>
      <c r="H9" s="4">
        <f ca="1">H163*'Total Distance Tables Sup #1'!H9*(1+'Other Assumptions'!L$44)</f>
        <v>1.1501147915889203</v>
      </c>
      <c r="I9" s="1">
        <f ca="1">I163*'Total Distance Tables Sup #1'!I9*(1+'Other Assumptions'!M$44)</f>
        <v>1.1531927110542328</v>
      </c>
      <c r="J9" s="1">
        <f ca="1">J163*'Total Distance Tables Sup #1'!J9*(1+'Other Assumptions'!N$44)</f>
        <v>1.1525912848927846</v>
      </c>
      <c r="K9" s="1">
        <f ca="1">K163*'Total Distance Tables Sup #1'!K9*(1+'Other Assumptions'!O$44)</f>
        <v>1.1495090147874985</v>
      </c>
    </row>
    <row r="10" spans="1:11" x14ac:dyDescent="0.25">
      <c r="A10" t="str">
        <f ca="1">OFFSET(Northland_Reference,35,2)</f>
        <v>Motorcyclist</v>
      </c>
      <c r="B10" s="4">
        <f ca="1">B164*'Total Distance Tables Sup #1'!B10*(1+'Other Assumptions'!D$44)</f>
        <v>9.2423909657000003</v>
      </c>
      <c r="C10" s="4">
        <f ca="1">C164*'Total Distance Tables Sup #1'!C10*(1+'Other Assumptions'!G$44)</f>
        <v>10.060223522479673</v>
      </c>
      <c r="D10" s="4">
        <f ca="1">D164*'Total Distance Tables Sup #1'!D10*(1+'Other Assumptions'!H$44)</f>
        <v>10.481694481717982</v>
      </c>
      <c r="E10" s="4">
        <f ca="1">E164*'Total Distance Tables Sup #1'!E10*(1+'Other Assumptions'!I$44)</f>
        <v>10.663508061365253</v>
      </c>
      <c r="F10" s="4">
        <f ca="1">F164*'Total Distance Tables Sup #1'!F10*(1+'Other Assumptions'!J$44)</f>
        <v>10.703956029117174</v>
      </c>
      <c r="G10" s="4">
        <f ca="1">G164*'Total Distance Tables Sup #1'!G10*(1+'Other Assumptions'!K$44)</f>
        <v>10.536617711075795</v>
      </c>
      <c r="H10" s="4">
        <f ca="1">H164*'Total Distance Tables Sup #1'!H10*(1+'Other Assumptions'!L$44)</f>
        <v>10.304895651045236</v>
      </c>
      <c r="I10" s="1">
        <f ca="1">I164*'Total Distance Tables Sup #1'!I10*(1+'Other Assumptions'!M$44)</f>
        <v>10.425571959938052</v>
      </c>
      <c r="J10" s="1">
        <f ca="1">J164*'Total Distance Tables Sup #1'!J10*(1+'Other Assumptions'!N$44)</f>
        <v>10.514490936852701</v>
      </c>
      <c r="K10" s="1">
        <f ca="1">K164*'Total Distance Tables Sup #1'!K10*(1+'Other Assumptions'!O$44)</f>
        <v>10.581753700362061</v>
      </c>
    </row>
    <row r="11" spans="1:11" x14ac:dyDescent="0.25">
      <c r="A11" t="str">
        <f ca="1">OFFSET(Auckland_Reference,42,2)</f>
        <v>Local Train</v>
      </c>
      <c r="B11" s="4">
        <f ca="1">B165*'Total Distance Tables Sup #1'!B11*(1+'Other Assumptions'!D$44)</f>
        <v>0</v>
      </c>
      <c r="C11" s="4">
        <f ca="1">C165*'Total Distance Tables Sup #1'!C11*(1+'Other Assumptions'!G$44)</f>
        <v>0</v>
      </c>
      <c r="D11" s="4">
        <f ca="1">D165*'Total Distance Tables Sup #1'!D11*(1+'Other Assumptions'!H$44)</f>
        <v>0</v>
      </c>
      <c r="E11" s="4">
        <f ca="1">E165*'Total Distance Tables Sup #1'!E11*(1+'Other Assumptions'!I$44)</f>
        <v>0</v>
      </c>
      <c r="F11" s="4">
        <f ca="1">F165*'Total Distance Tables Sup #1'!F11*(1+'Other Assumptions'!J$44)</f>
        <v>0</v>
      </c>
      <c r="G11" s="4">
        <f ca="1">G165*'Total Distance Tables Sup #1'!G11*(1+'Other Assumptions'!K$44)</f>
        <v>0</v>
      </c>
      <c r="H11" s="4">
        <f ca="1">H165*'Total Distance Tables Sup #1'!H11*(1+'Other Assumptions'!L$44)</f>
        <v>0</v>
      </c>
      <c r="I11" s="1">
        <f ca="1">I165*'Total Distance Tables Sup #1'!I11*(1+'Other Assumptions'!M$44)</f>
        <v>0</v>
      </c>
      <c r="J11" s="1">
        <f ca="1">J165*'Total Distance Tables Sup #1'!J11*(1+'Other Assumptions'!N$44)</f>
        <v>0</v>
      </c>
      <c r="K11" s="1">
        <f ca="1">K165*'Total Distance Tables Sup #1'!K11*(1+'Other Assumptions'!O$44)</f>
        <v>0</v>
      </c>
    </row>
    <row r="12" spans="1:11" x14ac:dyDescent="0.25">
      <c r="A12" t="str">
        <f ca="1">OFFSET(Northland_Reference,42,2)</f>
        <v>Local Bus</v>
      </c>
      <c r="B12" s="4">
        <f ca="1">B166*'Total Distance Tables Sup #1'!B12*(1+'Other Assumptions'!D$44)</f>
        <v>44.734594063999999</v>
      </c>
      <c r="C12" s="4">
        <f ca="1">C166*'Total Distance Tables Sup #1'!C12*(1+'Other Assumptions'!G$44)</f>
        <v>43.384731572267668</v>
      </c>
      <c r="D12" s="4">
        <f ca="1">D166*'Total Distance Tables Sup #1'!D12*(1+'Other Assumptions'!H$44)</f>
        <v>42.233675441070901</v>
      </c>
      <c r="E12" s="4">
        <f ca="1">E166*'Total Distance Tables Sup #1'!E12*(1+'Other Assumptions'!I$44)</f>
        <v>41.360656839606634</v>
      </c>
      <c r="F12" s="4">
        <f ca="1">F166*'Total Distance Tables Sup #1'!F12*(1+'Other Assumptions'!J$44)</f>
        <v>39.739708775500226</v>
      </c>
      <c r="G12" s="4">
        <f ca="1">G166*'Total Distance Tables Sup #1'!G12*(1+'Other Assumptions'!K$44)</f>
        <v>38.572297591238886</v>
      </c>
      <c r="H12" s="4">
        <f ca="1">H166*'Total Distance Tables Sup #1'!H12*(1+'Other Assumptions'!L$44)</f>
        <v>37.265326625834454</v>
      </c>
      <c r="I12" s="1">
        <f ca="1">I166*'Total Distance Tables Sup #1'!I12*(1+'Other Assumptions'!M$44)</f>
        <v>37.515427611156191</v>
      </c>
      <c r="J12" s="1">
        <f ca="1">J166*'Total Distance Tables Sup #1'!J12*(1+'Other Assumptions'!N$44)</f>
        <v>37.64693504980508</v>
      </c>
      <c r="K12" s="1">
        <f ca="1">K166*'Total Distance Tables Sup #1'!K12*(1+'Other Assumptions'!O$44)</f>
        <v>37.697648860954558</v>
      </c>
    </row>
    <row r="13" spans="1:11" x14ac:dyDescent="0.25">
      <c r="A13" t="str">
        <f ca="1">OFFSET(Northland_Reference,49,2)</f>
        <v>Local Ferry</v>
      </c>
      <c r="B13" s="4">
        <f ca="1">B167*'Total Distance Tables Sup #1'!B13*(1+'Other Assumptions'!D$44)</f>
        <v>0</v>
      </c>
      <c r="C13" s="4">
        <f ca="1">C167*'Total Distance Tables Sup #1'!C13*(1+'Other Assumptions'!G$44)</f>
        <v>0</v>
      </c>
      <c r="D13" s="4">
        <f ca="1">D167*'Total Distance Tables Sup #1'!D13*(1+'Other Assumptions'!H$44)</f>
        <v>0</v>
      </c>
      <c r="E13" s="4">
        <f ca="1">E167*'Total Distance Tables Sup #1'!E13*(1+'Other Assumptions'!I$44)</f>
        <v>0</v>
      </c>
      <c r="F13" s="4">
        <f ca="1">F167*'Total Distance Tables Sup #1'!F13*(1+'Other Assumptions'!J$44)</f>
        <v>0</v>
      </c>
      <c r="G13" s="4">
        <f ca="1">G167*'Total Distance Tables Sup #1'!G13*(1+'Other Assumptions'!K$44)</f>
        <v>0</v>
      </c>
      <c r="H13" s="4">
        <f ca="1">H167*'Total Distance Tables Sup #1'!H13*(1+'Other Assumptions'!L$44)</f>
        <v>0</v>
      </c>
      <c r="I13" s="1">
        <f ca="1">I167*'Total Distance Tables Sup #1'!I13*(1+'Other Assumptions'!M$44)</f>
        <v>0</v>
      </c>
      <c r="J13" s="1">
        <f ca="1">J167*'Total Distance Tables Sup #1'!J13*(1+'Other Assumptions'!N$44)</f>
        <v>0</v>
      </c>
      <c r="K13" s="1">
        <f ca="1">K167*'Total Distance Tables Sup #1'!K13*(1+'Other Assumptions'!O$44)</f>
        <v>0</v>
      </c>
    </row>
    <row r="14" spans="1:11" x14ac:dyDescent="0.25">
      <c r="A14" t="str">
        <f ca="1">OFFSET(Northland_Reference,56,2)</f>
        <v>Other Household Travel</v>
      </c>
      <c r="B14" s="4">
        <f ca="1">B168*'Total Distance Tables Sup #1'!B14*(1+'Other Assumptions'!D$44)</f>
        <v>0</v>
      </c>
      <c r="C14" s="4">
        <f ca="1">C168*'Total Distance Tables Sup #1'!C14*(1+'Other Assumptions'!G$44)</f>
        <v>0</v>
      </c>
      <c r="D14" s="4">
        <f ca="1">D168*'Total Distance Tables Sup #1'!D14*(1+'Other Assumptions'!H$44)</f>
        <v>0</v>
      </c>
      <c r="E14" s="4">
        <f ca="1">E168*'Total Distance Tables Sup #1'!E14*(1+'Other Assumptions'!I$44)</f>
        <v>0</v>
      </c>
      <c r="F14" s="4">
        <f ca="1">F168*'Total Distance Tables Sup #1'!F14*(1+'Other Assumptions'!J$44)</f>
        <v>0</v>
      </c>
      <c r="G14" s="4">
        <f ca="1">G168*'Total Distance Tables Sup #1'!G14*(1+'Other Assumptions'!K$44)</f>
        <v>0</v>
      </c>
      <c r="H14" s="4">
        <f ca="1">H168*'Total Distance Tables Sup #1'!H14*(1+'Other Assumptions'!L$44)</f>
        <v>0</v>
      </c>
      <c r="I14" s="1">
        <f ca="1">I168*'Total Distance Tables Sup #1'!I14*(1+'Other Assumptions'!M$44)</f>
        <v>0</v>
      </c>
      <c r="J14" s="1">
        <f ca="1">J168*'Total Distance Tables Sup #1'!J14*(1+'Other Assumptions'!N$44)</f>
        <v>0</v>
      </c>
      <c r="K14" s="1">
        <f ca="1">K168*'Total Distance Tables Sup #1'!K14*(1+'Other Assumptions'!O$44)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(B159*'Total Distance Tables Sup #1'!B16)*(1+'Other Assumptions'!D$45)*(1+'Active Mode Assumptions'!B9)-('PT Assumptions'!B14*'Total Distance Tables Sup #2'!B170+'PT Assumptions'!B26*'Total Distance Tables Sup #2'!B173)*(1+'Other Assumptions'!D$45)</f>
        <v>294.55939388000002</v>
      </c>
      <c r="C16" s="4">
        <f ca="1">(C159*'Total Distance Tables Sup #1'!C16)*(1+'Other Assumptions'!G$45)*(1+'Active Mode Assumptions'!C9)-('PT Assumptions'!C14*'Total Distance Tables Sup #2'!C170+'PT Assumptions'!C26*'Total Distance Tables Sup #2'!C173)*(1+'Other Assumptions'!G$45)</f>
        <v>329.61879490397536</v>
      </c>
      <c r="D16" s="4">
        <f ca="1">(D159*'Total Distance Tables Sup #1'!D16)*(1+'Other Assumptions'!H$45)*(1+'Active Mode Assumptions'!D9)-('PT Assumptions'!D14*'Total Distance Tables Sup #2'!D170+'PT Assumptions'!D26*'Total Distance Tables Sup #2'!D173)*(1+'Other Assumptions'!H$45)</f>
        <v>359.86079396740388</v>
      </c>
      <c r="E16" s="56">
        <f ca="1">(E159*'Total Distance Tables Sup #1'!E16)*(1+'Other Assumptions'!I$45)*(1+'Active Mode Assumptions'!E9)-('PT Assumptions'!E14*'Total Distance Tables Sup #2'!E170+'PT Assumptions'!E26*'Total Distance Tables Sup #2'!E173)*(1+'Other Assumptions'!I$45)</f>
        <v>382.12646218105516</v>
      </c>
      <c r="F16" s="4">
        <f ca="1">(F159*'Total Distance Tables Sup #1'!F16)*(1+'Other Assumptions'!J$45)*(1+'Active Mode Assumptions'!F9)-('PT Assumptions'!F14*'Total Distance Tables Sup #2'!F170+'PT Assumptions'!F26*'Total Distance Tables Sup #2'!F173)*(1+'Other Assumptions'!J$45)</f>
        <v>402.84060152206376</v>
      </c>
      <c r="G16" s="4">
        <f ca="1">(G159*'Total Distance Tables Sup #1'!G16)*(1+'Other Assumptions'!K$45)*(1+'Active Mode Assumptions'!G9)-('PT Assumptions'!G14*'Total Distance Tables Sup #2'!G170+'PT Assumptions'!G26*'Total Distance Tables Sup #2'!G173)*(1+'Other Assumptions'!K$45)</f>
        <v>421.71837782891669</v>
      </c>
      <c r="H16" s="4">
        <f ca="1">(H159*'Total Distance Tables Sup #1'!H16)*(1+'Other Assumptions'!L$45)*(1+'Active Mode Assumptions'!H9)-('PT Assumptions'!H14*'Total Distance Tables Sup #2'!H170+'PT Assumptions'!H26*'Total Distance Tables Sup #2'!H173)*(1+'Other Assumptions'!L$45)</f>
        <v>438.24446706738598</v>
      </c>
      <c r="I16" s="1">
        <f ca="1">(I159*'Total Distance Tables Sup #1'!I16)*(1+'Other Assumptions'!M$45)*(1+'Active Mode Assumptions'!I9)-('PT Assumptions'!I14*'Total Distance Tables Sup #2'!I170+'PT Assumptions'!I26*'Total Distance Tables Sup #2'!I173)*(1+'Other Assumptions'!M$45)</f>
        <v>443.86524534623322</v>
      </c>
      <c r="J16" s="1">
        <f ca="1">(J159*'Total Distance Tables Sup #1'!J16)*(1+'Other Assumptions'!N$45)*(1+'Active Mode Assumptions'!J9)-('PT Assumptions'!J14*'Total Distance Tables Sup #2'!J170+'PT Assumptions'!J26*'Total Distance Tables Sup #2'!J173)*(1+'Other Assumptions'!N$45)</f>
        <v>447.75454483245221</v>
      </c>
      <c r="K16" s="1">
        <f ca="1">(K159*'Total Distance Tables Sup #1'!K16)*(1+'Other Assumptions'!O$45)*(1+'Active Mode Assumptions'!K9)-('PT Assumptions'!K14*'Total Distance Tables Sup #2'!K170+'PT Assumptions'!K26*'Total Distance Tables Sup #2'!K173)*(1+'Other Assumptions'!O$45)</f>
        <v>450.18533605692664</v>
      </c>
    </row>
    <row r="17" spans="1:11" x14ac:dyDescent="0.25">
      <c r="A17" t="str">
        <f ca="1">OFFSET(Auckland_Reference,7,2)</f>
        <v>Cyclist</v>
      </c>
      <c r="B17" s="4">
        <f ca="1">(B160*'Total Distance Tables Sup #1'!B17)*(1+'Other Assumptions'!D$45)*(1+'Active Mode Assumptions'!B18)-('PT Assumptions'!B15*'Total Distance Tables Sup #2'!B170+'PT Assumptions'!B27*'Total Distance Tables Sup #2'!B173)*(1+'Other Assumptions'!D$45)</f>
        <v>55.843008154000003</v>
      </c>
      <c r="C17" s="4">
        <f ca="1">(C160*'Total Distance Tables Sup #1'!C17)*(1+'Other Assumptions'!G$45)*(1+'Active Mode Assumptions'!C18)-('PT Assumptions'!C15*'Total Distance Tables Sup #2'!C170+'PT Assumptions'!C27*'Total Distance Tables Sup #2'!C173)*(1+'Other Assumptions'!G$45)</f>
        <v>64.705814009594476</v>
      </c>
      <c r="D17" s="4">
        <f ca="1">(D160*'Total Distance Tables Sup #1'!D17)*(1+'Other Assumptions'!H$45)*(1+'Active Mode Assumptions'!D18)-('PT Assumptions'!D15*'Total Distance Tables Sup #2'!D170+'PT Assumptions'!D27*'Total Distance Tables Sup #2'!D173)*(1+'Other Assumptions'!H$45)</f>
        <v>96.552015556615999</v>
      </c>
      <c r="E17" s="56">
        <f ca="1">(E160*'Total Distance Tables Sup #1'!E17)*(1+'Other Assumptions'!I$45)*(1+'Active Mode Assumptions'!E18)-('PT Assumptions'!E15*'Total Distance Tables Sup #2'!E170+'PT Assumptions'!E27*'Total Distance Tables Sup #2'!E173)*(1+'Other Assumptions'!I$45)</f>
        <v>127.84080372434669</v>
      </c>
      <c r="F17" s="4">
        <f ca="1">(F160*'Total Distance Tables Sup #1'!F17)*(1+'Other Assumptions'!J$45)*(1+'Active Mode Assumptions'!F18)-('PT Assumptions'!F15*'Total Distance Tables Sup #2'!F170+'PT Assumptions'!F27*'Total Distance Tables Sup #2'!F173)*(1+'Other Assumptions'!J$45)</f>
        <v>162.23555653561044</v>
      </c>
      <c r="G17" s="4">
        <f ca="1">(G160*'Total Distance Tables Sup #1'!G17)*(1+'Other Assumptions'!K$45)*(1+'Active Mode Assumptions'!G18)-('PT Assumptions'!G15*'Total Distance Tables Sup #2'!G170+'PT Assumptions'!G27*'Total Distance Tables Sup #2'!G173)*(1+'Other Assumptions'!K$45)</f>
        <v>201.17949042934205</v>
      </c>
      <c r="H17" s="4">
        <f ca="1">(H160*'Total Distance Tables Sup #1'!H17)*(1+'Other Assumptions'!L$45)*(1+'Active Mode Assumptions'!H18)-('PT Assumptions'!H15*'Total Distance Tables Sup #2'!H170+'PT Assumptions'!H27*'Total Distance Tables Sup #2'!H173)*(1+'Other Assumptions'!L$45)</f>
        <v>242.92538679658753</v>
      </c>
      <c r="I17" s="1">
        <f ca="1">(I160*'Total Distance Tables Sup #1'!I17)*(1+'Other Assumptions'!M$45)*(1+'Active Mode Assumptions'!I18)-('PT Assumptions'!I15*'Total Distance Tables Sup #2'!I170+'PT Assumptions'!I27*'Total Distance Tables Sup #2'!I173)*(1+'Other Assumptions'!M$45)</f>
        <v>248.60309203198204</v>
      </c>
      <c r="J17" s="1">
        <f ca="1">(J160*'Total Distance Tables Sup #1'!J17)*(1+'Other Assumptions'!N$45)*(1+'Active Mode Assumptions'!J18)-('PT Assumptions'!J15*'Total Distance Tables Sup #2'!J170+'PT Assumptions'!J27*'Total Distance Tables Sup #2'!J173)*(1+'Other Assumptions'!N$45)</f>
        <v>253.48778013144957</v>
      </c>
      <c r="K17" s="1">
        <f ca="1">(K160*'Total Distance Tables Sup #1'!K17)*(1+'Other Assumptions'!O$45)*(1+'Active Mode Assumptions'!K18)-('PT Assumptions'!K15*'Total Distance Tables Sup #2'!K170+'PT Assumptions'!K27*'Total Distance Tables Sup #2'!K173)*(1+'Other Assumptions'!O$45)</f>
        <v>257.78855928366039</v>
      </c>
    </row>
    <row r="18" spans="1:11" x14ac:dyDescent="0.25">
      <c r="A18" t="str">
        <f ca="1">OFFSET(Auckland_Reference,14,2)</f>
        <v>Light Vehicle Driver</v>
      </c>
      <c r="B18" s="4">
        <f ca="1">(B161*'Total Distance Tables Sup #1'!B18-'PT Assumptions'!B16*'Total Distance Tables Sup #2'!B170-'PT Assumptions'!B28*'Total Distance Tables Sup #2'!B173)*(1+'Other Assumptions'!D$45)-(B159*'Total Distance Tables Sup #1'!B16)*(1+'Other Assumptions'!D$45)*'Active Mode Assumptions'!B9*'Active Mode Assumptions'!B14-(B160*'Total Distance Tables Sup #1'!B17)*(1+'Other Assumptions'!D$45)*'Active Mode Assumptions'!B18*'Active Mode Assumptions'!B23</f>
        <v>9374.4733825999992</v>
      </c>
      <c r="C18" s="4">
        <f ca="1">(C161*'Total Distance Tables Sup #1'!C18-'PT Assumptions'!C16*'Total Distance Tables Sup #2'!C170-'PT Assumptions'!C28*'Total Distance Tables Sup #2'!C173)*(1+'Other Assumptions'!G$45)-(C159*'Total Distance Tables Sup #1'!C16)*(1+'Other Assumptions'!G$45)*'Active Mode Assumptions'!C9*'Active Mode Assumptions'!C14-(C160*'Total Distance Tables Sup #1'!C17)*(1+'Other Assumptions'!G$45)*'Active Mode Assumptions'!C18*'Active Mode Assumptions'!C23</f>
        <v>10823.956226264809</v>
      </c>
      <c r="D18" s="4">
        <f ca="1">(D161*'Total Distance Tables Sup #1'!D18-'PT Assumptions'!D16*'Total Distance Tables Sup #2'!D170-'PT Assumptions'!D28*'Total Distance Tables Sup #2'!D173)*(1+'Other Assumptions'!H$45)-(D159*'Total Distance Tables Sup #1'!D16)*(1+'Other Assumptions'!H$45)*'Active Mode Assumptions'!D9*'Active Mode Assumptions'!D14-(D160*'Total Distance Tables Sup #1'!D17)*(1+'Other Assumptions'!H$45)*'Active Mode Assumptions'!D18*'Active Mode Assumptions'!D23</f>
        <v>11479.790471381162</v>
      </c>
      <c r="E18" s="56">
        <f ca="1">(E161*'Total Distance Tables Sup #1'!E18-'PT Assumptions'!E16*'Total Distance Tables Sup #2'!E170-'PT Assumptions'!E28*'Total Distance Tables Sup #2'!E173)*(1+'Other Assumptions'!I$45)-(E159*'Total Distance Tables Sup #1'!E16)*(1+'Other Assumptions'!I$45)*'Active Mode Assumptions'!E9*'Active Mode Assumptions'!E14-(E160*'Total Distance Tables Sup #1'!E17)*(1+'Other Assumptions'!I$45)*'Active Mode Assumptions'!E18*'Active Mode Assumptions'!E23</f>
        <v>11978.161701984043</v>
      </c>
      <c r="F18" s="4">
        <f ca="1">(F161*'Total Distance Tables Sup #1'!F18-'PT Assumptions'!F16*'Total Distance Tables Sup #2'!F170-'PT Assumptions'!F28*'Total Distance Tables Sup #2'!F173)*(1+'Other Assumptions'!J$45)-(F159*'Total Distance Tables Sup #1'!F16)*(1+'Other Assumptions'!J$45)*'Active Mode Assumptions'!F9*'Active Mode Assumptions'!F14-(F160*'Total Distance Tables Sup #1'!F17)*(1+'Other Assumptions'!J$45)*'Active Mode Assumptions'!F18*'Active Mode Assumptions'!F23</f>
        <v>12456.946501346376</v>
      </c>
      <c r="G18" s="4">
        <f ca="1">(G161*'Total Distance Tables Sup #1'!G18-'PT Assumptions'!G16*'Total Distance Tables Sup #2'!G170-'PT Assumptions'!G28*'Total Distance Tables Sup #2'!G173)*(1+'Other Assumptions'!K$45)-(G159*'Total Distance Tables Sup #1'!G16)*(1+'Other Assumptions'!K$45)*'Active Mode Assumptions'!G9*'Active Mode Assumptions'!G14-(G160*'Total Distance Tables Sup #1'!G17)*(1+'Other Assumptions'!K$45)*'Active Mode Assumptions'!G18*'Active Mode Assumptions'!G23</f>
        <v>12771.396030074962</v>
      </c>
      <c r="H18" s="4">
        <f ca="1">(H161*'Total Distance Tables Sup #1'!H18-'PT Assumptions'!H16*'Total Distance Tables Sup #2'!H170-'PT Assumptions'!H28*'Total Distance Tables Sup #2'!H173)*(1+'Other Assumptions'!L$45)-(H159*'Total Distance Tables Sup #1'!H16)*(1+'Other Assumptions'!L$45)*'Active Mode Assumptions'!H9*'Active Mode Assumptions'!H14-(H160*'Total Distance Tables Sup #1'!H17)*(1+'Other Assumptions'!L$45)*'Active Mode Assumptions'!H18*'Active Mode Assumptions'!H23</f>
        <v>13007.856856679369</v>
      </c>
      <c r="I18" s="1">
        <f ca="1">(I161*'Total Distance Tables Sup #1'!I18-'PT Assumptions'!I16*'Total Distance Tables Sup #2'!I170-'PT Assumptions'!I28*'Total Distance Tables Sup #2'!I173)*(1+'Other Assumptions'!M$45)-(I159*'Total Distance Tables Sup #1'!I16)*(1+'Other Assumptions'!M$45)*'Active Mode Assumptions'!I9*'Active Mode Assumptions'!I14-(I160*'Total Distance Tables Sup #1'!I17)*(1+'Other Assumptions'!M$45)*'Active Mode Assumptions'!I18*'Active Mode Assumptions'!I23</f>
        <v>13231.81508575991</v>
      </c>
      <c r="J18" s="1">
        <f ca="1">(J161*'Total Distance Tables Sup #1'!J18-'PT Assumptions'!J16*'Total Distance Tables Sup #2'!J170-'PT Assumptions'!J28*'Total Distance Tables Sup #2'!J173)*(1+'Other Assumptions'!N$45)-(J159*'Total Distance Tables Sup #1'!J16)*(1+'Other Assumptions'!N$45)*'Active Mode Assumptions'!J9*'Active Mode Assumptions'!J14-(J160*'Total Distance Tables Sup #1'!J17)*(1+'Other Assumptions'!N$45)*'Active Mode Assumptions'!J18*'Active Mode Assumptions'!J23</f>
        <v>13407.770443269845</v>
      </c>
      <c r="K18" s="1">
        <f ca="1">(K161*'Total Distance Tables Sup #1'!K18-'PT Assumptions'!K16*'Total Distance Tables Sup #2'!K170-'PT Assumptions'!K28*'Total Distance Tables Sup #2'!K173)*(1+'Other Assumptions'!O$45)-(K159*'Total Distance Tables Sup #1'!K16)*(1+'Other Assumptions'!O$45)*'Active Mode Assumptions'!K9*'Active Mode Assumptions'!K14-(K160*'Total Distance Tables Sup #1'!K17)*(1+'Other Assumptions'!O$45)*'Active Mode Assumptions'!K18*'Active Mode Assumptions'!K23</f>
        <v>13544.801613133877</v>
      </c>
    </row>
    <row r="19" spans="1:11" x14ac:dyDescent="0.25">
      <c r="A19" t="str">
        <f ca="1">OFFSET(Auckland_Reference,21,2)</f>
        <v>Light Vehicle Passenger</v>
      </c>
      <c r="B19" s="4">
        <f ca="1">(B162*'Total Distance Tables Sup #1'!B19-'PT Assumptions'!B17*'Total Distance Tables Sup #2'!B170-'PT Assumptions'!B29*'Total Distance Tables Sup #2'!B173)*(1+'Other Assumptions'!D$45)-(B159*'Total Distance Tables Sup #1'!B16)*(1+'Other Assumptions'!D$45)*'Active Mode Assumptions'!B9*'Active Mode Assumptions'!B15-(B160*'Total Distance Tables Sup #1'!B17)*(1+'Other Assumptions'!D$45)*'Active Mode Assumptions'!B18*'Active Mode Assumptions'!B24</f>
        <v>4814.6436660999998</v>
      </c>
      <c r="C19" s="4">
        <f ca="1">(C162*'Total Distance Tables Sup #1'!C19-'PT Assumptions'!C17*'Total Distance Tables Sup #2'!C170-'PT Assumptions'!C29*'Total Distance Tables Sup #2'!C173)*(1+'Other Assumptions'!G$45)-(C159*'Total Distance Tables Sup #1'!C16)*(1+'Other Assumptions'!G$45)*'Active Mode Assumptions'!C9*'Active Mode Assumptions'!C15-(C160*'Total Distance Tables Sup #1'!C17)*(1+'Other Assumptions'!G$45)*'Active Mode Assumptions'!C18*'Active Mode Assumptions'!C24</f>
        <v>5328.6358558951306</v>
      </c>
      <c r="D19" s="4">
        <f ca="1">(D162*'Total Distance Tables Sup #1'!D19-'PT Assumptions'!D17*'Total Distance Tables Sup #2'!D170-'PT Assumptions'!D29*'Total Distance Tables Sup #2'!D173)*(1+'Other Assumptions'!H$45)-(D159*'Total Distance Tables Sup #1'!D16)*(1+'Other Assumptions'!H$45)*'Active Mode Assumptions'!D9*'Active Mode Assumptions'!D15-(D160*'Total Distance Tables Sup #1'!D17)*(1+'Other Assumptions'!H$45)*'Active Mode Assumptions'!D18*'Active Mode Assumptions'!D24</f>
        <v>5454.6546319188028</v>
      </c>
      <c r="E19" s="56">
        <f ca="1">(E162*'Total Distance Tables Sup #1'!E19-'PT Assumptions'!E17*'Total Distance Tables Sup #2'!E170-'PT Assumptions'!E29*'Total Distance Tables Sup #2'!E173)*(1+'Other Assumptions'!I$45)-(E159*'Total Distance Tables Sup #1'!E16)*(1+'Other Assumptions'!I$45)*'Active Mode Assumptions'!E9*'Active Mode Assumptions'!E15-(E160*'Total Distance Tables Sup #1'!E17)*(1+'Other Assumptions'!I$45)*'Active Mode Assumptions'!E18*'Active Mode Assumptions'!E24</f>
        <v>5500.7275046925497</v>
      </c>
      <c r="F19" s="4">
        <f ca="1">(F162*'Total Distance Tables Sup #1'!F19-'PT Assumptions'!F17*'Total Distance Tables Sup #2'!F170-'PT Assumptions'!F29*'Total Distance Tables Sup #2'!F173)*(1+'Other Assumptions'!J$45)-(F159*'Total Distance Tables Sup #1'!F16)*(1+'Other Assumptions'!J$45)*'Active Mode Assumptions'!F9*'Active Mode Assumptions'!F15-(F160*'Total Distance Tables Sup #1'!F17)*(1+'Other Assumptions'!J$45)*'Active Mode Assumptions'!F18*'Active Mode Assumptions'!F24</f>
        <v>5553.9105743326072</v>
      </c>
      <c r="G19" s="4">
        <f ca="1">(G162*'Total Distance Tables Sup #1'!G19-'PT Assumptions'!G17*'Total Distance Tables Sup #2'!G170-'PT Assumptions'!G29*'Total Distance Tables Sup #2'!G173)*(1+'Other Assumptions'!K$45)-(G159*'Total Distance Tables Sup #1'!G16)*(1+'Other Assumptions'!K$45)*'Active Mode Assumptions'!G9*'Active Mode Assumptions'!G15-(G160*'Total Distance Tables Sup #1'!G17)*(1+'Other Assumptions'!K$45)*'Active Mode Assumptions'!G18*'Active Mode Assumptions'!G24</f>
        <v>5551.924138149825</v>
      </c>
      <c r="H19" s="4">
        <f ca="1">(H162*'Total Distance Tables Sup #1'!H19-'PT Assumptions'!H17*'Total Distance Tables Sup #2'!H170-'PT Assumptions'!H29*'Total Distance Tables Sup #2'!H173)*(1+'Other Assumptions'!L$45)-(H159*'Total Distance Tables Sup #1'!H16)*(1+'Other Assumptions'!L$45)*'Active Mode Assumptions'!H9*'Active Mode Assumptions'!H15-(H160*'Total Distance Tables Sup #1'!H17)*(1+'Other Assumptions'!L$45)*'Active Mode Assumptions'!H18*'Active Mode Assumptions'!H24</f>
        <v>5510.7367384005838</v>
      </c>
      <c r="I19" s="1">
        <f ca="1">(I162*'Total Distance Tables Sup #1'!I19-'PT Assumptions'!I17*'Total Distance Tables Sup #2'!I170-'PT Assumptions'!I29*'Total Distance Tables Sup #2'!I173)*(1+'Other Assumptions'!M$45)-(I159*'Total Distance Tables Sup #1'!I16)*(1+'Other Assumptions'!M$45)*'Active Mode Assumptions'!I9*'Active Mode Assumptions'!I15-(I160*'Total Distance Tables Sup #1'!I17)*(1+'Other Assumptions'!M$45)*'Active Mode Assumptions'!I18*'Active Mode Assumptions'!I24</f>
        <v>5587.3553747197675</v>
      </c>
      <c r="J19" s="1">
        <f ca="1">(J162*'Total Distance Tables Sup #1'!J19-'PT Assumptions'!J17*'Total Distance Tables Sup #2'!J170-'PT Assumptions'!J29*'Total Distance Tables Sup #2'!J173)*(1+'Other Assumptions'!N$45)-(J159*'Total Distance Tables Sup #1'!J16)*(1+'Other Assumptions'!N$45)*'Active Mode Assumptions'!J9*'Active Mode Assumptions'!J15-(J160*'Total Distance Tables Sup #1'!J17)*(1+'Other Assumptions'!N$45)*'Active Mode Assumptions'!J18*'Active Mode Assumptions'!J24</f>
        <v>5641.8760573194368</v>
      </c>
      <c r="K19" s="1">
        <f ca="1">(K162*'Total Distance Tables Sup #1'!K19-'PT Assumptions'!K17*'Total Distance Tables Sup #2'!K170-'PT Assumptions'!K29*'Total Distance Tables Sup #2'!K173)*(1+'Other Assumptions'!O$45)-(K159*'Total Distance Tables Sup #1'!K16)*(1+'Other Assumptions'!O$45)*'Active Mode Assumptions'!K9*'Active Mode Assumptions'!K15-(K160*'Total Distance Tables Sup #1'!K17)*(1+'Other Assumptions'!O$45)*'Active Mode Assumptions'!K18*'Active Mode Assumptions'!K24</f>
        <v>5676.7303419913142</v>
      </c>
    </row>
    <row r="20" spans="1:11" x14ac:dyDescent="0.25">
      <c r="A20" t="str">
        <f ca="1">OFFSET(Auckland_Reference,28,2)</f>
        <v>Taxi/Vehicle Share</v>
      </c>
      <c r="B20" s="4">
        <f ca="1">B163*'Total Distance Tables Sup #1'!B20*(1+'Other Assumptions'!D$45)</f>
        <v>41.157157814999998</v>
      </c>
      <c r="C20" s="4">
        <f ca="1">C163*'Total Distance Tables Sup #1'!C20*(1+'Other Assumptions'!G$45)</f>
        <v>49.703286471480382</v>
      </c>
      <c r="D20" s="4">
        <f ca="1">D163*'Total Distance Tables Sup #1'!D20*(1+'Other Assumptions'!H$45)</f>
        <v>56.118133205498125</v>
      </c>
      <c r="E20" s="56">
        <f ca="1">E163*'Total Distance Tables Sup #1'!E20*(1+'Other Assumptions'!I$45)</f>
        <v>61.637283056528986</v>
      </c>
      <c r="F20" s="4">
        <f ca="1">F163*'Total Distance Tables Sup #1'!F20*(1+'Other Assumptions'!J$45)</f>
        <v>66.381636746141467</v>
      </c>
      <c r="G20" s="4">
        <f ca="1">G163*'Total Distance Tables Sup #1'!G20*(1+'Other Assumptions'!K$45)</f>
        <v>69.928435377959872</v>
      </c>
      <c r="H20" s="4">
        <f ca="1">H163*'Total Distance Tables Sup #1'!H20*(1+'Other Assumptions'!L$45)</f>
        <v>73.142655108663448</v>
      </c>
      <c r="I20" s="1">
        <f ca="1">I163*'Total Distance Tables Sup #1'!I20*(1+'Other Assumptions'!M$45)</f>
        <v>74.43731426709509</v>
      </c>
      <c r="J20" s="1">
        <f ca="1">J163*'Total Distance Tables Sup #1'!J20*(1+'Other Assumptions'!N$45)</f>
        <v>75.474288635417025</v>
      </c>
      <c r="K20" s="1">
        <f ca="1">K163*'Total Distance Tables Sup #1'!K20*(1+'Other Assumptions'!O$45)</f>
        <v>76.319589299610726</v>
      </c>
    </row>
    <row r="21" spans="1:11" x14ac:dyDescent="0.25">
      <c r="A21" t="str">
        <f ca="1">OFFSET(Auckland_Reference,35,2)</f>
        <v>Motorcyclist</v>
      </c>
      <c r="B21" s="4">
        <f ca="1">B164*'Total Distance Tables Sup #1'!B21*(1+'Other Assumptions'!D$45)</f>
        <v>43.570185572</v>
      </c>
      <c r="C21" s="4">
        <f ca="1">C164*'Total Distance Tables Sup #1'!C21*(1+'Other Assumptions'!G$45)</f>
        <v>50.495460814108554</v>
      </c>
      <c r="D21" s="4">
        <f ca="1">D164*'Total Distance Tables Sup #1'!D21*(1+'Other Assumptions'!H$45)</f>
        <v>54.178286893748904</v>
      </c>
      <c r="E21" s="56">
        <f ca="1">E164*'Total Distance Tables Sup #1'!E21*(1+'Other Assumptions'!I$45)</f>
        <v>56.167518588435946</v>
      </c>
      <c r="F21" s="4">
        <f ca="1">F164*'Total Distance Tables Sup #1'!F21*(1+'Other Assumptions'!J$45)</f>
        <v>57.400548417724067</v>
      </c>
      <c r="G21" s="4">
        <f ca="1">G164*'Total Distance Tables Sup #1'!G21*(1+'Other Assumptions'!K$45)</f>
        <v>57.423984333829203</v>
      </c>
      <c r="H21" s="4">
        <f ca="1">H164*'Total Distance Tables Sup #1'!H21*(1+'Other Assumptions'!L$45)</f>
        <v>57.030803595687161</v>
      </c>
      <c r="I21" s="1">
        <f ca="1">I164*'Total Distance Tables Sup #1'!I21*(1+'Other Assumptions'!M$45)</f>
        <v>58.563234742781681</v>
      </c>
      <c r="J21" s="1">
        <f ca="1">J164*'Total Distance Tables Sup #1'!J21*(1+'Other Assumptions'!N$45)</f>
        <v>59.916758255901115</v>
      </c>
      <c r="K21" s="1">
        <f ca="1">K164*'Total Distance Tables Sup #1'!K21*(1+'Other Assumptions'!O$45)</f>
        <v>61.138904420749782</v>
      </c>
    </row>
    <row r="22" spans="1:11" x14ac:dyDescent="0.25">
      <c r="A22" t="str">
        <f ca="1">OFFSET(Auckland_Reference,42,2)</f>
        <v>Local Train</v>
      </c>
      <c r="B22" s="4">
        <f ca="1">'Total Distance Tables Sup #1'!B22*(1+'PT Assumptions'!B9)*(1+'Other Assumptions'!D$45)</f>
        <v>158.68929399999999</v>
      </c>
      <c r="C22" s="4">
        <f ca="1">'Total Distance Tables Sup #1'!C22*(1+'PT Assumptions'!C9)*(1+'Other Assumptions'!G$45)</f>
        <v>326.34854930533783</v>
      </c>
      <c r="D22" s="4">
        <f ca="1">'Total Distance Tables Sup #1'!D22*(1+'PT Assumptions'!D9)*(1+'Other Assumptions'!H$45)</f>
        <v>643.51681513781534</v>
      </c>
      <c r="E22" s="56">
        <f ca="1">'Total Distance Tables Sup #1'!E22*(1+'PT Assumptions'!E9)*(1+'Other Assumptions'!I$45)</f>
        <v>929.80124160121557</v>
      </c>
      <c r="F22" s="4">
        <f ca="1">'Total Distance Tables Sup #1'!F22*(1+'PT Assumptions'!F9)*(1+'Other Assumptions'!J$45)</f>
        <v>1039.678628540591</v>
      </c>
      <c r="G22" s="4">
        <f ca="1">'Total Distance Tables Sup #1'!G22*(1+'PT Assumptions'!G9)*(1+'Other Assumptions'!K$45)</f>
        <v>1137.7629167790537</v>
      </c>
      <c r="H22" s="4">
        <f ca="1">'Total Distance Tables Sup #1'!H22*(1+'PT Assumptions'!H9)*(1+'Other Assumptions'!L$45)</f>
        <v>1223.3833636992292</v>
      </c>
      <c r="I22" s="1">
        <f ca="1">'Total Distance Tables Sup #1'!I22*(1+'PT Assumptions'!I9)*(1+'Other Assumptions'!M$45)</f>
        <v>1331.6723139966803</v>
      </c>
      <c r="J22" s="1">
        <f ca="1">'Total Distance Tables Sup #1'!J22*(1+'PT Assumptions'!J9)*(1+'Other Assumptions'!N$45)</f>
        <v>1442.2846292093457</v>
      </c>
      <c r="K22" s="1">
        <f ca="1">'Total Distance Tables Sup #1'!K22*(1+'PT Assumptions'!K9)*(1+'Other Assumptions'!O$45)</f>
        <v>1561.239876640476</v>
      </c>
    </row>
    <row r="23" spans="1:11" x14ac:dyDescent="0.25">
      <c r="A23" t="str">
        <f ca="1">OFFSET(Auckland_Reference,49,2)</f>
        <v>Local Bus</v>
      </c>
      <c r="B23" s="4">
        <f ca="1">'Total Distance Tables Sup #1'!B23*(1+'PT Assumptions'!B21)*(1+'Other Assumptions'!D$45)</f>
        <v>438.79018300000001</v>
      </c>
      <c r="C23" s="4">
        <f ca="1">'Total Distance Tables Sup #1'!C23*(1+'PT Assumptions'!C21)*(1+'Other Assumptions'!G$45)</f>
        <v>481.01167058374421</v>
      </c>
      <c r="D23" s="4">
        <f ca="1">'Total Distance Tables Sup #1'!D23*(1+'PT Assumptions'!D21)*(1+'Other Assumptions'!H$45)</f>
        <v>631.28193164418485</v>
      </c>
      <c r="E23" s="56">
        <f ca="1">'Total Distance Tables Sup #1'!E23*(1+'PT Assumptions'!E21)*(1+'Other Assumptions'!I$45)</f>
        <v>752.87508463217375</v>
      </c>
      <c r="F23" s="4">
        <f ca="1">'Total Distance Tables Sup #1'!F23*(1+'PT Assumptions'!F21)*(1+'Other Assumptions'!J$45)</f>
        <v>800.56506126207864</v>
      </c>
      <c r="G23" s="4">
        <f ca="1">'Total Distance Tables Sup #1'!G23*(1+'PT Assumptions'!G21)*(1+'Other Assumptions'!K$45)</f>
        <v>837.91287514002806</v>
      </c>
      <c r="H23" s="4">
        <f ca="1">'Total Distance Tables Sup #1'!H23*(1+'PT Assumptions'!H21)*(1+'Other Assumptions'!L$45)</f>
        <v>866.23922953106933</v>
      </c>
      <c r="I23" s="1">
        <f ca="1">'Total Distance Tables Sup #1'!I23*(1+'PT Assumptions'!I21)*(1+'Other Assumptions'!M$45)</f>
        <v>925.13652458781769</v>
      </c>
      <c r="J23" s="1">
        <f ca="1">'Total Distance Tables Sup #1'!J23*(1+'PT Assumptions'!J21)*(1+'Other Assumptions'!N$45)</f>
        <v>984.51025099240621</v>
      </c>
      <c r="K23" s="1">
        <f ca="1">'Total Distance Tables Sup #1'!K23*(1+'PT Assumptions'!K21)*(1+'Other Assumptions'!O$45)</f>
        <v>1047.1278569679457</v>
      </c>
    </row>
    <row r="24" spans="1:11" x14ac:dyDescent="0.25">
      <c r="A24" t="str">
        <f ca="1">OFFSET(Auckland_Reference,56,2)</f>
        <v>Local Ferry</v>
      </c>
      <c r="B24" s="4">
        <f ca="1">B167*'Total Distance Tables Sup #1'!B24*(1+'PT Assumptions'!B32)*(1+'Other Assumptions'!D$45)</f>
        <v>0</v>
      </c>
      <c r="C24" s="4">
        <f ca="1">C167*'Total Distance Tables Sup #1'!C24*(1+'PT Assumptions'!C32)*(1+'Other Assumptions'!G$45)</f>
        <v>0</v>
      </c>
      <c r="D24" s="4">
        <f ca="1">D167*'Total Distance Tables Sup #1'!D24*(1+'PT Assumptions'!D32)*(1+'Other Assumptions'!H$45)</f>
        <v>0</v>
      </c>
      <c r="E24" s="56">
        <f ca="1">E167*'Total Distance Tables Sup #1'!E24*(1+'PT Assumptions'!E32)*(1+'Other Assumptions'!I$45)</f>
        <v>0</v>
      </c>
      <c r="F24" s="4">
        <f ca="1">F167*'Total Distance Tables Sup #1'!F24*(1+'PT Assumptions'!F32)*(1+'Other Assumptions'!J$45)</f>
        <v>0</v>
      </c>
      <c r="G24" s="4">
        <f ca="1">G167*'Total Distance Tables Sup #1'!G24*(1+'PT Assumptions'!G32)*(1+'Other Assumptions'!K$45)</f>
        <v>0</v>
      </c>
      <c r="H24" s="4">
        <f ca="1">H167*'Total Distance Tables Sup #1'!H24*(1+'PT Assumptions'!H32)*(1+'Other Assumptions'!L$45)</f>
        <v>0</v>
      </c>
      <c r="I24" s="1">
        <f ca="1">I167*'Total Distance Tables Sup #1'!I24*(1+'PT Assumptions'!I32)*(1+'Other Assumptions'!M$45)</f>
        <v>0</v>
      </c>
      <c r="J24" s="1">
        <f ca="1">J167*'Total Distance Tables Sup #1'!J24*(1+'PT Assumptions'!J32)*(1+'Other Assumptions'!N$45)</f>
        <v>0</v>
      </c>
      <c r="K24" s="1">
        <f ca="1">K167*'Total Distance Tables Sup #1'!K24*(1+'PT Assumptions'!K32)*(1+'Other Assumptions'!O$45)</f>
        <v>0</v>
      </c>
    </row>
    <row r="25" spans="1:11" x14ac:dyDescent="0.25">
      <c r="A25" t="str">
        <f ca="1">OFFSET(Auckland_Reference,63,2)</f>
        <v>Other Household Travel</v>
      </c>
      <c r="B25" s="4">
        <f ca="1">B168*'Total Distance Tables Sup #1'!B25*(1+'Other Assumptions'!D$45)</f>
        <v>1.8241938706</v>
      </c>
      <c r="C25" s="4">
        <f ca="1">C168*'Total Distance Tables Sup #1'!C25*(1+'Other Assumptions'!G$45)</f>
        <v>1.8625495231541189</v>
      </c>
      <c r="D25" s="4">
        <f ca="1">D168*'Total Distance Tables Sup #1'!D25*(1+'Other Assumptions'!H$45)</f>
        <v>1.7718452542225991</v>
      </c>
      <c r="E25" s="56">
        <f ca="1">E168*'Total Distance Tables Sup #1'!E25*(1+'Other Assumptions'!I$45)</f>
        <v>2.0174259855609571</v>
      </c>
      <c r="F25" s="4">
        <f ca="1">F168*'Total Distance Tables Sup #1'!F25*(1+'Other Assumptions'!J$45)</f>
        <v>2.1319075673452783</v>
      </c>
      <c r="G25" s="4">
        <f ca="1">G168*'Total Distance Tables Sup #1'!G25*(1+'Other Assumptions'!K$45)</f>
        <v>2.0993375279487907</v>
      </c>
      <c r="H25" s="4">
        <f ca="1">H168*'Total Distance Tables Sup #1'!H25*(1+'Other Assumptions'!L$45)</f>
        <v>2.0192644258930623</v>
      </c>
      <c r="I25" s="1">
        <f ca="1">I168*'Total Distance Tables Sup #1'!I25*(1+'Other Assumptions'!M$45)</f>
        <v>2.0205638165371811</v>
      </c>
      <c r="J25" s="1">
        <f ca="1">J168*'Total Distance Tables Sup #1'!J25*(1+'Other Assumptions'!N$45)</f>
        <v>2.0150404592219475</v>
      </c>
      <c r="K25" s="1">
        <f ca="1">K168*'Total Distance Tables Sup #1'!K25*(1+'Other Assumptions'!O$45)</f>
        <v>2.0047741366401359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B159*'Total Distance Tables Sup #1'!B27*(1+'Other Assumptions'!D$46)*(1+'Active Mode Assumptions'!B9)</f>
        <v>52.675735545000002</v>
      </c>
      <c r="C27" s="4">
        <f ca="1">C159*'Total Distance Tables Sup #1'!C27*(1+'Other Assumptions'!G$46)*(1+'Active Mode Assumptions'!C9)</f>
        <v>56.996875550444209</v>
      </c>
      <c r="D27" s="4">
        <f ca="1">D159*'Total Distance Tables Sup #1'!D27*(1+'Other Assumptions'!H$46)*(1+'Active Mode Assumptions'!D9)</f>
        <v>62.53857671788063</v>
      </c>
      <c r="E27" s="4">
        <f ca="1">E159*'Total Distance Tables Sup #1'!E27*(1+'Other Assumptions'!I$46)*(1+'Active Mode Assumptions'!E9)</f>
        <v>67.104305555781224</v>
      </c>
      <c r="F27" s="4">
        <f ca="1">F159*'Total Distance Tables Sup #1'!F27*(1+'Other Assumptions'!J$46)*(1+'Active Mode Assumptions'!F9)</f>
        <v>71.018156296876228</v>
      </c>
      <c r="G27" s="4">
        <f ca="1">G159*'Total Distance Tables Sup #1'!G27*(1+'Other Assumptions'!K$46)*(1+'Active Mode Assumptions'!G9)</f>
        <v>74.743906112528776</v>
      </c>
      <c r="H27" s="4">
        <f ca="1">H159*'Total Distance Tables Sup #1'!H27*(1+'Other Assumptions'!L$46)*(1+'Active Mode Assumptions'!H9)</f>
        <v>78.211137480652241</v>
      </c>
      <c r="I27" s="1">
        <f ca="1">I159*'Total Distance Tables Sup #1'!I27*(1+'Other Assumptions'!M$46)*(1+'Active Mode Assumptions'!I9)</f>
        <v>79.780579291763331</v>
      </c>
      <c r="J27" s="1">
        <f ca="1">J159*'Total Distance Tables Sup #1'!J27*(1+'Other Assumptions'!N$46)*(1+'Active Mode Assumptions'!J9)</f>
        <v>81.123608331217966</v>
      </c>
      <c r="K27" s="1">
        <f ca="1">K159*'Total Distance Tables Sup #1'!K27*(1+'Other Assumptions'!O$46)*(1+'Active Mode Assumptions'!K9)</f>
        <v>82.313131905069042</v>
      </c>
    </row>
    <row r="28" spans="1:11" x14ac:dyDescent="0.25">
      <c r="A28" t="str">
        <f ca="1">OFFSET(Waikato_Reference,7,2)</f>
        <v>Cyclist</v>
      </c>
      <c r="B28" s="4">
        <f ca="1">B160*'Total Distance Tables Sup #1'!B28*(1+'Other Assumptions'!D$46)*(1+'Active Mode Assumptions'!B18)</f>
        <v>21.829422874999999</v>
      </c>
      <c r="C28" s="4">
        <f ca="1">C160*'Total Distance Tables Sup #1'!C28*(1+'Other Assumptions'!G$46)*(1+'Active Mode Assumptions'!C18)</f>
        <v>24.447485987303487</v>
      </c>
      <c r="D28" s="4">
        <f ca="1">D160*'Total Distance Tables Sup #1'!D28*(1+'Other Assumptions'!H$46)*(1+'Active Mode Assumptions'!D18)</f>
        <v>35.94879991774237</v>
      </c>
      <c r="E28" s="4">
        <f ca="1">E160*'Total Distance Tables Sup #1'!E28*(1+'Other Assumptions'!I$46)*(1+'Active Mode Assumptions'!E18)</f>
        <v>47.337419770889525</v>
      </c>
      <c r="F28" s="4">
        <f ca="1">F160*'Total Distance Tables Sup #1'!F28*(1+'Other Assumptions'!J$46)*(1+'Active Mode Assumptions'!F18)</f>
        <v>59.877398755661169</v>
      </c>
      <c r="G28" s="4">
        <f ca="1">G160*'Total Distance Tables Sup #1'!G28*(1+'Other Assumptions'!K$46)*(1+'Active Mode Assumptions'!G18)</f>
        <v>74.182779137624678</v>
      </c>
      <c r="H28" s="4">
        <f ca="1">H160*'Total Distance Tables Sup #1'!H28*(1+'Other Assumptions'!L$46)*(1+'Active Mode Assumptions'!H18)</f>
        <v>89.661988841373926</v>
      </c>
      <c r="I28" s="1">
        <f ca="1">I160*'Total Distance Tables Sup #1'!I28*(1+'Other Assumptions'!M$46)*(1+'Active Mode Assumptions'!I18)</f>
        <v>91.890915793438353</v>
      </c>
      <c r="J28" s="1">
        <f ca="1">J160*'Total Distance Tables Sup #1'!J28*(1+'Other Assumptions'!N$46)*(1+'Active Mode Assumptions'!J18)</f>
        <v>93.881075106498116</v>
      </c>
      <c r="K28" s="1">
        <f ca="1">K160*'Total Distance Tables Sup #1'!K28*(1+'Other Assumptions'!O$46)*(1+'Active Mode Assumptions'!K18)</f>
        <v>95.713805171969611</v>
      </c>
    </row>
    <row r="29" spans="1:11" x14ac:dyDescent="0.25">
      <c r="A29" t="str">
        <f ca="1">OFFSET(Waikato_Reference,14,2)</f>
        <v>Light Vehicle Driver</v>
      </c>
      <c r="B29" s="4">
        <f ca="1">B161*'Total Distance Tables Sup #1'!B29*(1+'Other Assumptions'!D$46)-(B27*'Active Mode Assumptions'!B9*'Active Mode Assumptions'!B14/(1+'Active Mode Assumptions'!B9))-(B28*'Active Mode Assumptions'!B18*'Active Mode Assumptions'!B23/(1+'Active Mode Assumptions'!B18))</f>
        <v>3709.9843593000001</v>
      </c>
      <c r="C29" s="4">
        <f ca="1">C161*'Total Distance Tables Sup #1'!C29*(1+'Other Assumptions'!G$46)-(C27*'Active Mode Assumptions'!C9*'Active Mode Assumptions'!C14/(1+'Active Mode Assumptions'!C9))-(C28*'Active Mode Assumptions'!C18*'Active Mode Assumptions'!C23/(1+'Active Mode Assumptions'!C18))</f>
        <v>4155.0095790598562</v>
      </c>
      <c r="D29" s="4">
        <f ca="1">D161*'Total Distance Tables Sup #1'!D29*(1+'Other Assumptions'!H$46)-(D27*'Active Mode Assumptions'!D9*'Active Mode Assumptions'!D14/(1+'Active Mode Assumptions'!D9))-(D28*'Active Mode Assumptions'!D18*'Active Mode Assumptions'!D23/(1+'Active Mode Assumptions'!D18))</f>
        <v>4394.592171678908</v>
      </c>
      <c r="E29" s="4">
        <f ca="1">E161*'Total Distance Tables Sup #1'!E29*(1+'Other Assumptions'!I$46)-(E27*'Active Mode Assumptions'!E9*'Active Mode Assumptions'!E14/(1+'Active Mode Assumptions'!E9))-(E28*'Active Mode Assumptions'!E18*'Active Mode Assumptions'!E23/(1+'Active Mode Assumptions'!E18))</f>
        <v>4607.39728152917</v>
      </c>
      <c r="F29" s="4">
        <f ca="1">F161*'Total Distance Tables Sup #1'!F29*(1+'Other Assumptions'!J$46)-(F27*'Active Mode Assumptions'!F9*'Active Mode Assumptions'!F14/(1+'Active Mode Assumptions'!F9))-(F28*'Active Mode Assumptions'!F18*'Active Mode Assumptions'!F23/(1+'Active Mode Assumptions'!F18))</f>
        <v>4796.3140928208868</v>
      </c>
      <c r="G29" s="4">
        <f ca="1">G161*'Total Distance Tables Sup #1'!G29*(1+'Other Assumptions'!K$46)-(G27*'Active Mode Assumptions'!G9*'Active Mode Assumptions'!G14/(1+'Active Mode Assumptions'!G9))-(G28*'Active Mode Assumptions'!G18*'Active Mode Assumptions'!G23/(1+'Active Mode Assumptions'!G18))</f>
        <v>4933.4898605553826</v>
      </c>
      <c r="H29" s="4">
        <f ca="1">H161*'Total Distance Tables Sup #1'!H29*(1+'Other Assumptions'!L$46)-(H27*'Active Mode Assumptions'!H9*'Active Mode Assumptions'!H14/(1+'Active Mode Assumptions'!H9))-(H28*'Active Mode Assumptions'!H18*'Active Mode Assumptions'!H23/(1+'Active Mode Assumptions'!H18))</f>
        <v>5050.2293900767881</v>
      </c>
      <c r="I29" s="1">
        <f ca="1">I161*'Total Distance Tables Sup #1'!I29*(1+'Other Assumptions'!M$46)-(I27*'Active Mode Assumptions'!I9*'Active Mode Assumptions'!I14/(1+'Active Mode Assumptions'!I9))-(I28*'Active Mode Assumptions'!I18*'Active Mode Assumptions'!I23/(1+'Active Mode Assumptions'!I18))</f>
        <v>5161.5364173048301</v>
      </c>
      <c r="J29" s="1">
        <f ca="1">J161*'Total Distance Tables Sup #1'!J29*(1+'Other Assumptions'!N$46)-(J27*'Active Mode Assumptions'!J9*'Active Mode Assumptions'!J14/(1+'Active Mode Assumptions'!J9))-(J28*'Active Mode Assumptions'!J18*'Active Mode Assumptions'!J23/(1+'Active Mode Assumptions'!J18))</f>
        <v>5258.5450058221013</v>
      </c>
      <c r="K29" s="1">
        <f ca="1">K161*'Total Distance Tables Sup #1'!K29*(1+'Other Assumptions'!O$46)-(K27*'Active Mode Assumptions'!K9*'Active Mode Assumptions'!K14/(1+'Active Mode Assumptions'!K9))-(K28*'Active Mode Assumptions'!K18*'Active Mode Assumptions'!K23/(1+'Active Mode Assumptions'!K18))</f>
        <v>5345.9024311388657</v>
      </c>
    </row>
    <row r="30" spans="1:11" x14ac:dyDescent="0.25">
      <c r="A30" t="str">
        <f ca="1">OFFSET(Waikato_Reference,21,2)</f>
        <v>Light Vehicle Passenger</v>
      </c>
      <c r="B30" s="4">
        <f ca="1">B162*'Total Distance Tables Sup #1'!B30*(1+'Other Assumptions'!D$46)-(B27*'Active Mode Assumptions'!B9*'Active Mode Assumptions'!B15/(1+'Active Mode Assumptions'!B9))-(B28*'Active Mode Assumptions'!B18*'Active Mode Assumptions'!B24/(1+'Active Mode Assumptions'!B18))</f>
        <v>1955.0668243</v>
      </c>
      <c r="C30" s="4">
        <f ca="1">C162*'Total Distance Tables Sup #1'!C30*(1+'Other Assumptions'!G$46)-(C27*'Active Mode Assumptions'!C9*'Active Mode Assumptions'!C15/(1+'Active Mode Assumptions'!C9))-(C28*'Active Mode Assumptions'!C18*'Active Mode Assumptions'!C24/(1+'Active Mode Assumptions'!C18))</f>
        <v>2106.4939105043773</v>
      </c>
      <c r="D30" s="4">
        <f ca="1">D162*'Total Distance Tables Sup #1'!D30*(1+'Other Assumptions'!H$46)-(D27*'Active Mode Assumptions'!D9*'Active Mode Assumptions'!D15/(1+'Active Mode Assumptions'!D9))-(D28*'Active Mode Assumptions'!D18*'Active Mode Assumptions'!D24/(1+'Active Mode Assumptions'!D18))</f>
        <v>2178.88893772234</v>
      </c>
      <c r="E30" s="4">
        <f ca="1">E162*'Total Distance Tables Sup #1'!E30*(1+'Other Assumptions'!I$46)-(E27*'Active Mode Assumptions'!E9*'Active Mode Assumptions'!E15/(1+'Active Mode Assumptions'!E9))-(E28*'Active Mode Assumptions'!E18*'Active Mode Assumptions'!E24/(1+'Active Mode Assumptions'!E18))</f>
        <v>2236.1375453913911</v>
      </c>
      <c r="F30" s="4">
        <f ca="1">F162*'Total Distance Tables Sup #1'!F30*(1+'Other Assumptions'!J$46)-(F27*'Active Mode Assumptions'!F9*'Active Mode Assumptions'!F15/(1+'Active Mode Assumptions'!F9))-(F28*'Active Mode Assumptions'!F18*'Active Mode Assumptions'!F24/(1+'Active Mode Assumptions'!F18))</f>
        <v>2275.0281200712975</v>
      </c>
      <c r="G30" s="4">
        <f ca="1">G162*'Total Distance Tables Sup #1'!G30*(1+'Other Assumptions'!K$46)-(G27*'Active Mode Assumptions'!G9*'Active Mode Assumptions'!G15/(1+'Active Mode Assumptions'!G9))-(G28*'Active Mode Assumptions'!G18*'Active Mode Assumptions'!G24/(1+'Active Mode Assumptions'!G18))</f>
        <v>2297.1005389359689</v>
      </c>
      <c r="H30" s="4">
        <f ca="1">H162*'Total Distance Tables Sup #1'!H30*(1+'Other Assumptions'!L$46)-(H27*'Active Mode Assumptions'!H9*'Active Mode Assumptions'!H15/(1+'Active Mode Assumptions'!H9))-(H28*'Active Mode Assumptions'!H18*'Active Mode Assumptions'!H24/(1+'Active Mode Assumptions'!H18))</f>
        <v>2307.8948121679282</v>
      </c>
      <c r="I30" s="1">
        <f ca="1">I162*'Total Distance Tables Sup #1'!I30*(1+'Other Assumptions'!M$46)-(I27*'Active Mode Assumptions'!I9*'Active Mode Assumptions'!I15/(1+'Active Mode Assumptions'!I9))-(I28*'Active Mode Assumptions'!I18*'Active Mode Assumptions'!I24/(1+'Active Mode Assumptions'!I18))</f>
        <v>2361.3646878917953</v>
      </c>
      <c r="J30" s="1">
        <f ca="1">J162*'Total Distance Tables Sup #1'!J30*(1+'Other Assumptions'!N$46)-(J27*'Active Mode Assumptions'!J9*'Active Mode Assumptions'!J15/(1+'Active Mode Assumptions'!J9))-(J28*'Active Mode Assumptions'!J18*'Active Mode Assumptions'!J24/(1+'Active Mode Assumptions'!J18))</f>
        <v>2408.4094391227018</v>
      </c>
      <c r="K30" s="1">
        <f ca="1">K162*'Total Distance Tables Sup #1'!K30*(1+'Other Assumptions'!O$46)-(K27*'Active Mode Assumptions'!K9*'Active Mode Assumptions'!K15/(1+'Active Mode Assumptions'!K9))-(K28*'Active Mode Assumptions'!K18*'Active Mode Assumptions'!K24/(1+'Active Mode Assumptions'!K18))</f>
        <v>2451.1373346617511</v>
      </c>
    </row>
    <row r="31" spans="1:11" x14ac:dyDescent="0.25">
      <c r="A31" t="str">
        <f ca="1">OFFSET(Waikato_Reference,28,2)</f>
        <v>Taxi/Vehicle Share</v>
      </c>
      <c r="B31" s="4">
        <f ca="1">B163*'Total Distance Tables Sup #1'!B31*(1+'Other Assumptions'!D$46)</f>
        <v>2.4426175743999998</v>
      </c>
      <c r="C31" s="4">
        <f ca="1">C163*'Total Distance Tables Sup #1'!C31*(1+'Other Assumptions'!G$46)</f>
        <v>2.8511013716454858</v>
      </c>
      <c r="D31" s="4">
        <f ca="1">D163*'Total Distance Tables Sup #1'!D31*(1+'Other Assumptions'!H$46)</f>
        <v>3.172217235408231</v>
      </c>
      <c r="E31" s="4">
        <f ca="1">E163*'Total Distance Tables Sup #1'!E31*(1+'Other Assumptions'!I$46)</f>
        <v>3.4650956626225353</v>
      </c>
      <c r="F31" s="4">
        <f ca="1">F163*'Total Distance Tables Sup #1'!F31*(1+'Other Assumptions'!J$46)</f>
        <v>3.7196449800199041</v>
      </c>
      <c r="G31" s="4">
        <f ca="1">G163*'Total Distance Tables Sup #1'!G31*(1+'Other Assumptions'!K$46)</f>
        <v>3.9148025185110757</v>
      </c>
      <c r="H31" s="4">
        <f ca="1">H163*'Total Distance Tables Sup #1'!H31*(1+'Other Assumptions'!L$46)</f>
        <v>4.0986689208329841</v>
      </c>
      <c r="I31" s="1">
        <f ca="1">I163*'Total Distance Tables Sup #1'!I31*(1+'Other Assumptions'!M$46)</f>
        <v>4.1772782163660196</v>
      </c>
      <c r="J31" s="1">
        <f ca="1">J163*'Total Distance Tables Sup #1'!J31*(1+'Other Assumptions'!N$46)</f>
        <v>4.2438175730837182</v>
      </c>
      <c r="K31" s="1">
        <f ca="1">K163*'Total Distance Tables Sup #1'!K31*(1+'Other Assumptions'!O$46)</f>
        <v>4.3021308931700242</v>
      </c>
    </row>
    <row r="32" spans="1:11" x14ac:dyDescent="0.25">
      <c r="A32" t="str">
        <f ca="1">OFFSET(Waikato_Reference,35,2)</f>
        <v>Motorcyclist</v>
      </c>
      <c r="B32" s="4">
        <f ca="1">B164*'Total Distance Tables Sup #1'!B32*(1+'Other Assumptions'!D$46)</f>
        <v>38.030338682999997</v>
      </c>
      <c r="C32" s="4">
        <f ca="1">C164*'Total Distance Tables Sup #1'!C32*(1+'Other Assumptions'!G$46)</f>
        <v>42.600095717550701</v>
      </c>
      <c r="D32" s="4">
        <f ca="1">D164*'Total Distance Tables Sup #1'!D32*(1+'Other Assumptions'!H$46)</f>
        <v>45.041791456536529</v>
      </c>
      <c r="E32" s="4">
        <f ca="1">E164*'Total Distance Tables Sup #1'!E32*(1+'Other Assumptions'!I$46)</f>
        <v>46.439513527012167</v>
      </c>
      <c r="F32" s="4">
        <f ca="1">F164*'Total Distance Tables Sup #1'!F32*(1+'Other Assumptions'!J$46)</f>
        <v>47.304260560466552</v>
      </c>
      <c r="G32" s="4">
        <f ca="1">G164*'Total Distance Tables Sup #1'!G32*(1+'Other Assumptions'!K$46)</f>
        <v>47.280281369664593</v>
      </c>
      <c r="H32" s="4">
        <f ca="1">H164*'Total Distance Tables Sup #1'!H32*(1+'Other Assumptions'!L$46)</f>
        <v>47.001561926938919</v>
      </c>
      <c r="I32" s="1">
        <f ca="1">I164*'Total Distance Tables Sup #1'!I32*(1+'Other Assumptions'!M$46)</f>
        <v>48.334635190955936</v>
      </c>
      <c r="J32" s="1">
        <f ca="1">J164*'Total Distance Tables Sup #1'!J32*(1+'Other Assumptions'!N$46)</f>
        <v>49.5492024804878</v>
      </c>
      <c r="K32" s="1">
        <f ca="1">K164*'Total Distance Tables Sup #1'!K32*(1+'Other Assumptions'!O$46)</f>
        <v>50.686923178643362</v>
      </c>
    </row>
    <row r="33" spans="1:11" x14ac:dyDescent="0.25">
      <c r="A33" t="str">
        <f ca="1">OFFSET(Waikato_Reference,42,2)</f>
        <v>Local Train</v>
      </c>
      <c r="B33" s="4">
        <f ca="1">B165*'Total Distance Tables Sup #1'!B33*(1+'Other Assumptions'!D$46)</f>
        <v>0</v>
      </c>
      <c r="C33" s="4">
        <f ca="1">C165*'Total Distance Tables Sup #1'!C33*(1+'Other Assumptions'!G$46)</f>
        <v>0</v>
      </c>
      <c r="D33" s="4">
        <f ca="1">D165*'Total Distance Tables Sup #1'!D33*(1+'Other Assumptions'!H$46)</f>
        <v>0</v>
      </c>
      <c r="E33" s="4">
        <f ca="1">E165*'Total Distance Tables Sup #1'!E33*(1+'Other Assumptions'!I$46)</f>
        <v>0</v>
      </c>
      <c r="F33" s="4">
        <f ca="1">F165*'Total Distance Tables Sup #1'!F33*(1+'Other Assumptions'!J$46)</f>
        <v>0</v>
      </c>
      <c r="G33" s="4">
        <f ca="1">G165*'Total Distance Tables Sup #1'!G33*(1+'Other Assumptions'!K$46)</f>
        <v>0</v>
      </c>
      <c r="H33" s="4">
        <f ca="1">H165*'Total Distance Tables Sup #1'!H33*(1+'Other Assumptions'!L$46)</f>
        <v>0</v>
      </c>
      <c r="I33" s="1">
        <f ca="1">I165*'Total Distance Tables Sup #1'!I33*(1+'Other Assumptions'!M$46)</f>
        <v>0</v>
      </c>
      <c r="J33" s="1">
        <f ca="1">J165*'Total Distance Tables Sup #1'!J33*(1+'Other Assumptions'!N$46)</f>
        <v>0</v>
      </c>
      <c r="K33" s="1">
        <f ca="1">K165*'Total Distance Tables Sup #1'!K33*(1+'Other Assumptions'!O$46)</f>
        <v>0</v>
      </c>
    </row>
    <row r="34" spans="1:11" x14ac:dyDescent="0.25">
      <c r="A34" t="str">
        <f ca="1">OFFSET(Waikato_Reference,49,2)</f>
        <v>Local Bus</v>
      </c>
      <c r="B34" s="4">
        <f ca="1">B166*'Total Distance Tables Sup #1'!B34*(1+'Other Assumptions'!D$46)</f>
        <v>54.303948532</v>
      </c>
      <c r="C34" s="4">
        <f ca="1">C166*'Total Distance Tables Sup #1'!C34*(1+'Other Assumptions'!G$46)</f>
        <v>54.197831509645304</v>
      </c>
      <c r="D34" s="4">
        <f ca="1">D166*'Total Distance Tables Sup #1'!D34*(1+'Other Assumptions'!H$46)</f>
        <v>53.540828562054578</v>
      </c>
      <c r="E34" s="4">
        <f ca="1">E166*'Total Distance Tables Sup #1'!E34*(1+'Other Assumptions'!I$46)</f>
        <v>53.139447925816029</v>
      </c>
      <c r="F34" s="4">
        <f ca="1">F166*'Total Distance Tables Sup #1'!F34*(1+'Other Assumptions'!J$46)</f>
        <v>51.811083303047667</v>
      </c>
      <c r="G34" s="4">
        <f ca="1">G166*'Total Distance Tables Sup #1'!G34*(1+'Other Assumptions'!K$46)</f>
        <v>51.061831584382716</v>
      </c>
      <c r="H34" s="4">
        <f ca="1">H166*'Total Distance Tables Sup #1'!H34*(1+'Other Assumptions'!L$46)</f>
        <v>50.143619015008575</v>
      </c>
      <c r="I34" s="1">
        <f ca="1">I166*'Total Distance Tables Sup #1'!I34*(1+'Other Assumptions'!M$46)</f>
        <v>51.311003325168706</v>
      </c>
      <c r="J34" s="1">
        <f ca="1">J166*'Total Distance Tables Sup #1'!J34*(1+'Other Assumptions'!N$46)</f>
        <v>52.338357993621813</v>
      </c>
      <c r="K34" s="1">
        <f ca="1">K166*'Total Distance Tables Sup #1'!K34*(1+'Other Assumptions'!O$46)</f>
        <v>53.271459607977015</v>
      </c>
    </row>
    <row r="35" spans="1:11" x14ac:dyDescent="0.25">
      <c r="A35" t="str">
        <f ca="1">OFFSET(Waikato_Reference,56,2)</f>
        <v>Local Ferry</v>
      </c>
      <c r="B35" s="4">
        <f ca="1">B167*'Total Distance Tables Sup #1'!B35*(1+'Other Assumptions'!D$46)</f>
        <v>0</v>
      </c>
      <c r="C35" s="4">
        <f ca="1">C167*'Total Distance Tables Sup #1'!C35*(1+'Other Assumptions'!G$46)</f>
        <v>0</v>
      </c>
      <c r="D35" s="4">
        <f ca="1">D167*'Total Distance Tables Sup #1'!D35*(1+'Other Assumptions'!H$46)</f>
        <v>0</v>
      </c>
      <c r="E35" s="4">
        <f ca="1">E167*'Total Distance Tables Sup #1'!E35*(1+'Other Assumptions'!I$46)</f>
        <v>0</v>
      </c>
      <c r="F35" s="4">
        <f ca="1">F167*'Total Distance Tables Sup #1'!F35*(1+'Other Assumptions'!J$46)</f>
        <v>0</v>
      </c>
      <c r="G35" s="4">
        <f ca="1">G167*'Total Distance Tables Sup #1'!G35*(1+'Other Assumptions'!K$46)</f>
        <v>0</v>
      </c>
      <c r="H35" s="4">
        <f ca="1">H167*'Total Distance Tables Sup #1'!H35*(1+'Other Assumptions'!L$46)</f>
        <v>0</v>
      </c>
      <c r="I35" s="1">
        <f ca="1">I167*'Total Distance Tables Sup #1'!I35*(1+'Other Assumptions'!M$46)</f>
        <v>0</v>
      </c>
      <c r="J35" s="1">
        <f ca="1">J167*'Total Distance Tables Sup #1'!J35*(1+'Other Assumptions'!N$46)</f>
        <v>0</v>
      </c>
      <c r="K35" s="1">
        <f ca="1">K167*'Total Distance Tables Sup #1'!K35*(1+'Other Assumptions'!O$46)</f>
        <v>0</v>
      </c>
    </row>
    <row r="36" spans="1:11" x14ac:dyDescent="0.25">
      <c r="A36" t="str">
        <f ca="1">OFFSET(Waikato_Reference,63,2)</f>
        <v>Other Household Travel</v>
      </c>
      <c r="B36" s="4">
        <f ca="1">B168*'Total Distance Tables Sup #1'!B36*(1+'Other Assumptions'!D$46)</f>
        <v>0</v>
      </c>
      <c r="C36" s="4">
        <f ca="1">C168*'Total Distance Tables Sup #1'!C36*(1+'Other Assumptions'!G$46)</f>
        <v>0</v>
      </c>
      <c r="D36" s="4">
        <f ca="1">D168*'Total Distance Tables Sup #1'!D36*(1+'Other Assumptions'!H$46)</f>
        <v>0</v>
      </c>
      <c r="E36" s="4">
        <f ca="1">E168*'Total Distance Tables Sup #1'!E36*(1+'Other Assumptions'!I$46)</f>
        <v>0</v>
      </c>
      <c r="F36" s="4">
        <f ca="1">F168*'Total Distance Tables Sup #1'!F36*(1+'Other Assumptions'!J$46)</f>
        <v>0</v>
      </c>
      <c r="G36" s="4">
        <f ca="1">G168*'Total Distance Tables Sup #1'!G36*(1+'Other Assumptions'!K$46)</f>
        <v>0</v>
      </c>
      <c r="H36" s="4">
        <f ca="1">H168*'Total Distance Tables Sup #1'!H36*(1+'Other Assumptions'!L$46)</f>
        <v>0</v>
      </c>
      <c r="I36" s="1">
        <f ca="1">I168*'Total Distance Tables Sup #1'!I36*(1+'Other Assumptions'!M$46)</f>
        <v>0</v>
      </c>
      <c r="J36" s="1">
        <f ca="1">J168*'Total Distance Tables Sup #1'!J36*(1+'Other Assumptions'!N$46)</f>
        <v>0</v>
      </c>
      <c r="K36" s="1">
        <f ca="1">K168*'Total Distance Tables Sup #1'!K36*(1+'Other Assumptions'!O$46)</f>
        <v>0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B159*'Total Distance Tables Sup #1'!B38*(1+'Other Assumptions'!D$47)*(1+'Active Mode Assumptions'!B9)</f>
        <v>35.579183637</v>
      </c>
      <c r="C38" s="4">
        <f ca="1">C159*'Total Distance Tables Sup #1'!C38*(1+'Other Assumptions'!G$47)*(1+'Active Mode Assumptions'!C9)</f>
        <v>37.964685306421586</v>
      </c>
      <c r="D38" s="4">
        <f ca="1">D159*'Total Distance Tables Sup #1'!D38*(1+'Other Assumptions'!H$47)*(1+'Active Mode Assumptions'!D9)</f>
        <v>41.372026005457457</v>
      </c>
      <c r="E38" s="4">
        <f ca="1">E159*'Total Distance Tables Sup #1'!E38*(1+'Other Assumptions'!I$47)*(1+'Active Mode Assumptions'!E9)</f>
        <v>44.096502972198991</v>
      </c>
      <c r="F38" s="4">
        <f ca="1">F159*'Total Distance Tables Sup #1'!F38*(1+'Other Assumptions'!J$47)*(1+'Active Mode Assumptions'!F9)</f>
        <v>46.368913111301239</v>
      </c>
      <c r="G38" s="4">
        <f ca="1">G159*'Total Distance Tables Sup #1'!G38*(1+'Other Assumptions'!K$47)*(1+'Active Mode Assumptions'!G9)</f>
        <v>48.470371909096372</v>
      </c>
      <c r="H38" s="4">
        <f ca="1">H159*'Total Distance Tables Sup #1'!H38*(1+'Other Assumptions'!L$47)*(1+'Active Mode Assumptions'!H9)</f>
        <v>50.376225954458754</v>
      </c>
      <c r="I38" s="1">
        <f ca="1">I159*'Total Distance Tables Sup #1'!I38*(1+'Other Assumptions'!M$47)*(1+'Active Mode Assumptions'!I9)</f>
        <v>51.040001188961902</v>
      </c>
      <c r="J38" s="1">
        <f ca="1">J159*'Total Distance Tables Sup #1'!J38*(1+'Other Assumptions'!N$47)*(1+'Active Mode Assumptions'!J9)</f>
        <v>51.54864029504607</v>
      </c>
      <c r="K38" s="1">
        <f ca="1">K159*'Total Distance Tables Sup #1'!K38*(1+'Other Assumptions'!O$47)*(1+'Active Mode Assumptions'!K9)</f>
        <v>51.951195431500167</v>
      </c>
    </row>
    <row r="39" spans="1:11" x14ac:dyDescent="0.25">
      <c r="A39" t="str">
        <f ca="1">OFFSET(BOP_Reference,7,2)</f>
        <v>Cyclist</v>
      </c>
      <c r="B39" s="4">
        <f ca="1">B160*'Total Distance Tables Sup #1'!B39*(1+'Other Assumptions'!D$47)*(1+'Active Mode Assumptions'!B18)</f>
        <v>8.5028812633000008</v>
      </c>
      <c r="C39" s="4">
        <f ca="1">C160*'Total Distance Tables Sup #1'!C39*(1+'Other Assumptions'!G$47)*(1+'Active Mode Assumptions'!C18)</f>
        <v>9.3907753464377812</v>
      </c>
      <c r="D39" s="4">
        <f ca="1">D160*'Total Distance Tables Sup #1'!D39*(1+'Other Assumptions'!H$47)*(1+'Active Mode Assumptions'!D18)</f>
        <v>13.714553812186907</v>
      </c>
      <c r="E39" s="4">
        <f ca="1">E160*'Total Distance Tables Sup #1'!E39*(1+'Other Assumptions'!I$47)*(1+'Active Mode Assumptions'!E18)</f>
        <v>17.938942402586015</v>
      </c>
      <c r="F39" s="4">
        <f ca="1">F160*'Total Distance Tables Sup #1'!F39*(1+'Other Assumptions'!J$47)*(1+'Active Mode Assumptions'!F18)</f>
        <v>22.545451551950617</v>
      </c>
      <c r="G39" s="4">
        <f ca="1">G160*'Total Distance Tables Sup #1'!G39*(1+'Other Assumptions'!K$47)*(1+'Active Mode Assumptions'!G18)</f>
        <v>27.742280039275826</v>
      </c>
      <c r="H39" s="4">
        <f ca="1">H160*'Total Distance Tables Sup #1'!H39*(1+'Other Assumptions'!L$47)*(1+'Active Mode Assumptions'!H18)</f>
        <v>33.304574094421774</v>
      </c>
      <c r="I39" s="1">
        <f ca="1">I160*'Total Distance Tables Sup #1'!I39*(1+'Other Assumptions'!M$47)*(1+'Active Mode Assumptions'!I18)</f>
        <v>33.901940734404818</v>
      </c>
      <c r="J39" s="1">
        <f ca="1">J160*'Total Distance Tables Sup #1'!J39*(1+'Other Assumptions'!N$47)*(1+'Active Mode Assumptions'!J18)</f>
        <v>34.402222415707577</v>
      </c>
      <c r="K39" s="1">
        <f ca="1">K160*'Total Distance Tables Sup #1'!K39*(1+'Other Assumptions'!O$47)*(1+'Active Mode Assumptions'!K18)</f>
        <v>34.836899167834389</v>
      </c>
    </row>
    <row r="40" spans="1:11" x14ac:dyDescent="0.25">
      <c r="A40" t="str">
        <f ca="1">OFFSET(BOP_Reference,14,2)</f>
        <v>Light Vehicle Driver</v>
      </c>
      <c r="B40" s="4">
        <f ca="1">B161*'Total Distance Tables Sup #1'!B40*(1+'Other Assumptions'!D$47)-(B38*'Active Mode Assumptions'!B9*'Active Mode Assumptions'!B14/(1+'Active Mode Assumptions'!B9))-(B39*'Active Mode Assumptions'!B18*'Active Mode Assumptions'!B23/(1+'Active Mode Assumptions'!B18))</f>
        <v>1972.0747595</v>
      </c>
      <c r="C40" s="4">
        <f ca="1">C161*'Total Distance Tables Sup #1'!C40*(1+'Other Assumptions'!G$47)-(C38*'Active Mode Assumptions'!C9*'Active Mode Assumptions'!C14/(1+'Active Mode Assumptions'!C9))-(C39*'Active Mode Assumptions'!C18*'Active Mode Assumptions'!C23/(1+'Active Mode Assumptions'!C18))</f>
        <v>2178.044306286693</v>
      </c>
      <c r="D40" s="4">
        <f ca="1">D161*'Total Distance Tables Sup #1'!D40*(1+'Other Assumptions'!H$47)-(D38*'Active Mode Assumptions'!D9*'Active Mode Assumptions'!D14/(1+'Active Mode Assumptions'!D9))-(D39*'Active Mode Assumptions'!D18*'Active Mode Assumptions'!D23/(1+'Active Mode Assumptions'!D18))</f>
        <v>2288.1655062574027</v>
      </c>
      <c r="E40" s="4">
        <f ca="1">E161*'Total Distance Tables Sup #1'!E40*(1+'Other Assumptions'!I$47)-(E38*'Active Mode Assumptions'!E9*'Active Mode Assumptions'!E14/(1+'Active Mode Assumptions'!E9))-(E39*'Active Mode Assumptions'!E18*'Active Mode Assumptions'!E23/(1+'Active Mode Assumptions'!E18))</f>
        <v>2383.2080996093441</v>
      </c>
      <c r="F40" s="4">
        <f ca="1">F161*'Total Distance Tables Sup #1'!F40*(1+'Other Assumptions'!J$47)-(F38*'Active Mode Assumptions'!F9*'Active Mode Assumptions'!F14/(1+'Active Mode Assumptions'!F9))-(F39*'Active Mode Assumptions'!F18*'Active Mode Assumptions'!F23/(1+'Active Mode Assumptions'!F18))</f>
        <v>2465.2571747119155</v>
      </c>
      <c r="G40" s="4">
        <f ca="1">G161*'Total Distance Tables Sup #1'!G40*(1+'Other Assumptions'!K$47)-(G38*'Active Mode Assumptions'!G9*'Active Mode Assumptions'!G14/(1+'Active Mode Assumptions'!G9))-(G39*'Active Mode Assumptions'!G18*'Active Mode Assumptions'!G23/(1+'Active Mode Assumptions'!G18))</f>
        <v>2518.8539195044686</v>
      </c>
      <c r="H40" s="4">
        <f ca="1">H161*'Total Distance Tables Sup #1'!H40*(1+'Other Assumptions'!L$47)-(H38*'Active Mode Assumptions'!H9*'Active Mode Assumptions'!H14/(1+'Active Mode Assumptions'!H9))-(H39*'Active Mode Assumptions'!H18*'Active Mode Assumptions'!H23/(1+'Active Mode Assumptions'!H18))</f>
        <v>2561.3702708319775</v>
      </c>
      <c r="I40" s="1">
        <f ca="1">I161*'Total Distance Tables Sup #1'!I40*(1+'Other Assumptions'!M$47)-(I38*'Active Mode Assumptions'!I9*'Active Mode Assumptions'!I14/(1+'Active Mode Assumptions'!I9))-(I39*'Active Mode Assumptions'!I18*'Active Mode Assumptions'!I23/(1+'Active Mode Assumptions'!I18))</f>
        <v>2600.1468053012741</v>
      </c>
      <c r="J40" s="1">
        <f ca="1">J161*'Total Distance Tables Sup #1'!J40*(1+'Other Assumptions'!N$47)-(J38*'Active Mode Assumptions'!J9*'Active Mode Assumptions'!J14/(1+'Active Mode Assumptions'!J9))-(J39*'Active Mode Assumptions'!J18*'Active Mode Assumptions'!J23/(1+'Active Mode Assumptions'!J18))</f>
        <v>2631.1287595216681</v>
      </c>
      <c r="K40" s="1">
        <f ca="1">K161*'Total Distance Tables Sup #1'!K40*(1+'Other Assumptions'!O$47)-(K38*'Active Mode Assumptions'!K9*'Active Mode Assumptions'!K14/(1+'Active Mode Assumptions'!K9))-(K39*'Active Mode Assumptions'!K18*'Active Mode Assumptions'!K23/(1+'Active Mode Assumptions'!K18))</f>
        <v>2656.7775151983706</v>
      </c>
    </row>
    <row r="41" spans="1:11" x14ac:dyDescent="0.25">
      <c r="A41" t="str">
        <f ca="1">OFFSET(BOP_Reference,21,2)</f>
        <v>Light Vehicle Passenger</v>
      </c>
      <c r="B41" s="4">
        <f ca="1">B162*'Total Distance Tables Sup #1'!B41*(1+'Other Assumptions'!D$47)-(B38*'Active Mode Assumptions'!B9*'Active Mode Assumptions'!B15/(1+'Active Mode Assumptions'!B9))-(B39*'Active Mode Assumptions'!B18*'Active Mode Assumptions'!B24/(1+'Active Mode Assumptions'!B18))</f>
        <v>1385.2330090999999</v>
      </c>
      <c r="C41" s="4">
        <f ca="1">C162*'Total Distance Tables Sup #1'!C41*(1+'Other Assumptions'!G$47)-(C38*'Active Mode Assumptions'!C9*'Active Mode Assumptions'!C15/(1+'Active Mode Assumptions'!C9))-(C39*'Active Mode Assumptions'!C18*'Active Mode Assumptions'!C24/(1+'Active Mode Assumptions'!C18))</f>
        <v>1471.8542915566561</v>
      </c>
      <c r="D41" s="4">
        <f ca="1">D162*'Total Distance Tables Sup #1'!D41*(1+'Other Assumptions'!H$47)-(D38*'Active Mode Assumptions'!D9*'Active Mode Assumptions'!D15/(1+'Active Mode Assumptions'!D9))-(D39*'Active Mode Assumptions'!D18*'Active Mode Assumptions'!D24/(1+'Active Mode Assumptions'!D18))</f>
        <v>1512.8935167152772</v>
      </c>
      <c r="E41" s="4">
        <f ca="1">E162*'Total Distance Tables Sup #1'!E41*(1+'Other Assumptions'!I$47)-(E38*'Active Mode Assumptions'!E9*'Active Mode Assumptions'!E15/(1+'Active Mode Assumptions'!E9))-(E39*'Active Mode Assumptions'!E18*'Active Mode Assumptions'!E24/(1+'Active Mode Assumptions'!E18))</f>
        <v>1543.135711300735</v>
      </c>
      <c r="F41" s="4">
        <f ca="1">F162*'Total Distance Tables Sup #1'!F41*(1+'Other Assumptions'!J$47)-(F38*'Active Mode Assumptions'!F9*'Active Mode Assumptions'!F15/(1+'Active Mode Assumptions'!F9))-(F39*'Active Mode Assumptions'!F18*'Active Mode Assumptions'!F24/(1+'Active Mode Assumptions'!F18))</f>
        <v>1560.7936725025322</v>
      </c>
      <c r="G41" s="4">
        <f ca="1">G162*'Total Distance Tables Sup #1'!G41*(1+'Other Assumptions'!K$47)-(G38*'Active Mode Assumptions'!G9*'Active Mode Assumptions'!G15/(1+'Active Mode Assumptions'!G9))-(G39*'Active Mode Assumptions'!G18*'Active Mode Assumptions'!G24/(1+'Active Mode Assumptions'!G18))</f>
        <v>1566.2414807972814</v>
      </c>
      <c r="H41" s="4">
        <f ca="1">H162*'Total Distance Tables Sup #1'!H41*(1+'Other Assumptions'!L$47)-(H38*'Active Mode Assumptions'!H9*'Active Mode Assumptions'!H15/(1+'Active Mode Assumptions'!H9))-(H39*'Active Mode Assumptions'!H18*'Active Mode Assumptions'!H24/(1+'Active Mode Assumptions'!H18))</f>
        <v>1564.0575811815538</v>
      </c>
      <c r="I41" s="1">
        <f ca="1">I162*'Total Distance Tables Sup #1'!I41*(1+'Other Assumptions'!M$47)-(I38*'Active Mode Assumptions'!I9*'Active Mode Assumptions'!I15/(1+'Active Mode Assumptions'!I9))-(I39*'Active Mode Assumptions'!I18*'Active Mode Assumptions'!I24/(1+'Active Mode Assumptions'!I18))</f>
        <v>1589.4915443958148</v>
      </c>
      <c r="J41" s="1">
        <f ca="1">J162*'Total Distance Tables Sup #1'!J41*(1+'Other Assumptions'!N$47)-(J38*'Active Mode Assumptions'!J9*'Active Mode Assumptions'!J15/(1+'Active Mode Assumptions'!J9))-(J39*'Active Mode Assumptions'!J18*'Active Mode Assumptions'!J24/(1+'Active Mode Assumptions'!J18))</f>
        <v>1610.2153936543764</v>
      </c>
      <c r="K41" s="1">
        <f ca="1">K162*'Total Distance Tables Sup #1'!K41*(1+'Other Assumptions'!O$47)-(K38*'Active Mode Assumptions'!K9*'Active Mode Assumptions'!K15/(1+'Active Mode Assumptions'!K9))-(K39*'Active Mode Assumptions'!K18*'Active Mode Assumptions'!K24/(1+'Active Mode Assumptions'!K18))</f>
        <v>1627.7206008935718</v>
      </c>
    </row>
    <row r="42" spans="1:11" x14ac:dyDescent="0.25">
      <c r="A42" t="str">
        <f ca="1">OFFSET(BOP_Reference,28,2)</f>
        <v>Taxi/Vehicle Share</v>
      </c>
      <c r="B42" s="4">
        <f ca="1">B163*'Total Distance Tables Sup #1'!B42*(1+'Other Assumptions'!D$47)</f>
        <v>0.98369936449999995</v>
      </c>
      <c r="C42" s="4">
        <f ca="1">C163*'Total Distance Tables Sup #1'!C42*(1+'Other Assumptions'!G$47)</f>
        <v>1.1323037800207978</v>
      </c>
      <c r="D42" s="4">
        <f ca="1">D163*'Total Distance Tables Sup #1'!D42*(1+'Other Assumptions'!H$47)</f>
        <v>1.2512476051982415</v>
      </c>
      <c r="E42" s="4">
        <f ca="1">E163*'Total Distance Tables Sup #1'!E42*(1+'Other Assumptions'!I$47)</f>
        <v>1.3576584754581038</v>
      </c>
      <c r="F42" s="4">
        <f ca="1">F163*'Total Distance Tables Sup #1'!F42*(1+'Other Assumptions'!J$47)</f>
        <v>1.4480399925821852</v>
      </c>
      <c r="G42" s="4">
        <f ca="1">G163*'Total Distance Tables Sup #1'!G42*(1+'Other Assumptions'!K$47)</f>
        <v>1.5136726495896391</v>
      </c>
      <c r="H42" s="4">
        <f ca="1">H163*'Total Distance Tables Sup #1'!H42*(1+'Other Assumptions'!L$47)</f>
        <v>1.5740604527664859</v>
      </c>
      <c r="I42" s="1">
        <f ca="1">I163*'Total Distance Tables Sup #1'!I42*(1+'Other Assumptions'!M$47)</f>
        <v>1.5934132882947889</v>
      </c>
      <c r="J42" s="1">
        <f ca="1">J163*'Total Distance Tables Sup #1'!J42*(1+'Other Assumptions'!N$47)</f>
        <v>1.6078599019426922</v>
      </c>
      <c r="K42" s="1">
        <f ca="1">K163*'Total Distance Tables Sup #1'!K42*(1+'Other Assumptions'!O$47)</f>
        <v>1.6189430876679669</v>
      </c>
    </row>
    <row r="43" spans="1:11" x14ac:dyDescent="0.25">
      <c r="A43" t="str">
        <f ca="1">OFFSET(BOP_Reference,35,2)</f>
        <v>Motorcyclist</v>
      </c>
      <c r="B43" s="4">
        <f ca="1">B164*'Total Distance Tables Sup #1'!B43*(1+'Other Assumptions'!D$47)</f>
        <v>35.608960758999999</v>
      </c>
      <c r="C43" s="4">
        <f ca="1">C164*'Total Distance Tables Sup #1'!C43*(1+'Other Assumptions'!G$47)</f>
        <v>39.335354242678605</v>
      </c>
      <c r="D43" s="4">
        <f ca="1">D164*'Total Distance Tables Sup #1'!D43*(1+'Other Assumptions'!H$47)</f>
        <v>41.306479955427022</v>
      </c>
      <c r="E43" s="4">
        <f ca="1">E164*'Total Distance Tables Sup #1'!E43*(1+'Other Assumptions'!I$47)</f>
        <v>42.30436305033605</v>
      </c>
      <c r="F43" s="4">
        <f ca="1">F164*'Total Distance Tables Sup #1'!F43*(1+'Other Assumptions'!J$47)</f>
        <v>42.815548945391932</v>
      </c>
      <c r="G43" s="4">
        <f ca="1">G164*'Total Distance Tables Sup #1'!G43*(1+'Other Assumptions'!K$47)</f>
        <v>42.503466310655902</v>
      </c>
      <c r="H43" s="4">
        <f ca="1">H164*'Total Distance Tables Sup #1'!H43*(1+'Other Assumptions'!L$47)</f>
        <v>41.96749545649223</v>
      </c>
      <c r="I43" s="1">
        <f ca="1">I164*'Total Distance Tables Sup #1'!I43*(1+'Other Assumptions'!M$47)</f>
        <v>42.866267631788695</v>
      </c>
      <c r="J43" s="1">
        <f ca="1">J164*'Total Distance Tables Sup #1'!J43*(1+'Other Assumptions'!N$47)</f>
        <v>43.64659402522652</v>
      </c>
      <c r="K43" s="1">
        <f ca="1">K164*'Total Distance Tables Sup #1'!K43*(1+'Other Assumptions'!O$47)</f>
        <v>44.347187696282717</v>
      </c>
    </row>
    <row r="44" spans="1:11" x14ac:dyDescent="0.25">
      <c r="A44" t="str">
        <f ca="1">OFFSET(Auckland_Reference,42,2)</f>
        <v>Local Train</v>
      </c>
      <c r="B44" s="4">
        <f ca="1">B165*'Total Distance Tables Sup #1'!B44*(1+'Other Assumptions'!D$47)</f>
        <v>0</v>
      </c>
      <c r="C44" s="4">
        <f ca="1">C165*'Total Distance Tables Sup #1'!C44*(1+'Other Assumptions'!G$47)</f>
        <v>0</v>
      </c>
      <c r="D44" s="4">
        <f ca="1">D165*'Total Distance Tables Sup #1'!D44*(1+'Other Assumptions'!H$47)</f>
        <v>0</v>
      </c>
      <c r="E44" s="4">
        <f ca="1">E165*'Total Distance Tables Sup #1'!E44*(1+'Other Assumptions'!I$47)</f>
        <v>0</v>
      </c>
      <c r="F44" s="4">
        <f ca="1">F165*'Total Distance Tables Sup #1'!F44*(1+'Other Assumptions'!J$47)</f>
        <v>0</v>
      </c>
      <c r="G44" s="4">
        <f ca="1">G165*'Total Distance Tables Sup #1'!G44*(1+'Other Assumptions'!K$47)</f>
        <v>0</v>
      </c>
      <c r="H44" s="4">
        <f ca="1">H165*'Total Distance Tables Sup #1'!H44*(1+'Other Assumptions'!L$47)</f>
        <v>0</v>
      </c>
      <c r="I44" s="1">
        <f ca="1">I165*'Total Distance Tables Sup #1'!I44*(1+'Other Assumptions'!M$47)</f>
        <v>0</v>
      </c>
      <c r="J44" s="1">
        <f ca="1">J165*'Total Distance Tables Sup #1'!J44*(1+'Other Assumptions'!N$47)</f>
        <v>0</v>
      </c>
      <c r="K44" s="1">
        <f ca="1">K165*'Total Distance Tables Sup #1'!K44*(1+'Other Assumptions'!O$47)</f>
        <v>0</v>
      </c>
    </row>
    <row r="45" spans="1:11" x14ac:dyDescent="0.25">
      <c r="A45" t="str">
        <f ca="1">OFFSET(BOP_Reference,42,2)</f>
        <v>Local Bus</v>
      </c>
      <c r="B45" s="4">
        <f ca="1">B166*'Total Distance Tables Sup #1'!B45*(1+'Other Assumptions'!D$47)</f>
        <v>52.669440211999998</v>
      </c>
      <c r="C45" s="4">
        <f ca="1">C166*'Total Distance Tables Sup #1'!C45*(1+'Other Assumptions'!G$47)</f>
        <v>51.83851939559559</v>
      </c>
      <c r="D45" s="4">
        <f ca="1">D166*'Total Distance Tables Sup #1'!D45*(1+'Other Assumptions'!H$47)</f>
        <v>50.861106809899731</v>
      </c>
      <c r="E45" s="4">
        <f ca="1">E166*'Total Distance Tables Sup #1'!E45*(1+'Other Assumptions'!I$47)</f>
        <v>50.143278349867053</v>
      </c>
      <c r="F45" s="4">
        <f ca="1">F166*'Total Distance Tables Sup #1'!F45*(1+'Other Assumptions'!J$47)</f>
        <v>48.576041271631219</v>
      </c>
      <c r="G45" s="4">
        <f ca="1">G166*'Total Distance Tables Sup #1'!G45*(1+'Other Assumptions'!K$47)</f>
        <v>47.548724757845591</v>
      </c>
      <c r="H45" s="4">
        <f ca="1">H166*'Total Distance Tables Sup #1'!H45*(1+'Other Assumptions'!L$47)</f>
        <v>46.378278519346011</v>
      </c>
      <c r="I45" s="1">
        <f ca="1">I166*'Total Distance Tables Sup #1'!I45*(1+'Other Assumptions'!M$47)</f>
        <v>47.137432167534392</v>
      </c>
      <c r="J45" s="1">
        <f ca="1">J166*'Total Distance Tables Sup #1'!J45*(1+'Other Assumptions'!N$47)</f>
        <v>47.756442913833681</v>
      </c>
      <c r="K45" s="1">
        <f ca="1">K166*'Total Distance Tables Sup #1'!K45*(1+'Other Assumptions'!O$47)</f>
        <v>48.279519444816735</v>
      </c>
    </row>
    <row r="46" spans="1:11" x14ac:dyDescent="0.25">
      <c r="A46" t="str">
        <f ca="1">OFFSET(Waikato_Reference,56,2)</f>
        <v>Local Ferry</v>
      </c>
      <c r="B46" s="4">
        <f>B167*'Total Distance Tables Sup #1'!B46*(1+'Other Assumptions'!D$47)</f>
        <v>0</v>
      </c>
      <c r="C46" s="4">
        <f ca="1">C167*'Total Distance Tables Sup #1'!C46*(1+'Other Assumptions'!G$47)</f>
        <v>0</v>
      </c>
      <c r="D46" s="4">
        <f ca="1">D167*'Total Distance Tables Sup #1'!D46*(1+'Other Assumptions'!H$47)</f>
        <v>0</v>
      </c>
      <c r="E46" s="4">
        <f ca="1">E167*'Total Distance Tables Sup #1'!E46*(1+'Other Assumptions'!I$47)</f>
        <v>0</v>
      </c>
      <c r="F46" s="4">
        <f ca="1">F167*'Total Distance Tables Sup #1'!F46*(1+'Other Assumptions'!J$47)</f>
        <v>0</v>
      </c>
      <c r="G46" s="4">
        <f ca="1">G167*'Total Distance Tables Sup #1'!G46*(1+'Other Assumptions'!K$47)</f>
        <v>0</v>
      </c>
      <c r="H46" s="4">
        <f ca="1">H167*'Total Distance Tables Sup #1'!H46*(1+'Other Assumptions'!L$47)</f>
        <v>0</v>
      </c>
      <c r="I46" s="1">
        <f ca="1">I167*'Total Distance Tables Sup #1'!I46*(1+'Other Assumptions'!M$47)</f>
        <v>0</v>
      </c>
      <c r="J46" s="1">
        <f ca="1">J167*'Total Distance Tables Sup #1'!J46*(1+'Other Assumptions'!N$47)</f>
        <v>0</v>
      </c>
      <c r="K46" s="1">
        <f ca="1">K167*'Total Distance Tables Sup #1'!K46*(1+'Other Assumptions'!O$47)</f>
        <v>0</v>
      </c>
    </row>
    <row r="47" spans="1:11" x14ac:dyDescent="0.25">
      <c r="A47" t="str">
        <f ca="1">OFFSET(BOP_Reference,49,2)</f>
        <v>Other Household Travel</v>
      </c>
      <c r="B47" s="4">
        <f ca="1">B168*'Total Distance Tables Sup #1'!B47*(1+'Other Assumptions'!D$47)</f>
        <v>0</v>
      </c>
      <c r="C47" s="4">
        <f ca="1">C168*'Total Distance Tables Sup #1'!C47*(1+'Other Assumptions'!G$47)</f>
        <v>0</v>
      </c>
      <c r="D47" s="4">
        <f ca="1">D168*'Total Distance Tables Sup #1'!D47*(1+'Other Assumptions'!H$47)</f>
        <v>0</v>
      </c>
      <c r="E47" s="4">
        <f ca="1">E168*'Total Distance Tables Sup #1'!E47*(1+'Other Assumptions'!I$47)</f>
        <v>0</v>
      </c>
      <c r="F47" s="4">
        <f ca="1">F168*'Total Distance Tables Sup #1'!F47*(1+'Other Assumptions'!J$47)</f>
        <v>0</v>
      </c>
      <c r="G47" s="4">
        <f ca="1">G168*'Total Distance Tables Sup #1'!G47*(1+'Other Assumptions'!K$47)</f>
        <v>0</v>
      </c>
      <c r="H47" s="4">
        <f ca="1">H168*'Total Distance Tables Sup #1'!H47*(1+'Other Assumptions'!L$47)</f>
        <v>0</v>
      </c>
      <c r="I47" s="1">
        <f ca="1">I168*'Total Distance Tables Sup #1'!I47*(1+'Other Assumptions'!M$47)</f>
        <v>0</v>
      </c>
      <c r="J47" s="1">
        <f ca="1">J168*'Total Distance Tables Sup #1'!J47*(1+'Other Assumptions'!N$47)</f>
        <v>0</v>
      </c>
      <c r="K47" s="1">
        <f ca="1">K168*'Total Distance Tables Sup #1'!K47*(1+'Other Assumptions'!O$47)</f>
        <v>0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B159*'Total Distance Tables Sup #1'!B49*(1+'Other Assumptions'!D$48)*(1+'Active Mode Assumptions'!B9)</f>
        <v>7.5635235767999998</v>
      </c>
      <c r="C49" s="4">
        <f ca="1">C159*'Total Distance Tables Sup #1'!C49*(1+'Other Assumptions'!G$48)*(1+'Active Mode Assumptions'!C9)</f>
        <v>7.6751282634597304</v>
      </c>
      <c r="D49" s="4">
        <f ca="1">D159*'Total Distance Tables Sup #1'!D49*(1+'Other Assumptions'!H$48)*(1+'Active Mode Assumptions'!D9)</f>
        <v>8.1205131376615558</v>
      </c>
      <c r="E49" s="4">
        <f ca="1">E159*'Total Distance Tables Sup #1'!E49*(1+'Other Assumptions'!I$48)*(1+'Active Mode Assumptions'!E9)</f>
        <v>8.4575835555300767</v>
      </c>
      <c r="F49" s="4">
        <f ca="1">F159*'Total Distance Tables Sup #1'!F49*(1+'Other Assumptions'!J$48)*(1+'Active Mode Assumptions'!F9)</f>
        <v>8.693724183246113</v>
      </c>
      <c r="G49" s="4">
        <f ca="1">G159*'Total Distance Tables Sup #1'!G49*(1+'Other Assumptions'!K$48)*(1+'Active Mode Assumptions'!G9)</f>
        <v>8.8735737629367488</v>
      </c>
      <c r="H49" s="4">
        <f ca="1">H159*'Total Distance Tables Sup #1'!H49*(1+'Other Assumptions'!L$48)*(1+'Active Mode Assumptions'!H9)</f>
        <v>9.006400403361452</v>
      </c>
      <c r="I49" s="1">
        <f ca="1">I159*'Total Distance Tables Sup #1'!I49*(1+'Other Assumptions'!M$48)*(1+'Active Mode Assumptions'!I9)</f>
        <v>8.9112721886903916</v>
      </c>
      <c r="J49" s="1">
        <f ca="1">J159*'Total Distance Tables Sup #1'!J49*(1+'Other Assumptions'!N$48)*(1+'Active Mode Assumptions'!J9)</f>
        <v>8.7892063003182557</v>
      </c>
      <c r="K49" s="1">
        <f ca="1">K159*'Total Distance Tables Sup #1'!K49*(1+'Other Assumptions'!O$48)*(1+'Active Mode Assumptions'!K9)</f>
        <v>8.6503045961837728</v>
      </c>
    </row>
    <row r="50" spans="1:11" x14ac:dyDescent="0.25">
      <c r="A50" t="str">
        <f ca="1">OFFSET(Gisborne_Reference,7,2)</f>
        <v>Cyclist</v>
      </c>
      <c r="B50" s="4">
        <f ca="1">B160*'Total Distance Tables Sup #1'!B50*(1+'Other Assumptions'!D$48)*(1+'Active Mode Assumptions'!B18)</f>
        <v>3.8031873472000002</v>
      </c>
      <c r="C50" s="4">
        <f ca="1">C160*'Total Distance Tables Sup #1'!C50*(1+'Other Assumptions'!G$48)*(1+'Active Mode Assumptions'!C18)</f>
        <v>3.9944842011575488</v>
      </c>
      <c r="D50" s="4">
        <f ca="1">D160*'Total Distance Tables Sup #1'!D50*(1+'Other Assumptions'!H$48)*(1+'Active Mode Assumptions'!D18)</f>
        <v>5.6638505623232538</v>
      </c>
      <c r="E50" s="4">
        <f ca="1">E160*'Total Distance Tables Sup #1'!E50*(1+'Other Assumptions'!I$48)*(1+'Active Mode Assumptions'!E18)</f>
        <v>7.2392304499117834</v>
      </c>
      <c r="F50" s="4">
        <f ca="1">F160*'Total Distance Tables Sup #1'!F50*(1+'Other Assumptions'!J$48)*(1+'Active Mode Assumptions'!F18)</f>
        <v>8.8938806773812384</v>
      </c>
      <c r="G50" s="4">
        <f ca="1">G160*'Total Distance Tables Sup #1'!G50*(1+'Other Assumptions'!K$48)*(1+'Active Mode Assumptions'!G18)</f>
        <v>10.686064275569059</v>
      </c>
      <c r="H50" s="4">
        <f ca="1">H160*'Total Distance Tables Sup #1'!H50*(1+'Other Assumptions'!L$48)*(1+'Active Mode Assumptions'!H18)</f>
        <v>12.528034067978421</v>
      </c>
      <c r="I50" s="1">
        <f ca="1">I160*'Total Distance Tables Sup #1'!I50*(1+'Other Assumptions'!M$48)*(1+'Active Mode Assumptions'!I18)</f>
        <v>12.45394698401568</v>
      </c>
      <c r="J50" s="1">
        <f ca="1">J160*'Total Distance Tables Sup #1'!J50*(1+'Other Assumptions'!N$48)*(1+'Active Mode Assumptions'!J18)</f>
        <v>12.341625457445843</v>
      </c>
      <c r="K50" s="1">
        <f ca="1">K160*'Total Distance Tables Sup #1'!K50*(1+'Other Assumptions'!O$48)*(1+'Active Mode Assumptions'!K18)</f>
        <v>12.204746556726732</v>
      </c>
    </row>
    <row r="51" spans="1:11" x14ac:dyDescent="0.25">
      <c r="A51" t="str">
        <f ca="1">OFFSET(Gisborne_Reference,14,2)</f>
        <v>Light Vehicle Driver</v>
      </c>
      <c r="B51" s="4">
        <f ca="1">B161*'Total Distance Tables Sup #1'!B51*(1+'Other Assumptions'!D$48)-(B49*'Active Mode Assumptions'!B9*'Active Mode Assumptions'!B14/(1+'Active Mode Assumptions'!B9))-(B50*'Active Mode Assumptions'!B18*'Active Mode Assumptions'!B23/(1+'Active Mode Assumptions'!B18))</f>
        <v>241.40144318</v>
      </c>
      <c r="C51" s="4">
        <f ca="1">C161*'Total Distance Tables Sup #1'!C51*(1+'Other Assumptions'!G$48)-(C49*'Active Mode Assumptions'!C9*'Active Mode Assumptions'!C14/(1+'Active Mode Assumptions'!C9))-(C50*'Active Mode Assumptions'!C18*'Active Mode Assumptions'!C23/(1+'Active Mode Assumptions'!C18))</f>
        <v>253.54838532651931</v>
      </c>
      <c r="D51" s="4">
        <f ca="1">D161*'Total Distance Tables Sup #1'!D51*(1+'Other Assumptions'!H$48)-(D49*'Active Mode Assumptions'!D9*'Active Mode Assumptions'!D14/(1+'Active Mode Assumptions'!D9))-(D50*'Active Mode Assumptions'!D18*'Active Mode Assumptions'!D23/(1+'Active Mode Assumptions'!D18))</f>
        <v>258.27164522963392</v>
      </c>
      <c r="E51" s="4">
        <f ca="1">E161*'Total Distance Tables Sup #1'!E51*(1+'Other Assumptions'!I$48)-(E49*'Active Mode Assumptions'!E9*'Active Mode Assumptions'!E14/(1+'Active Mode Assumptions'!E9))-(E50*'Active Mode Assumptions'!E18*'Active Mode Assumptions'!E23/(1+'Active Mode Assumptions'!E18))</f>
        <v>262.5236371987279</v>
      </c>
      <c r="F51" s="4">
        <f ca="1">F161*'Total Distance Tables Sup #1'!F51*(1+'Other Assumptions'!J$48)-(F49*'Active Mode Assumptions'!F9*'Active Mode Assumptions'!F14/(1+'Active Mode Assumptions'!F9))-(F50*'Active Mode Assumptions'!F18*'Active Mode Assumptions'!F23/(1+'Active Mode Assumptions'!F18))</f>
        <v>265.13032028889688</v>
      </c>
      <c r="G51" s="4">
        <f ca="1">G161*'Total Distance Tables Sup #1'!G51*(1+'Other Assumptions'!K$48)-(G49*'Active Mode Assumptions'!G9*'Active Mode Assumptions'!G14/(1+'Active Mode Assumptions'!G9))-(G50*'Active Mode Assumptions'!G18*'Active Mode Assumptions'!G23/(1+'Active Mode Assumptions'!G18))</f>
        <v>264.15372484014182</v>
      </c>
      <c r="H51" s="4">
        <f ca="1">H161*'Total Distance Tables Sup #1'!H51*(1+'Other Assumptions'!L$48)-(H49*'Active Mode Assumptions'!H9*'Active Mode Assumptions'!H14/(1+'Active Mode Assumptions'!H9))-(H50*'Active Mode Assumptions'!H18*'Active Mode Assumptions'!H23/(1+'Active Mode Assumptions'!H18))</f>
        <v>261.94855024174097</v>
      </c>
      <c r="I51" s="1">
        <f ca="1">I161*'Total Distance Tables Sup #1'!I51*(1+'Other Assumptions'!M$48)-(I49*'Active Mode Assumptions'!I9*'Active Mode Assumptions'!I14/(1+'Active Mode Assumptions'!I9))-(I50*'Active Mode Assumptions'!I18*'Active Mode Assumptions'!I23/(1+'Active Mode Assumptions'!I18))</f>
        <v>259.68011327683644</v>
      </c>
      <c r="J51" s="1">
        <f ca="1">J161*'Total Distance Tables Sup #1'!J51*(1+'Other Assumptions'!N$48)-(J49*'Active Mode Assumptions'!J9*'Active Mode Assumptions'!J14/(1+'Active Mode Assumptions'!J9))-(J50*'Active Mode Assumptions'!J18*'Active Mode Assumptions'!J23/(1+'Active Mode Assumptions'!J18))</f>
        <v>256.61377087247814</v>
      </c>
      <c r="K51" s="1">
        <f ca="1">K161*'Total Distance Tables Sup #1'!K51*(1+'Other Assumptions'!O$48)-(K49*'Active Mode Assumptions'!K9*'Active Mode Assumptions'!K14/(1+'Active Mode Assumptions'!K9))-(K50*'Active Mode Assumptions'!K18*'Active Mode Assumptions'!K23/(1+'Active Mode Assumptions'!K18))</f>
        <v>253.04043449654156</v>
      </c>
    </row>
    <row r="52" spans="1:11" x14ac:dyDescent="0.25">
      <c r="A52" t="str">
        <f ca="1">OFFSET(Gisborne_Reference,21,2)</f>
        <v>Light Vehicle Passenger</v>
      </c>
      <c r="B52" s="4">
        <f ca="1">B162*'Total Distance Tables Sup #1'!B52*(1+'Other Assumptions'!D$48)-(B49*'Active Mode Assumptions'!B9*'Active Mode Assumptions'!B15/(1+'Active Mode Assumptions'!B9))-(B50*'Active Mode Assumptions'!B18*'Active Mode Assumptions'!B24/(1+'Active Mode Assumptions'!B18))</f>
        <v>174.74236519999999</v>
      </c>
      <c r="C52" s="4">
        <f ca="1">C162*'Total Distance Tables Sup #1'!C52*(1+'Other Assumptions'!G$48)-(C49*'Active Mode Assumptions'!C9*'Active Mode Assumptions'!C15/(1+'Active Mode Assumptions'!C9))-(C50*'Active Mode Assumptions'!C18*'Active Mode Assumptions'!C24/(1+'Active Mode Assumptions'!C18))</f>
        <v>176.57037848359843</v>
      </c>
      <c r="D52" s="4">
        <f ca="1">D162*'Total Distance Tables Sup #1'!D52*(1+'Other Assumptions'!H$48)-(D49*'Active Mode Assumptions'!D9*'Active Mode Assumptions'!D15/(1+'Active Mode Assumptions'!D9))-(D50*'Active Mode Assumptions'!D18*'Active Mode Assumptions'!D24/(1+'Active Mode Assumptions'!D18))</f>
        <v>175.87349782430528</v>
      </c>
      <c r="E52" s="4">
        <f ca="1">E162*'Total Distance Tables Sup #1'!E52*(1+'Other Assumptions'!I$48)-(E49*'Active Mode Assumptions'!E9*'Active Mode Assumptions'!E15/(1+'Active Mode Assumptions'!E9))-(E50*'Active Mode Assumptions'!E18*'Active Mode Assumptions'!E24/(1+'Active Mode Assumptions'!E18))</f>
        <v>174.95826221291259</v>
      </c>
      <c r="F52" s="4">
        <f ca="1">F162*'Total Distance Tables Sup #1'!F52*(1+'Other Assumptions'!J$48)-(F49*'Active Mode Assumptions'!F9*'Active Mode Assumptions'!F15/(1+'Active Mode Assumptions'!F9))-(F50*'Active Mode Assumptions'!F18*'Active Mode Assumptions'!F24/(1+'Active Mode Assumptions'!F18))</f>
        <v>172.64317601852383</v>
      </c>
      <c r="G52" s="4">
        <f ca="1">G162*'Total Distance Tables Sup #1'!G52*(1+'Other Assumptions'!K$48)-(G49*'Active Mode Assumptions'!G9*'Active Mode Assumptions'!G15/(1+'Active Mode Assumptions'!G9))-(G50*'Active Mode Assumptions'!G18*'Active Mode Assumptions'!G24/(1+'Active Mode Assumptions'!G18))</f>
        <v>168.79356818167932</v>
      </c>
      <c r="H52" s="4">
        <f ca="1">H162*'Total Distance Tables Sup #1'!H52*(1+'Other Assumptions'!L$48)-(H49*'Active Mode Assumptions'!H9*'Active Mode Assumptions'!H15/(1+'Active Mode Assumptions'!H9))-(H50*'Active Mode Assumptions'!H18*'Active Mode Assumptions'!H24/(1+'Active Mode Assumptions'!H18))</f>
        <v>164.21984693347952</v>
      </c>
      <c r="I52" s="1">
        <f ca="1">I162*'Total Distance Tables Sup #1'!I52*(1+'Other Assumptions'!M$48)-(I49*'Active Mode Assumptions'!I9*'Active Mode Assumptions'!I15/(1+'Active Mode Assumptions'!I9))-(I50*'Active Mode Assumptions'!I18*'Active Mode Assumptions'!I24/(1+'Active Mode Assumptions'!I18))</f>
        <v>162.97826866843175</v>
      </c>
      <c r="J52" s="1">
        <f ca="1">J162*'Total Distance Tables Sup #1'!J52*(1+'Other Assumptions'!N$48)-(J49*'Active Mode Assumptions'!J9*'Active Mode Assumptions'!J15/(1+'Active Mode Assumptions'!J9))-(J50*'Active Mode Assumptions'!J18*'Active Mode Assumptions'!J24/(1+'Active Mode Assumptions'!J18))</f>
        <v>161.23295553347367</v>
      </c>
      <c r="K52" s="1">
        <f ca="1">K162*'Total Distance Tables Sup #1'!K52*(1+'Other Assumptions'!O$48)-(K49*'Active Mode Assumptions'!K9*'Active Mode Assumptions'!K15/(1+'Active Mode Assumptions'!K9))-(K50*'Active Mode Assumptions'!K18*'Active Mode Assumptions'!K24/(1+'Active Mode Assumptions'!K18))</f>
        <v>159.16510243931373</v>
      </c>
    </row>
    <row r="53" spans="1:11" x14ac:dyDescent="0.25">
      <c r="A53" t="str">
        <f ca="1">OFFSET(Gisborne_Reference,28,2)</f>
        <v>Taxi/Vehicle Share</v>
      </c>
      <c r="B53" s="4">
        <f ca="1">B163*'Total Distance Tables Sup #1'!B53*(1+'Other Assumptions'!D$48)</f>
        <v>0.1174510768</v>
      </c>
      <c r="C53" s="4">
        <f ca="1">C163*'Total Distance Tables Sup #1'!C53*(1+'Other Assumptions'!G$48)</f>
        <v>0.12856869055305409</v>
      </c>
      <c r="D53" s="4">
        <f ca="1">D163*'Total Distance Tables Sup #1'!D53*(1+'Other Assumptions'!H$48)</f>
        <v>0.13793877649829311</v>
      </c>
      <c r="E53" s="4">
        <f ca="1">E163*'Total Distance Tables Sup #1'!E53*(1+'Other Assumptions'!I$48)</f>
        <v>0.14625108899373204</v>
      </c>
      <c r="F53" s="4">
        <f ca="1">F163*'Total Distance Tables Sup #1'!F53*(1+'Other Assumptions'!J$48)</f>
        <v>0.15248457864360307</v>
      </c>
      <c r="G53" s="4">
        <f ca="1">G163*'Total Distance Tables Sup #1'!G53*(1+'Other Assumptions'!K$48)</f>
        <v>0.15563977756874273</v>
      </c>
      <c r="H53" s="4">
        <f ca="1">H163*'Total Distance Tables Sup #1'!H53*(1+'Other Assumptions'!L$48)</f>
        <v>0.15805689867346867</v>
      </c>
      <c r="I53" s="1">
        <f ca="1">I163*'Total Distance Tables Sup #1'!I53*(1+'Other Assumptions'!M$48)</f>
        <v>0.156251391573931</v>
      </c>
      <c r="J53" s="1">
        <f ca="1">J163*'Total Distance Tables Sup #1'!J53*(1+'Other Assumptions'!N$48)</f>
        <v>0.15397388737562803</v>
      </c>
      <c r="K53" s="1">
        <f ca="1">K163*'Total Distance Tables Sup #1'!K53*(1+'Other Assumptions'!O$48)</f>
        <v>0.15140278452047887</v>
      </c>
    </row>
    <row r="54" spans="1:11" x14ac:dyDescent="0.25">
      <c r="A54" t="str">
        <f ca="1">OFFSET(Gisborne_Reference,35,2)</f>
        <v>Motorcyclist</v>
      </c>
      <c r="B54" s="4">
        <f ca="1">B164*'Total Distance Tables Sup #1'!B54*(1+'Other Assumptions'!D$48)</f>
        <v>0.95186353219999997</v>
      </c>
      <c r="C54" s="4">
        <f ca="1">C164*'Total Distance Tables Sup #1'!C54*(1+'Other Assumptions'!G$48)</f>
        <v>0.99994498508974938</v>
      </c>
      <c r="D54" s="4">
        <f ca="1">D164*'Total Distance Tables Sup #1'!D54*(1+'Other Assumptions'!H$48)</f>
        <v>1.0194878976908996</v>
      </c>
      <c r="E54" s="4">
        <f ca="1">E164*'Total Distance Tables Sup #1'!E54*(1+'Other Assumptions'!I$48)</f>
        <v>1.0202685776296312</v>
      </c>
      <c r="F54" s="4">
        <f ca="1">F164*'Total Distance Tables Sup #1'!F54*(1+'Other Assumptions'!J$48)</f>
        <v>1.0094101361576129</v>
      </c>
      <c r="G54" s="4">
        <f ca="1">G164*'Total Distance Tables Sup #1'!G54*(1+'Other Assumptions'!K$48)</f>
        <v>0.97843902209992262</v>
      </c>
      <c r="H54" s="4">
        <f ca="1">H164*'Total Distance Tables Sup #1'!H54*(1+'Other Assumptions'!L$48)</f>
        <v>0.94346518318291883</v>
      </c>
      <c r="I54" s="1">
        <f ca="1">I164*'Total Distance Tables Sup #1'!I54*(1+'Other Assumptions'!M$48)</f>
        <v>0.94109162329883533</v>
      </c>
      <c r="J54" s="1">
        <f ca="1">J164*'Total Distance Tables Sup #1'!J54*(1+'Other Assumptions'!N$48)</f>
        <v>0.9357719144580503</v>
      </c>
      <c r="K54" s="1">
        <f ca="1">K164*'Total Distance Tables Sup #1'!K54*(1+'Other Assumptions'!O$48)</f>
        <v>0.92851546622883951</v>
      </c>
    </row>
    <row r="55" spans="1:11" x14ac:dyDescent="0.25">
      <c r="A55" t="str">
        <f ca="1">OFFSET(Gisborne_Reference,42,2)</f>
        <v>Local Train</v>
      </c>
      <c r="B55" s="4">
        <f ca="1">B165*'Total Distance Tables Sup #1'!B55*(1+'Other Assumptions'!D$48)</f>
        <v>0</v>
      </c>
      <c r="C55" s="4">
        <f ca="1">C165*'Total Distance Tables Sup #1'!C55*(1+'Other Assumptions'!G$48)</f>
        <v>0</v>
      </c>
      <c r="D55" s="4">
        <f ca="1">D165*'Total Distance Tables Sup #1'!D55*(1+'Other Assumptions'!H$48)</f>
        <v>0</v>
      </c>
      <c r="E55" s="4">
        <f ca="1">E165*'Total Distance Tables Sup #1'!E55*(1+'Other Assumptions'!I$48)</f>
        <v>0</v>
      </c>
      <c r="F55" s="4">
        <f ca="1">F165*'Total Distance Tables Sup #1'!F55*(1+'Other Assumptions'!J$48)</f>
        <v>0</v>
      </c>
      <c r="G55" s="4">
        <f ca="1">G165*'Total Distance Tables Sup #1'!G55*(1+'Other Assumptions'!K$48)</f>
        <v>0</v>
      </c>
      <c r="H55" s="4">
        <f ca="1">H165*'Total Distance Tables Sup #1'!H55*(1+'Other Assumptions'!L$48)</f>
        <v>0</v>
      </c>
      <c r="I55" s="1">
        <f ca="1">I165*'Total Distance Tables Sup #1'!I55*(1+'Other Assumptions'!M$48)</f>
        <v>0</v>
      </c>
      <c r="J55" s="1">
        <f ca="1">J165*'Total Distance Tables Sup #1'!J55*(1+'Other Assumptions'!N$48)</f>
        <v>0</v>
      </c>
      <c r="K55" s="1">
        <f ca="1">K165*'Total Distance Tables Sup #1'!K55*(1+'Other Assumptions'!O$48)</f>
        <v>0</v>
      </c>
    </row>
    <row r="56" spans="1:11" x14ac:dyDescent="0.25">
      <c r="A56" t="str">
        <f ca="1">OFFSET(Gisborne_Reference,49,2)</f>
        <v>Local Bus</v>
      </c>
      <c r="B56" s="4">
        <f ca="1">B166*'Total Distance Tables Sup #1'!B56*(1+'Other Assumptions'!D$48)</f>
        <v>4.8778387282000004</v>
      </c>
      <c r="C56" s="4">
        <f ca="1">C166*'Total Distance Tables Sup #1'!C56*(1+'Other Assumptions'!G$48)</f>
        <v>4.5656117302648109</v>
      </c>
      <c r="D56" s="4">
        <f ca="1">D166*'Total Distance Tables Sup #1'!D56*(1+'Other Assumptions'!H$48)</f>
        <v>4.3491365160731137</v>
      </c>
      <c r="E56" s="4">
        <f ca="1">E166*'Total Distance Tables Sup #1'!E56*(1+'Other Assumptions'!I$48)</f>
        <v>4.18982053505552</v>
      </c>
      <c r="F56" s="4">
        <f ca="1">F166*'Total Distance Tables Sup #1'!F56*(1+'Other Assumptions'!J$48)</f>
        <v>3.967725414996333</v>
      </c>
      <c r="G56" s="4">
        <f ca="1">G166*'Total Distance Tables Sup #1'!G56*(1+'Other Assumptions'!K$48)</f>
        <v>3.7922908175768497</v>
      </c>
      <c r="H56" s="4">
        <f ca="1">H166*'Total Distance Tables Sup #1'!H56*(1+'Other Assumptions'!L$48)</f>
        <v>3.6122749197896895</v>
      </c>
      <c r="I56" s="1">
        <f ca="1">I166*'Total Distance Tables Sup #1'!I56*(1+'Other Assumptions'!M$48)</f>
        <v>3.585382568204567</v>
      </c>
      <c r="J56" s="1">
        <f ca="1">J166*'Total Distance Tables Sup #1'!J56*(1+'Other Assumptions'!N$48)</f>
        <v>3.5473575473236374</v>
      </c>
      <c r="K56" s="1">
        <f ca="1">K166*'Total Distance Tables Sup #1'!K56*(1+'Other Assumptions'!O$48)</f>
        <v>3.5021870867699025</v>
      </c>
    </row>
    <row r="57" spans="1:11" x14ac:dyDescent="0.25">
      <c r="A57" t="str">
        <f ca="1">OFFSET(Gisborne_Reference,56,2)</f>
        <v>Local Ferry</v>
      </c>
      <c r="B57" s="4">
        <f ca="1">B167*'Total Distance Tables Sup #1'!B57*(1+'Other Assumptions'!D$48)</f>
        <v>0</v>
      </c>
      <c r="C57" s="4">
        <f ca="1">C167*'Total Distance Tables Sup #1'!C57*(1+'Other Assumptions'!G$48)</f>
        <v>0</v>
      </c>
      <c r="D57" s="4">
        <f ca="1">D167*'Total Distance Tables Sup #1'!D57*(1+'Other Assumptions'!H$48)</f>
        <v>0</v>
      </c>
      <c r="E57" s="4">
        <f ca="1">E167*'Total Distance Tables Sup #1'!E57*(1+'Other Assumptions'!I$48)</f>
        <v>0</v>
      </c>
      <c r="F57" s="4">
        <f ca="1">F167*'Total Distance Tables Sup #1'!F57*(1+'Other Assumptions'!J$48)</f>
        <v>0</v>
      </c>
      <c r="G57" s="4">
        <f ca="1">G167*'Total Distance Tables Sup #1'!G57*(1+'Other Assumptions'!K$48)</f>
        <v>0</v>
      </c>
      <c r="H57" s="4">
        <f ca="1">H167*'Total Distance Tables Sup #1'!H57*(1+'Other Assumptions'!L$48)</f>
        <v>0</v>
      </c>
      <c r="I57" s="1">
        <f ca="1">I167*'Total Distance Tables Sup #1'!I57*(1+'Other Assumptions'!M$48)</f>
        <v>0</v>
      </c>
      <c r="J57" s="1">
        <f ca="1">J167*'Total Distance Tables Sup #1'!J57*(1+'Other Assumptions'!N$48)</f>
        <v>0</v>
      </c>
      <c r="K57" s="1">
        <f ca="1">K167*'Total Distance Tables Sup #1'!K57*(1+'Other Assumptions'!O$48)</f>
        <v>0</v>
      </c>
    </row>
    <row r="58" spans="1:11" x14ac:dyDescent="0.25">
      <c r="A58" t="str">
        <f ca="1">OFFSET(Gisborne_Reference,63,2)</f>
        <v>Other Household Travel</v>
      </c>
      <c r="B58" s="4">
        <f ca="1">B168*'Total Distance Tables Sup #1'!B58*(1+'Other Assumptions'!D$48)</f>
        <v>0</v>
      </c>
      <c r="C58" s="4">
        <f ca="1">C168*'Total Distance Tables Sup #1'!C58*(1+'Other Assumptions'!G$48)</f>
        <v>0</v>
      </c>
      <c r="D58" s="4">
        <f ca="1">D168*'Total Distance Tables Sup #1'!D58*(1+'Other Assumptions'!H$48)</f>
        <v>0</v>
      </c>
      <c r="E58" s="4">
        <f ca="1">E168*'Total Distance Tables Sup #1'!E58*(1+'Other Assumptions'!I$48)</f>
        <v>0</v>
      </c>
      <c r="F58" s="4">
        <f ca="1">F168*'Total Distance Tables Sup #1'!F58*(1+'Other Assumptions'!J$48)</f>
        <v>0</v>
      </c>
      <c r="G58" s="4">
        <f ca="1">G168*'Total Distance Tables Sup #1'!G58*(1+'Other Assumptions'!K$48)</f>
        <v>0</v>
      </c>
      <c r="H58" s="4">
        <f ca="1">H168*'Total Distance Tables Sup #1'!H58*(1+'Other Assumptions'!L$48)</f>
        <v>0</v>
      </c>
      <c r="I58" s="1">
        <f ca="1">I168*'Total Distance Tables Sup #1'!I58*(1+'Other Assumptions'!M$48)</f>
        <v>0</v>
      </c>
      <c r="J58" s="1">
        <f ca="1">J168*'Total Distance Tables Sup #1'!J58*(1+'Other Assumptions'!N$48)</f>
        <v>0</v>
      </c>
      <c r="K58" s="1">
        <f ca="1">K168*'Total Distance Tables Sup #1'!K58*(1+'Other Assumptions'!O$48)</f>
        <v>0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B159*'Total Distance Tables Sup #1'!B60*(1+'Other Assumptions'!D$49)*(1+'Active Mode Assumptions'!B9)</f>
        <v>22.691613215</v>
      </c>
      <c r="C60" s="4">
        <f ca="1">C159*'Total Distance Tables Sup #1'!C60*(1+'Other Assumptions'!G$49)*(1+'Active Mode Assumptions'!C9)</f>
        <v>23.175785499753456</v>
      </c>
      <c r="D60" s="4">
        <f ca="1">D159*'Total Distance Tables Sup #1'!D60*(1+'Other Assumptions'!H$49)*(1+'Active Mode Assumptions'!D9)</f>
        <v>24.558054356866052</v>
      </c>
      <c r="E60" s="4">
        <f ca="1">E159*'Total Distance Tables Sup #1'!E60*(1+'Other Assumptions'!I$49)*(1+'Active Mode Assumptions'!E9)</f>
        <v>25.647890439107776</v>
      </c>
      <c r="F60" s="4">
        <f ca="1">F159*'Total Distance Tables Sup #1'!F60*(1+'Other Assumptions'!J$49)*(1+'Active Mode Assumptions'!F9)</f>
        <v>26.407276403561731</v>
      </c>
      <c r="G60" s="4">
        <f ca="1">G159*'Total Distance Tables Sup #1'!G60*(1+'Other Assumptions'!K$49)*(1+'Active Mode Assumptions'!G9)</f>
        <v>27.038814262045857</v>
      </c>
      <c r="H60" s="4">
        <f ca="1">H159*'Total Distance Tables Sup #1'!H60*(1+'Other Assumptions'!L$49)*(1+'Active Mode Assumptions'!H9)</f>
        <v>27.511897814915883</v>
      </c>
      <c r="I60" s="1">
        <f ca="1">I159*'Total Distance Tables Sup #1'!I60*(1+'Other Assumptions'!M$49)*(1+'Active Mode Assumptions'!I9)</f>
        <v>27.289100979327035</v>
      </c>
      <c r="J60" s="1">
        <f ca="1">J159*'Total Distance Tables Sup #1'!J60*(1+'Other Assumptions'!N$49)*(1+'Active Mode Assumptions'!J9)</f>
        <v>26.982326795010088</v>
      </c>
      <c r="K60" s="1">
        <f ca="1">K159*'Total Distance Tables Sup #1'!K60*(1+'Other Assumptions'!O$49)*(1+'Active Mode Assumptions'!K9)</f>
        <v>26.622041741531401</v>
      </c>
    </row>
    <row r="61" spans="1:11" x14ac:dyDescent="0.25">
      <c r="A61" t="str">
        <f ca="1">OFFSET(Hawkes_Bay_Reference,7,2)</f>
        <v>Cyclist</v>
      </c>
      <c r="B61" s="4">
        <f ca="1">B160*'Total Distance Tables Sup #1'!B61*(1+'Other Assumptions'!D$49)*(1+'Active Mode Assumptions'!B18)</f>
        <v>9.5482363540000001</v>
      </c>
      <c r="C61" s="4">
        <f ca="1">C160*'Total Distance Tables Sup #1'!C61*(1+'Other Assumptions'!G$49)*(1+'Active Mode Assumptions'!C18)</f>
        <v>10.093545905677599</v>
      </c>
      <c r="D61" s="4">
        <f ca="1">D160*'Total Distance Tables Sup #1'!D61*(1+'Other Assumptions'!H$49)*(1+'Active Mode Assumptions'!D18)</f>
        <v>14.333640349749235</v>
      </c>
      <c r="E61" s="4">
        <f ca="1">E160*'Total Distance Tables Sup #1'!E61*(1+'Other Assumptions'!I$49)*(1+'Active Mode Assumptions'!E18)</f>
        <v>18.370965804883152</v>
      </c>
      <c r="F61" s="4">
        <f ca="1">F160*'Total Distance Tables Sup #1'!F61*(1+'Other Assumptions'!J$49)*(1+'Active Mode Assumptions'!F18)</f>
        <v>22.607018313896564</v>
      </c>
      <c r="G61" s="4">
        <f ca="1">G160*'Total Distance Tables Sup #1'!G61*(1+'Other Assumptions'!K$49)*(1+'Active Mode Assumptions'!G18)</f>
        <v>27.248405573352279</v>
      </c>
      <c r="H61" s="4">
        <f ca="1">H160*'Total Distance Tables Sup #1'!H61*(1+'Other Assumptions'!L$49)*(1+'Active Mode Assumptions'!H18)</f>
        <v>32.024802400519462</v>
      </c>
      <c r="I61" s="1">
        <f ca="1">I160*'Total Distance Tables Sup #1'!I61*(1+'Other Assumptions'!M$49)*(1+'Active Mode Assumptions'!I18)</f>
        <v>31.914699966217484</v>
      </c>
      <c r="J61" s="1">
        <f ca="1">J160*'Total Distance Tables Sup #1'!J61*(1+'Other Assumptions'!N$49)*(1+'Active Mode Assumptions'!J18)</f>
        <v>31.705626261317455</v>
      </c>
      <c r="K61" s="1">
        <f ca="1">K160*'Total Distance Tables Sup #1'!K61*(1+'Other Assumptions'!O$49)*(1+'Active Mode Assumptions'!K18)</f>
        <v>31.432068278128636</v>
      </c>
    </row>
    <row r="62" spans="1:11" x14ac:dyDescent="0.25">
      <c r="A62" t="str">
        <f ca="1">OFFSET(Hawkes_Bay_Reference,14,2)</f>
        <v>Light Vehicle Driver</v>
      </c>
      <c r="B62" s="4">
        <f ca="1">B161*'Total Distance Tables Sup #1'!B62*(1+'Other Assumptions'!D$49)-(B60*'Active Mode Assumptions'!B9*'Active Mode Assumptions'!B14/(1+'Active Mode Assumptions'!B9))-(B61*'Active Mode Assumptions'!B18*'Active Mode Assumptions'!B23/(1+'Active Mode Assumptions'!B18))</f>
        <v>1001.7566771</v>
      </c>
      <c r="C62" s="4">
        <f ca="1">C161*'Total Distance Tables Sup #1'!C62*(1+'Other Assumptions'!G$49)-(C60*'Active Mode Assumptions'!C9*'Active Mode Assumptions'!C14/(1+'Active Mode Assumptions'!C9))-(C61*'Active Mode Assumptions'!C18*'Active Mode Assumptions'!C23/(1+'Active Mode Assumptions'!C18))</f>
        <v>1058.9875304525199</v>
      </c>
      <c r="D62" s="4">
        <f ca="1">D161*'Total Distance Tables Sup #1'!D62*(1+'Other Assumptions'!H$49)-(D60*'Active Mode Assumptions'!D9*'Active Mode Assumptions'!D14/(1+'Active Mode Assumptions'!D9))-(D61*'Active Mode Assumptions'!D18*'Active Mode Assumptions'!D23/(1+'Active Mode Assumptions'!D18))</f>
        <v>1081.1613584136849</v>
      </c>
      <c r="E62" s="4">
        <f ca="1">E161*'Total Distance Tables Sup #1'!E62*(1+'Other Assumptions'!I$49)-(E60*'Active Mode Assumptions'!E9*'Active Mode Assumptions'!E14/(1+'Active Mode Assumptions'!E9))-(E61*'Active Mode Assumptions'!E18*'Active Mode Assumptions'!E23/(1+'Active Mode Assumptions'!E18))</f>
        <v>1102.7674106576428</v>
      </c>
      <c r="F62" s="4">
        <f ca="1">F161*'Total Distance Tables Sup #1'!F62*(1+'Other Assumptions'!J$49)-(F60*'Active Mode Assumptions'!F9*'Active Mode Assumptions'!F14/(1+'Active Mode Assumptions'!F9))-(F61*'Active Mode Assumptions'!F18*'Active Mode Assumptions'!F23/(1+'Active Mode Assumptions'!F18))</f>
        <v>1116.3297331600143</v>
      </c>
      <c r="G62" s="4">
        <f ca="1">G161*'Total Distance Tables Sup #1'!G62*(1+'Other Assumptions'!K$49)-(G60*'Active Mode Assumptions'!G9*'Active Mode Assumptions'!G14/(1+'Active Mode Assumptions'!G9))-(G61*'Active Mode Assumptions'!G18*'Active Mode Assumptions'!G23/(1+'Active Mode Assumptions'!G18))</f>
        <v>1116.5762413267614</v>
      </c>
      <c r="H62" s="4">
        <f ca="1">H161*'Total Distance Tables Sup #1'!H62*(1+'Other Assumptions'!L$49)-(H60*'Active Mode Assumptions'!H9*'Active Mode Assumptions'!H14/(1+'Active Mode Assumptions'!H9))-(H61*'Active Mode Assumptions'!H18*'Active Mode Assumptions'!H23/(1+'Active Mode Assumptions'!H18))</f>
        <v>1110.8862255753197</v>
      </c>
      <c r="I62" s="1">
        <f ca="1">I161*'Total Distance Tables Sup #1'!I62*(1+'Other Assumptions'!M$49)-(I60*'Active Mode Assumptions'!I9*'Active Mode Assumptions'!I14/(1+'Active Mode Assumptions'!I9))-(I61*'Active Mode Assumptions'!I18*'Active Mode Assumptions'!I23/(1+'Active Mode Assumptions'!I18))</f>
        <v>1104.0171312358609</v>
      </c>
      <c r="J62" s="1">
        <f ca="1">J161*'Total Distance Tables Sup #1'!J62*(1+'Other Assumptions'!N$49)-(J60*'Active Mode Assumptions'!J9*'Active Mode Assumptions'!J14/(1+'Active Mode Assumptions'!J9))-(J61*'Active Mode Assumptions'!J18*'Active Mode Assumptions'!J23/(1+'Active Mode Assumptions'!J18))</f>
        <v>1093.706269189732</v>
      </c>
      <c r="K62" s="1">
        <f ca="1">K161*'Total Distance Tables Sup #1'!K62*(1+'Other Assumptions'!O$49)-(K60*'Active Mode Assumptions'!K9*'Active Mode Assumptions'!K14/(1+'Active Mode Assumptions'!K9))-(K61*'Active Mode Assumptions'!K18*'Active Mode Assumptions'!K23/(1+'Active Mode Assumptions'!K18))</f>
        <v>1081.1709649997317</v>
      </c>
    </row>
    <row r="63" spans="1:11" x14ac:dyDescent="0.25">
      <c r="A63" t="str">
        <f ca="1">OFFSET(Hawkes_Bay_Reference,21,2)</f>
        <v>Light Vehicle Passenger</v>
      </c>
      <c r="B63" s="4">
        <f ca="1">B162*'Total Distance Tables Sup #1'!B63*(1+'Other Assumptions'!D$49)-(B60*'Active Mode Assumptions'!B9*'Active Mode Assumptions'!B15/(1+'Active Mode Assumptions'!B9))-(B61*'Active Mode Assumptions'!B18*'Active Mode Assumptions'!B24/(1+'Active Mode Assumptions'!B18))</f>
        <v>607.82570181000006</v>
      </c>
      <c r="C63" s="4">
        <f ca="1">C162*'Total Distance Tables Sup #1'!C63*(1+'Other Assumptions'!G$49)-(C60*'Active Mode Assumptions'!C9*'Active Mode Assumptions'!C15/(1+'Active Mode Assumptions'!C9))-(C61*'Active Mode Assumptions'!C18*'Active Mode Assumptions'!C24/(1+'Active Mode Assumptions'!C18))</f>
        <v>618.16770414599478</v>
      </c>
      <c r="D63" s="4">
        <f ca="1">D162*'Total Distance Tables Sup #1'!D63*(1+'Other Assumptions'!H$49)-(D60*'Active Mode Assumptions'!D9*'Active Mode Assumptions'!D15/(1+'Active Mode Assumptions'!D9))-(D61*'Active Mode Assumptions'!D18*'Active Mode Assumptions'!D24/(1+'Active Mode Assumptions'!D18))</f>
        <v>617.11682657122583</v>
      </c>
      <c r="E63" s="4">
        <f ca="1">E162*'Total Distance Tables Sup #1'!E63*(1+'Other Assumptions'!I$49)-(E60*'Active Mode Assumptions'!E9*'Active Mode Assumptions'!E15/(1+'Active Mode Assumptions'!E9))-(E61*'Active Mode Assumptions'!E18*'Active Mode Assumptions'!E24/(1+'Active Mode Assumptions'!E18))</f>
        <v>616.04416909798226</v>
      </c>
      <c r="F63" s="4">
        <f ca="1">F162*'Total Distance Tables Sup #1'!F63*(1+'Other Assumptions'!J$49)-(F60*'Active Mode Assumptions'!F9*'Active Mode Assumptions'!F15/(1+'Active Mode Assumptions'!F9))-(F61*'Active Mode Assumptions'!F18*'Active Mode Assumptions'!F24/(1+'Active Mode Assumptions'!F18))</f>
        <v>609.35346878962366</v>
      </c>
      <c r="G63" s="4">
        <f ca="1">G162*'Total Distance Tables Sup #1'!G63*(1+'Other Assumptions'!K$49)-(G60*'Active Mode Assumptions'!G9*'Active Mode Assumptions'!G15/(1+'Active Mode Assumptions'!G9))-(G61*'Active Mode Assumptions'!G18*'Active Mode Assumptions'!G24/(1+'Active Mode Assumptions'!G18))</f>
        <v>598.1517905637055</v>
      </c>
      <c r="H63" s="4">
        <f ca="1">H162*'Total Distance Tables Sup #1'!H63*(1+'Other Assumptions'!L$49)-(H60*'Active Mode Assumptions'!H9*'Active Mode Assumptions'!H15/(1+'Active Mode Assumptions'!H9))-(H61*'Active Mode Assumptions'!H18*'Active Mode Assumptions'!H24/(1+'Active Mode Assumptions'!H18))</f>
        <v>583.92424784733009</v>
      </c>
      <c r="I63" s="1">
        <f ca="1">I162*'Total Distance Tables Sup #1'!I63*(1+'Other Assumptions'!M$49)-(I60*'Active Mode Assumptions'!I9*'Active Mode Assumptions'!I15/(1+'Active Mode Assumptions'!I9))-(I61*'Active Mode Assumptions'!I18*'Active Mode Assumptions'!I24/(1+'Active Mode Assumptions'!I18))</f>
        <v>580.95535243134452</v>
      </c>
      <c r="J63" s="1">
        <f ca="1">J162*'Total Distance Tables Sup #1'!J63*(1+'Other Assumptions'!N$49)-(J60*'Active Mode Assumptions'!J9*'Active Mode Assumptions'!J15/(1+'Active Mode Assumptions'!J9))-(J61*'Active Mode Assumptions'!J18*'Active Mode Assumptions'!J24/(1+'Active Mode Assumptions'!J18))</f>
        <v>576.1680133180264</v>
      </c>
      <c r="K63" s="1">
        <f ca="1">K162*'Total Distance Tables Sup #1'!K63*(1+'Other Assumptions'!O$49)-(K60*'Active Mode Assumptions'!K9*'Active Mode Assumptions'!K15/(1+'Active Mode Assumptions'!K9))-(K61*'Active Mode Assumptions'!K18*'Active Mode Assumptions'!K24/(1+'Active Mode Assumptions'!K18))</f>
        <v>570.19779817979156</v>
      </c>
    </row>
    <row r="64" spans="1:11" x14ac:dyDescent="0.25">
      <c r="A64" t="str">
        <f ca="1">OFFSET(Hawkes_Bay_Reference,28,2)</f>
        <v>Taxi/Vehicle Share</v>
      </c>
      <c r="B64" s="4">
        <f ca="1">B163*'Total Distance Tables Sup #1'!B64*(1+'Other Assumptions'!D$49)</f>
        <v>1.7589425135000001</v>
      </c>
      <c r="C64" s="4">
        <f ca="1">C163*'Total Distance Tables Sup #1'!C64*(1+'Other Assumptions'!G$49)</f>
        <v>1.9379272844252591</v>
      </c>
      <c r="D64" s="4">
        <f ca="1">D163*'Total Distance Tables Sup #1'!D64*(1+'Other Assumptions'!H$49)</f>
        <v>2.0823335113791162</v>
      </c>
      <c r="E64" s="4">
        <f ca="1">E163*'Total Distance Tables Sup #1'!E64*(1+'Other Assumptions'!I$49)</f>
        <v>2.2138994744839575</v>
      </c>
      <c r="F64" s="4">
        <f ca="1">F163*'Total Distance Tables Sup #1'!F64*(1+'Other Assumptions'!J$49)</f>
        <v>2.3120494227865538</v>
      </c>
      <c r="G64" s="4">
        <f ca="1">G163*'Total Distance Tables Sup #1'!G64*(1+'Other Assumptions'!K$49)</f>
        <v>2.36735351711636</v>
      </c>
      <c r="H64" s="4">
        <f ca="1">H163*'Total Distance Tables Sup #1'!H64*(1+'Other Assumptions'!L$49)</f>
        <v>2.4101062612013702</v>
      </c>
      <c r="I64" s="1">
        <f ca="1">I163*'Total Distance Tables Sup #1'!I64*(1+'Other Assumptions'!M$49)</f>
        <v>2.388508818028654</v>
      </c>
      <c r="J64" s="1">
        <f ca="1">J163*'Total Distance Tables Sup #1'!J64*(1+'Other Assumptions'!N$49)</f>
        <v>2.3595557876084681</v>
      </c>
      <c r="K64" s="1">
        <f ca="1">K163*'Total Distance Tables Sup #1'!K64*(1+'Other Assumptions'!O$49)</f>
        <v>2.3259333095876396</v>
      </c>
    </row>
    <row r="65" spans="1:11" x14ac:dyDescent="0.25">
      <c r="A65" t="str">
        <f ca="1">OFFSET(Hawkes_Bay_Reference,35,2)</f>
        <v>Motorcyclist</v>
      </c>
      <c r="B65" s="4">
        <f ca="1">B164*'Total Distance Tables Sup #1'!B65*(1+'Other Assumptions'!D$49)</f>
        <v>3.0321841239</v>
      </c>
      <c r="C65" s="4">
        <f ca="1">C164*'Total Distance Tables Sup #1'!C65*(1+'Other Assumptions'!G$49)</f>
        <v>3.2060079958911447</v>
      </c>
      <c r="D65" s="4">
        <f ca="1">D164*'Total Distance Tables Sup #1'!D65*(1+'Other Assumptions'!H$49)</f>
        <v>3.2736498956591733</v>
      </c>
      <c r="E65" s="4">
        <f ca="1">E164*'Total Distance Tables Sup #1'!E65*(1+'Other Assumptions'!I$49)</f>
        <v>3.2851827819774346</v>
      </c>
      <c r="F65" s="4">
        <f ca="1">F164*'Total Distance Tables Sup #1'!F65*(1+'Other Assumptions'!J$49)</f>
        <v>3.2555553896807794</v>
      </c>
      <c r="G65" s="4">
        <f ca="1">G164*'Total Distance Tables Sup #1'!G65*(1+'Other Assumptions'!K$49)</f>
        <v>3.1656472344368494</v>
      </c>
      <c r="H65" s="4">
        <f ca="1">H164*'Total Distance Tables Sup #1'!H65*(1+'Other Assumptions'!L$49)</f>
        <v>3.0600945876111592</v>
      </c>
      <c r="I65" s="1">
        <f ca="1">I164*'Total Distance Tables Sup #1'!I65*(1+'Other Assumptions'!M$49)</f>
        <v>3.0599977054091743</v>
      </c>
      <c r="J65" s="1">
        <f ca="1">J164*'Total Distance Tables Sup #1'!J65*(1+'Other Assumptions'!N$49)</f>
        <v>3.0502779817383754</v>
      </c>
      <c r="K65" s="1">
        <f ca="1">K164*'Total Distance Tables Sup #1'!K65*(1+'Other Assumptions'!O$49)</f>
        <v>3.0341620759078634</v>
      </c>
    </row>
    <row r="66" spans="1:11" x14ac:dyDescent="0.25">
      <c r="A66" t="str">
        <f ca="1">OFFSET(Auckland_Reference,42,2)</f>
        <v>Local Train</v>
      </c>
      <c r="B66" s="4">
        <f ca="1">B165*'Total Distance Tables Sup #1'!B66*(1+'Other Assumptions'!D$49)</f>
        <v>0</v>
      </c>
      <c r="C66" s="4">
        <f ca="1">C165*'Total Distance Tables Sup #1'!C66*(1+'Other Assumptions'!G$49)</f>
        <v>0</v>
      </c>
      <c r="D66" s="4">
        <f ca="1">D165*'Total Distance Tables Sup #1'!D66*(1+'Other Assumptions'!H$49)</f>
        <v>0</v>
      </c>
      <c r="E66" s="4">
        <f ca="1">E165*'Total Distance Tables Sup #1'!E66*(1+'Other Assumptions'!I$49)</f>
        <v>0</v>
      </c>
      <c r="F66" s="4">
        <f ca="1">F165*'Total Distance Tables Sup #1'!F66*(1+'Other Assumptions'!J$49)</f>
        <v>0</v>
      </c>
      <c r="G66" s="4">
        <f ca="1">G165*'Total Distance Tables Sup #1'!G66*(1+'Other Assumptions'!K$49)</f>
        <v>0</v>
      </c>
      <c r="H66" s="4">
        <f ca="1">H165*'Total Distance Tables Sup #1'!H66*(1+'Other Assumptions'!L$49)</f>
        <v>0</v>
      </c>
      <c r="I66" s="1">
        <f ca="1">I165*'Total Distance Tables Sup #1'!I66*(1+'Other Assumptions'!M$49)</f>
        <v>0</v>
      </c>
      <c r="J66" s="1">
        <f ca="1">J165*'Total Distance Tables Sup #1'!J66*(1+'Other Assumptions'!N$49)</f>
        <v>0</v>
      </c>
      <c r="K66" s="1">
        <f ca="1">K165*'Total Distance Tables Sup #1'!K66*(1+'Other Assumptions'!O$49)</f>
        <v>0</v>
      </c>
    </row>
    <row r="67" spans="1:11" x14ac:dyDescent="0.25">
      <c r="A67" t="str">
        <f ca="1">OFFSET(Hawkes_Bay_Reference,42,2)</f>
        <v>Local Bus</v>
      </c>
      <c r="B67" s="4">
        <f ca="1">B166*'Total Distance Tables Sup #1'!B67*(1+'Other Assumptions'!D$49)</f>
        <v>39.591997026999998</v>
      </c>
      <c r="C67" s="4">
        <f ca="1">C166*'Total Distance Tables Sup #1'!C67*(1+'Other Assumptions'!G$49)</f>
        <v>37.298087157912285</v>
      </c>
      <c r="D67" s="4">
        <f ca="1">D166*'Total Distance Tables Sup #1'!D67*(1+'Other Assumptions'!H$49)</f>
        <v>35.583796873651053</v>
      </c>
      <c r="E67" s="4">
        <f ca="1">E166*'Total Distance Tables Sup #1'!E67*(1+'Other Assumptions'!I$49)</f>
        <v>34.37474911824058</v>
      </c>
      <c r="F67" s="4">
        <f ca="1">F166*'Total Distance Tables Sup #1'!F67*(1+'Other Assumptions'!J$49)</f>
        <v>32.606045201961749</v>
      </c>
      <c r="G67" s="4">
        <f ca="1">G166*'Total Distance Tables Sup #1'!G67*(1+'Other Assumptions'!K$49)</f>
        <v>31.262915486307815</v>
      </c>
      <c r="H67" s="4">
        <f ca="1">H166*'Total Distance Tables Sup #1'!H67*(1+'Other Assumptions'!L$49)</f>
        <v>29.853060300043143</v>
      </c>
      <c r="I67" s="1">
        <f ca="1">I166*'Total Distance Tables Sup #1'!I67*(1+'Other Assumptions'!M$49)</f>
        <v>29.704605250150919</v>
      </c>
      <c r="J67" s="1">
        <f ca="1">J166*'Total Distance Tables Sup #1'!J67*(1+'Other Assumptions'!N$49)</f>
        <v>29.462762662113192</v>
      </c>
      <c r="K67" s="1">
        <f ca="1">K166*'Total Distance Tables Sup #1'!K67*(1+'Other Assumptions'!O$49)</f>
        <v>29.160036658980797</v>
      </c>
    </row>
    <row r="68" spans="1:11" x14ac:dyDescent="0.25">
      <c r="A68" t="str">
        <f ca="1">OFFSET(Waikato_Reference,56,2)</f>
        <v>Local Ferry</v>
      </c>
      <c r="B68" s="4">
        <f>B167*'Total Distance Tables Sup #1'!B68*(1+'Other Assumptions'!D$49)</f>
        <v>0</v>
      </c>
      <c r="C68" s="4">
        <f ca="1">C167*'Total Distance Tables Sup #1'!C68*(1+'Other Assumptions'!G$49)</f>
        <v>0</v>
      </c>
      <c r="D68" s="4">
        <f ca="1">D167*'Total Distance Tables Sup #1'!D68*(1+'Other Assumptions'!H$49)</f>
        <v>0</v>
      </c>
      <c r="E68" s="4">
        <f ca="1">E167*'Total Distance Tables Sup #1'!E68*(1+'Other Assumptions'!I$49)</f>
        <v>0</v>
      </c>
      <c r="F68" s="4">
        <f ca="1">F167*'Total Distance Tables Sup #1'!F68*(1+'Other Assumptions'!J$49)</f>
        <v>0</v>
      </c>
      <c r="G68" s="4">
        <f ca="1">G167*'Total Distance Tables Sup #1'!G68*(1+'Other Assumptions'!K$49)</f>
        <v>0</v>
      </c>
      <c r="H68" s="4">
        <f ca="1">H167*'Total Distance Tables Sup #1'!H68*(1+'Other Assumptions'!L$49)</f>
        <v>0</v>
      </c>
      <c r="I68" s="1">
        <f ca="1">I167*'Total Distance Tables Sup #1'!I68*(1+'Other Assumptions'!M$49)</f>
        <v>0</v>
      </c>
      <c r="J68" s="1">
        <f ca="1">J167*'Total Distance Tables Sup #1'!J68*(1+'Other Assumptions'!N$49)</f>
        <v>0</v>
      </c>
      <c r="K68" s="1">
        <f ca="1">K167*'Total Distance Tables Sup #1'!K68*(1+'Other Assumptions'!O$49)</f>
        <v>0</v>
      </c>
    </row>
    <row r="69" spans="1:11" x14ac:dyDescent="0.25">
      <c r="A69" t="str">
        <f ca="1">OFFSET(Hawkes_Bay_Reference,49,2)</f>
        <v>Other Household Travel</v>
      </c>
      <c r="B69" s="4">
        <f ca="1">B168*'Total Distance Tables Sup #1'!B69*(1+'Other Assumptions'!D$49)</f>
        <v>0</v>
      </c>
      <c r="C69" s="4">
        <f ca="1">C168*'Total Distance Tables Sup #1'!C69*(1+'Other Assumptions'!G$49)</f>
        <v>0</v>
      </c>
      <c r="D69" s="4">
        <f ca="1">D168*'Total Distance Tables Sup #1'!D69*(1+'Other Assumptions'!H$49)</f>
        <v>0</v>
      </c>
      <c r="E69" s="4">
        <f ca="1">E168*'Total Distance Tables Sup #1'!E69*(1+'Other Assumptions'!I$49)</f>
        <v>0</v>
      </c>
      <c r="F69" s="4">
        <f ca="1">F168*'Total Distance Tables Sup #1'!F69*(1+'Other Assumptions'!J$49)</f>
        <v>0</v>
      </c>
      <c r="G69" s="4">
        <f ca="1">G168*'Total Distance Tables Sup #1'!G69*(1+'Other Assumptions'!K$49)</f>
        <v>0</v>
      </c>
      <c r="H69" s="4">
        <f ca="1">H168*'Total Distance Tables Sup #1'!H69*(1+'Other Assumptions'!L$49)</f>
        <v>0</v>
      </c>
      <c r="I69" s="1">
        <f ca="1">I168*'Total Distance Tables Sup #1'!I69*(1+'Other Assumptions'!M$49)</f>
        <v>0</v>
      </c>
      <c r="J69" s="1">
        <f ca="1">J168*'Total Distance Tables Sup #1'!J69*(1+'Other Assumptions'!N$49)</f>
        <v>0</v>
      </c>
      <c r="K69" s="1">
        <f ca="1">K168*'Total Distance Tables Sup #1'!K69*(1+'Other Assumptions'!O$49)</f>
        <v>0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B159*'Total Distance Tables Sup #1'!B71*(1+'Other Assumptions'!D$50)*(1+'Active Mode Assumptions'!B9)</f>
        <v>16.820589198</v>
      </c>
      <c r="C71" s="4">
        <f ca="1">C159*'Total Distance Tables Sup #1'!C71*(1+'Other Assumptions'!G$50)*(1+'Active Mode Assumptions'!C9)</f>
        <v>17.34172243333742</v>
      </c>
      <c r="D71" s="4">
        <f ca="1">D159*'Total Distance Tables Sup #1'!D71*(1+'Other Assumptions'!H$50)*(1+'Active Mode Assumptions'!D9)</f>
        <v>18.528027173851108</v>
      </c>
      <c r="E71" s="4">
        <f ca="1">E159*'Total Distance Tables Sup #1'!E71*(1+'Other Assumptions'!I$50)*(1+'Active Mode Assumptions'!E9)</f>
        <v>19.53244384617372</v>
      </c>
      <c r="F71" s="4">
        <f ca="1">F159*'Total Distance Tables Sup #1'!F71*(1+'Other Assumptions'!J$50)*(1+'Active Mode Assumptions'!F9)</f>
        <v>20.32381777543883</v>
      </c>
      <c r="G71" s="4">
        <f ca="1">G159*'Total Distance Tables Sup #1'!G71*(1+'Other Assumptions'!K$50)*(1+'Active Mode Assumptions'!G9)</f>
        <v>21.062076264137477</v>
      </c>
      <c r="H71" s="4">
        <f ca="1">H159*'Total Distance Tables Sup #1'!H71*(1+'Other Assumptions'!L$50)*(1+'Active Mode Assumptions'!H9)</f>
        <v>21.721760205365211</v>
      </c>
      <c r="I71" s="1">
        <f ca="1">I159*'Total Distance Tables Sup #1'!I71*(1+'Other Assumptions'!M$50)*(1+'Active Mode Assumptions'!I9)</f>
        <v>21.838591286559581</v>
      </c>
      <c r="J71" s="1">
        <f ca="1">J159*'Total Distance Tables Sup #1'!J71*(1+'Other Assumptions'!N$50)*(1+'Active Mode Assumptions'!J9)</f>
        <v>21.88646977813843</v>
      </c>
      <c r="K71" s="1">
        <f ca="1">K159*'Total Distance Tables Sup #1'!K71*(1+'Other Assumptions'!O$50)*(1+'Active Mode Assumptions'!K9)</f>
        <v>21.887623306767672</v>
      </c>
    </row>
    <row r="72" spans="1:11" x14ac:dyDescent="0.25">
      <c r="A72" t="str">
        <f ca="1">OFFSET(Taranaki_Reference,7,2)</f>
        <v>Cyclist</v>
      </c>
      <c r="B72" s="4">
        <f ca="1">B160*'Total Distance Tables Sup #1'!B72*(1+'Other Assumptions'!D$50)*(1+'Active Mode Assumptions'!B18)</f>
        <v>5.5737915155</v>
      </c>
      <c r="C72" s="4">
        <f ca="1">C160*'Total Distance Tables Sup #1'!C72*(1+'Other Assumptions'!G$50)*(1+'Active Mode Assumptions'!C18)</f>
        <v>5.9477575621935239</v>
      </c>
      <c r="D72" s="4">
        <f ca="1">D160*'Total Distance Tables Sup #1'!D72*(1+'Other Assumptions'!H$50)*(1+'Active Mode Assumptions'!D18)</f>
        <v>8.5161529576593136</v>
      </c>
      <c r="E72" s="4">
        <f ca="1">E160*'Total Distance Tables Sup #1'!E72*(1+'Other Assumptions'!I$50)*(1+'Active Mode Assumptions'!E18)</f>
        <v>11.017641848195961</v>
      </c>
      <c r="F72" s="4">
        <f ca="1">F160*'Total Distance Tables Sup #1'!F72*(1+'Other Assumptions'!J$50)*(1+'Active Mode Assumptions'!F18)</f>
        <v>13.701770674160306</v>
      </c>
      <c r="G72" s="4">
        <f ca="1">G160*'Total Distance Tables Sup #1'!G72*(1+'Other Assumptions'!K$50)*(1+'Active Mode Assumptions'!G18)</f>
        <v>16.714999214989351</v>
      </c>
      <c r="H72" s="4">
        <f ca="1">H160*'Total Distance Tables Sup #1'!H72*(1+'Other Assumptions'!L$50)*(1+'Active Mode Assumptions'!H18)</f>
        <v>19.91189764875411</v>
      </c>
      <c r="I72" s="1">
        <f ca="1">I160*'Total Distance Tables Sup #1'!I72*(1+'Other Assumptions'!M$50)*(1+'Active Mode Assumptions'!I18)</f>
        <v>20.113047777097286</v>
      </c>
      <c r="J72" s="1">
        <f ca="1">J160*'Total Distance Tables Sup #1'!J72*(1+'Other Assumptions'!N$50)*(1+'Active Mode Assumptions'!J18)</f>
        <v>20.252767732819208</v>
      </c>
      <c r="K72" s="1">
        <f ca="1">K160*'Total Distance Tables Sup #1'!K72*(1+'Other Assumptions'!O$50)*(1+'Active Mode Assumptions'!K18)</f>
        <v>20.350820894141059</v>
      </c>
    </row>
    <row r="73" spans="1:11" x14ac:dyDescent="0.25">
      <c r="A73" t="str">
        <f ca="1">OFFSET(Taranaki_Reference,14,2)</f>
        <v>Light Vehicle Driver</v>
      </c>
      <c r="B73" s="4">
        <f ca="1">B161*'Total Distance Tables Sup #1'!B73*(1+'Other Assumptions'!D$50)-(B71*'Active Mode Assumptions'!B9*'Active Mode Assumptions'!B14/(1+'Active Mode Assumptions'!B9))-(B72*'Active Mode Assumptions'!B18*'Active Mode Assumptions'!B23/(1+'Active Mode Assumptions'!B18))</f>
        <v>933.36875414999997</v>
      </c>
      <c r="C73" s="4">
        <f ca="1">C161*'Total Distance Tables Sup #1'!C73*(1+'Other Assumptions'!G$50)-(C71*'Active Mode Assumptions'!C9*'Active Mode Assumptions'!C14/(1+'Active Mode Assumptions'!C9))-(C72*'Active Mode Assumptions'!C18*'Active Mode Assumptions'!C23/(1+'Active Mode Assumptions'!C18))</f>
        <v>996.01021984984925</v>
      </c>
      <c r="D73" s="4">
        <f ca="1">D161*'Total Distance Tables Sup #1'!D73*(1+'Other Assumptions'!H$50)-(D71*'Active Mode Assumptions'!D9*'Active Mode Assumptions'!D14/(1+'Active Mode Assumptions'!D9))-(D72*'Active Mode Assumptions'!D18*'Active Mode Assumptions'!D23/(1+'Active Mode Assumptions'!D18))</f>
        <v>1025.7062798459215</v>
      </c>
      <c r="E73" s="4">
        <f ca="1">E161*'Total Distance Tables Sup #1'!E73*(1+'Other Assumptions'!I$50)-(E71*'Active Mode Assumptions'!E9*'Active Mode Assumptions'!E14/(1+'Active Mode Assumptions'!E9))-(E72*'Active Mode Assumptions'!E18*'Active Mode Assumptions'!E23/(1+'Active Mode Assumptions'!E18))</f>
        <v>1056.4754979451632</v>
      </c>
      <c r="F73" s="4">
        <f ca="1">F161*'Total Distance Tables Sup #1'!F73*(1+'Other Assumptions'!J$50)-(F71*'Active Mode Assumptions'!F9*'Active Mode Assumptions'!F14/(1+'Active Mode Assumptions'!F9))-(F72*'Active Mode Assumptions'!F18*'Active Mode Assumptions'!F23/(1+'Active Mode Assumptions'!F18))</f>
        <v>1081.2273887333672</v>
      </c>
      <c r="G73" s="4">
        <f ca="1">G161*'Total Distance Tables Sup #1'!G73*(1+'Other Assumptions'!K$50)-(G71*'Active Mode Assumptions'!G9*'Active Mode Assumptions'!G14/(1+'Active Mode Assumptions'!G9))-(G72*'Active Mode Assumptions'!G18*'Active Mode Assumptions'!G23/(1+'Active Mode Assumptions'!G18))</f>
        <v>1095.0387806346612</v>
      </c>
      <c r="H73" s="4">
        <f ca="1">H161*'Total Distance Tables Sup #1'!H73*(1+'Other Assumptions'!L$50)-(H71*'Active Mode Assumptions'!H9*'Active Mode Assumptions'!H14/(1+'Active Mode Assumptions'!H9))-(H72*'Active Mode Assumptions'!H18*'Active Mode Assumptions'!H23/(1+'Active Mode Assumptions'!H18))</f>
        <v>1104.7511081973062</v>
      </c>
      <c r="I73" s="1">
        <f ca="1">I161*'Total Distance Tables Sup #1'!I73*(1+'Other Assumptions'!M$50)-(I71*'Active Mode Assumptions'!I9*'Active Mode Assumptions'!I14/(1+'Active Mode Assumptions'!I9))-(I72*'Active Mode Assumptions'!I18*'Active Mode Assumptions'!I23/(1+'Active Mode Assumptions'!I18))</f>
        <v>1112.8419994436117</v>
      </c>
      <c r="J73" s="1">
        <f ca="1">J161*'Total Distance Tables Sup #1'!J73*(1+'Other Assumptions'!N$50)-(J71*'Active Mode Assumptions'!J9*'Active Mode Assumptions'!J14/(1+'Active Mode Assumptions'!J9))-(J72*'Active Mode Assumptions'!J18*'Active Mode Assumptions'!J23/(1+'Active Mode Assumptions'!J18))</f>
        <v>1117.4324425630639</v>
      </c>
      <c r="K73" s="1">
        <f ca="1">K161*'Total Distance Tables Sup #1'!K73*(1+'Other Assumptions'!O$50)-(K71*'Active Mode Assumptions'!K9*'Active Mode Assumptions'!K14/(1+'Active Mode Assumptions'!K9))-(K72*'Active Mode Assumptions'!K18*'Active Mode Assumptions'!K23/(1+'Active Mode Assumptions'!K18))</f>
        <v>1119.6386339154019</v>
      </c>
    </row>
    <row r="74" spans="1:11" x14ac:dyDescent="0.25">
      <c r="A74" t="str">
        <f ca="1">OFFSET(Taranaki_Reference,21,2)</f>
        <v>Light Vehicle Passenger</v>
      </c>
      <c r="B74" s="4">
        <f ca="1">B162*'Total Distance Tables Sup #1'!B74*(1+'Other Assumptions'!D$50)-(B71*'Active Mode Assumptions'!B9*'Active Mode Assumptions'!B15/(1+'Active Mode Assumptions'!B9))-(B72*'Active Mode Assumptions'!B18*'Active Mode Assumptions'!B24/(1+'Active Mode Assumptions'!B18))</f>
        <v>656.25872372000003</v>
      </c>
      <c r="C74" s="4">
        <f ca="1">C162*'Total Distance Tables Sup #1'!C74*(1+'Other Assumptions'!G$50)-(C71*'Active Mode Assumptions'!C9*'Active Mode Assumptions'!C15/(1+'Active Mode Assumptions'!C9))-(C72*'Active Mode Assumptions'!C18*'Active Mode Assumptions'!C24/(1+'Active Mode Assumptions'!C18))</f>
        <v>673.72750403227087</v>
      </c>
      <c r="D74" s="4">
        <f ca="1">D162*'Total Distance Tables Sup #1'!D74*(1+'Other Assumptions'!H$50)-(D71*'Active Mode Assumptions'!D9*'Active Mode Assumptions'!D15/(1+'Active Mode Assumptions'!D9))-(D72*'Active Mode Assumptions'!D18*'Active Mode Assumptions'!D24/(1+'Active Mode Assumptions'!D18))</f>
        <v>678.78186378144949</v>
      </c>
      <c r="E74" s="4">
        <f ca="1">E162*'Total Distance Tables Sup #1'!E74*(1+'Other Assumptions'!I$50)-(E71*'Active Mode Assumptions'!E9*'Active Mode Assumptions'!E15/(1+'Active Mode Assumptions'!E9))-(E72*'Active Mode Assumptions'!E18*'Active Mode Assumptions'!E24/(1+'Active Mode Assumptions'!E18))</f>
        <v>684.61909021480949</v>
      </c>
      <c r="F74" s="4">
        <f ca="1">F162*'Total Distance Tables Sup #1'!F74*(1+'Other Assumptions'!J$50)-(F71*'Active Mode Assumptions'!F9*'Active Mode Assumptions'!F15/(1+'Active Mode Assumptions'!F9))-(F72*'Active Mode Assumptions'!F18*'Active Mode Assumptions'!F24/(1+'Active Mode Assumptions'!F18))</f>
        <v>685.02054377188722</v>
      </c>
      <c r="G74" s="4">
        <f ca="1">G162*'Total Distance Tables Sup #1'!G74*(1+'Other Assumptions'!K$50)-(G71*'Active Mode Assumptions'!G9*'Active Mode Assumptions'!G15/(1+'Active Mode Assumptions'!G9))-(G72*'Active Mode Assumptions'!G18*'Active Mode Assumptions'!G24/(1+'Active Mode Assumptions'!G18))</f>
        <v>681.29883359829546</v>
      </c>
      <c r="H74" s="4">
        <f ca="1">H162*'Total Distance Tables Sup #1'!H74*(1+'Other Assumptions'!L$50)-(H71*'Active Mode Assumptions'!H9*'Active Mode Assumptions'!H15/(1+'Active Mode Assumptions'!H9))-(H72*'Active Mode Assumptions'!H18*'Active Mode Assumptions'!H24/(1+'Active Mode Assumptions'!H18))</f>
        <v>674.89948091464328</v>
      </c>
      <c r="I74" s="1">
        <f ca="1">I162*'Total Distance Tables Sup #1'!I74*(1+'Other Assumptions'!M$50)-(I71*'Active Mode Assumptions'!I9*'Active Mode Assumptions'!I15/(1+'Active Mode Assumptions'!I9))-(I72*'Active Mode Assumptions'!I18*'Active Mode Assumptions'!I24/(1+'Active Mode Assumptions'!I18))</f>
        <v>680.59406118999163</v>
      </c>
      <c r="J74" s="1">
        <f ca="1">J162*'Total Distance Tables Sup #1'!J74*(1+'Other Assumptions'!N$50)-(J71*'Active Mode Assumptions'!J9*'Active Mode Assumptions'!J15/(1+'Active Mode Assumptions'!J9))-(J72*'Active Mode Assumptions'!J18*'Active Mode Assumptions'!J24/(1+'Active Mode Assumptions'!J18))</f>
        <v>684.1596450283796</v>
      </c>
      <c r="K74" s="1">
        <f ca="1">K162*'Total Distance Tables Sup #1'!K74*(1+'Other Assumptions'!O$50)-(K71*'Active Mode Assumptions'!K9*'Active Mode Assumptions'!K15/(1+'Active Mode Assumptions'!K9))-(K72*'Active Mode Assumptions'!K18*'Active Mode Assumptions'!K24/(1+'Active Mode Assumptions'!K18))</f>
        <v>686.272910028826</v>
      </c>
    </row>
    <row r="75" spans="1:11" x14ac:dyDescent="0.25">
      <c r="A75" t="str">
        <f ca="1">OFFSET(Taranaki_Reference,28,2)</f>
        <v>Taxi/Vehicle Share</v>
      </c>
      <c r="B75" s="4">
        <f ca="1">B163*'Total Distance Tables Sup #1'!B75*(1+'Other Assumptions'!D$50)</f>
        <v>1.1335038904000001</v>
      </c>
      <c r="C75" s="4">
        <f ca="1">C163*'Total Distance Tables Sup #1'!C75*(1+'Other Assumptions'!G$50)</f>
        <v>1.2606391271464066</v>
      </c>
      <c r="D75" s="4">
        <f ca="1">D163*'Total Distance Tables Sup #1'!D75*(1+'Other Assumptions'!H$50)</f>
        <v>1.3657809414363231</v>
      </c>
      <c r="E75" s="4">
        <f ca="1">E163*'Total Distance Tables Sup #1'!E75*(1+'Other Assumptions'!I$50)</f>
        <v>1.4657448227469301</v>
      </c>
      <c r="F75" s="4">
        <f ca="1">F163*'Total Distance Tables Sup #1'!F75*(1+'Other Assumptions'!J$50)</f>
        <v>1.5469430712875183</v>
      </c>
      <c r="G75" s="4">
        <f ca="1">G163*'Total Distance Tables Sup #1'!G75*(1+'Other Assumptions'!K$50)</f>
        <v>1.6031427361192361</v>
      </c>
      <c r="H75" s="4">
        <f ca="1">H163*'Total Distance Tables Sup #1'!H75*(1+'Other Assumptions'!L$50)</f>
        <v>1.6542692359065763</v>
      </c>
      <c r="I75" s="1">
        <f ca="1">I163*'Total Distance Tables Sup #1'!I75*(1+'Other Assumptions'!M$50)</f>
        <v>1.6617197367570233</v>
      </c>
      <c r="J75" s="1">
        <f ca="1">J163*'Total Distance Tables Sup #1'!J75*(1+'Other Assumptions'!N$50)</f>
        <v>1.6638804000028109</v>
      </c>
      <c r="K75" s="1">
        <f ca="1">K163*'Total Distance Tables Sup #1'!K75*(1+'Other Assumptions'!O$50)</f>
        <v>1.6624555456772121</v>
      </c>
    </row>
    <row r="76" spans="1:11" x14ac:dyDescent="0.25">
      <c r="A76" t="str">
        <f ca="1">OFFSET(Taranaki_Reference,35,2)</f>
        <v>Motorcyclist</v>
      </c>
      <c r="B76" s="4">
        <f ca="1">B164*'Total Distance Tables Sup #1'!B76*(1+'Other Assumptions'!D$50)</f>
        <v>7.0100687938000004</v>
      </c>
      <c r="C76" s="4">
        <f ca="1">C164*'Total Distance Tables Sup #1'!C76*(1+'Other Assumptions'!G$50)</f>
        <v>7.4819232287242423</v>
      </c>
      <c r="D76" s="4">
        <f ca="1">D164*'Total Distance Tables Sup #1'!D76*(1+'Other Assumptions'!H$50)</f>
        <v>7.7029722356429611</v>
      </c>
      <c r="E76" s="4">
        <f ca="1">E164*'Total Distance Tables Sup #1'!E76*(1+'Other Assumptions'!I$50)</f>
        <v>7.802887599605782</v>
      </c>
      <c r="F76" s="4">
        <f ca="1">F164*'Total Distance Tables Sup #1'!F76*(1+'Other Assumptions'!J$50)</f>
        <v>7.8144361734514911</v>
      </c>
      <c r="G76" s="4">
        <f ca="1">G164*'Total Distance Tables Sup #1'!G76*(1+'Other Assumptions'!K$50)</f>
        <v>7.6907188347232545</v>
      </c>
      <c r="H76" s="4">
        <f ca="1">H164*'Total Distance Tables Sup #1'!H76*(1+'Other Assumptions'!L$50)</f>
        <v>7.5352938756204368</v>
      </c>
      <c r="I76" s="1">
        <f ca="1">I164*'Total Distance Tables Sup #1'!I76*(1+'Other Assumptions'!M$50)</f>
        <v>7.6374322598725071</v>
      </c>
      <c r="J76" s="1">
        <f ca="1">J164*'Total Distance Tables Sup #1'!J76*(1+'Other Assumptions'!N$50)</f>
        <v>7.7166111670397051</v>
      </c>
      <c r="K76" s="1">
        <f ca="1">K164*'Total Distance Tables Sup #1'!K76*(1+'Other Assumptions'!O$50)</f>
        <v>7.7801308258576292</v>
      </c>
    </row>
    <row r="77" spans="1:11" x14ac:dyDescent="0.25">
      <c r="A77" t="str">
        <f ca="1">OFFSET(Taranaki_Reference,42,2)</f>
        <v>Local Train</v>
      </c>
      <c r="B77" s="4">
        <f ca="1">B165*'Total Distance Tables Sup #1'!B77*(1+'Other Assumptions'!D$50)</f>
        <v>0</v>
      </c>
      <c r="C77" s="4">
        <f ca="1">C165*'Total Distance Tables Sup #1'!C77*(1+'Other Assumptions'!G$50)</f>
        <v>0</v>
      </c>
      <c r="D77" s="4">
        <f ca="1">D165*'Total Distance Tables Sup #1'!D77*(1+'Other Assumptions'!H$50)</f>
        <v>0</v>
      </c>
      <c r="E77" s="4">
        <f ca="1">E165*'Total Distance Tables Sup #1'!E77*(1+'Other Assumptions'!I$50)</f>
        <v>0</v>
      </c>
      <c r="F77" s="4">
        <f ca="1">F165*'Total Distance Tables Sup #1'!F77*(1+'Other Assumptions'!J$50)</f>
        <v>0</v>
      </c>
      <c r="G77" s="4">
        <f ca="1">G165*'Total Distance Tables Sup #1'!G77*(1+'Other Assumptions'!K$50)</f>
        <v>0</v>
      </c>
      <c r="H77" s="4">
        <f ca="1">H165*'Total Distance Tables Sup #1'!H77*(1+'Other Assumptions'!L$50)</f>
        <v>0</v>
      </c>
      <c r="I77" s="1">
        <f ca="1">I165*'Total Distance Tables Sup #1'!I77*(1+'Other Assumptions'!M$50)</f>
        <v>0</v>
      </c>
      <c r="J77" s="1">
        <f ca="1">J165*'Total Distance Tables Sup #1'!J77*(1+'Other Assumptions'!N$50)</f>
        <v>0</v>
      </c>
      <c r="K77" s="1">
        <f ca="1">K165*'Total Distance Tables Sup #1'!K77*(1+'Other Assumptions'!O$50)</f>
        <v>0</v>
      </c>
    </row>
    <row r="78" spans="1:11" x14ac:dyDescent="0.25">
      <c r="A78" t="str">
        <f ca="1">OFFSET(Taranaki_Reference,49,2)</f>
        <v>Local Bus</v>
      </c>
      <c r="B78" s="4">
        <f ca="1">B166*'Total Distance Tables Sup #1'!B78*(1+'Other Assumptions'!D$50)</f>
        <v>14.084735078</v>
      </c>
      <c r="C78" s="4">
        <f ca="1">C166*'Total Distance Tables Sup #1'!C78*(1+'Other Assumptions'!G$50)</f>
        <v>13.393983820211023</v>
      </c>
      <c r="D78" s="4">
        <f ca="1">D166*'Total Distance Tables Sup #1'!D78*(1+'Other Assumptions'!H$50)</f>
        <v>12.884066317203382</v>
      </c>
      <c r="E78" s="4">
        <f ca="1">E166*'Total Distance Tables Sup #1'!E78*(1+'Other Assumptions'!I$50)</f>
        <v>12.563478885339089</v>
      </c>
      <c r="F78" s="4">
        <f ca="1">F166*'Total Distance Tables Sup #1'!F78*(1+'Other Assumptions'!J$50)</f>
        <v>12.043292929197635</v>
      </c>
      <c r="G78" s="4">
        <f ca="1">G166*'Total Distance Tables Sup #1'!G78*(1+'Other Assumptions'!K$50)</f>
        <v>11.687145678370532</v>
      </c>
      <c r="H78" s="4">
        <f ca="1">H166*'Total Distance Tables Sup #1'!H78*(1+'Other Assumptions'!L$50)</f>
        <v>11.3117231109843</v>
      </c>
      <c r="I78" s="1">
        <f ca="1">I166*'Total Distance Tables Sup #1'!I78*(1+'Other Assumptions'!M$50)</f>
        <v>11.408396844841031</v>
      </c>
      <c r="J78" s="1">
        <f ca="1">J166*'Total Distance Tables Sup #1'!J78*(1+'Other Assumptions'!N$50)</f>
        <v>11.469255527079389</v>
      </c>
      <c r="K78" s="1">
        <f ca="1">K166*'Total Distance Tables Sup #1'!K78*(1+'Other Assumptions'!O$50)</f>
        <v>11.50563927116575</v>
      </c>
    </row>
    <row r="79" spans="1:11" x14ac:dyDescent="0.25">
      <c r="A79" t="str">
        <f ca="1">OFFSET(Waikato_Reference,56,2)</f>
        <v>Local Ferry</v>
      </c>
      <c r="B79" s="4">
        <f>B167*'Total Distance Tables Sup #1'!B79*(1+'Other Assumptions'!D$50)</f>
        <v>0</v>
      </c>
      <c r="C79" s="4">
        <f ca="1">C167*'Total Distance Tables Sup #1'!C79*(1+'Other Assumptions'!G$50)</f>
        <v>0</v>
      </c>
      <c r="D79" s="4">
        <f ca="1">D167*'Total Distance Tables Sup #1'!D79*(1+'Other Assumptions'!H$50)</f>
        <v>0</v>
      </c>
      <c r="E79" s="4">
        <f ca="1">E167*'Total Distance Tables Sup #1'!E79*(1+'Other Assumptions'!I$50)</f>
        <v>0</v>
      </c>
      <c r="F79" s="4">
        <f ca="1">F167*'Total Distance Tables Sup #1'!F79*(1+'Other Assumptions'!J$50)</f>
        <v>0</v>
      </c>
      <c r="G79" s="4">
        <f ca="1">G167*'Total Distance Tables Sup #1'!G79*(1+'Other Assumptions'!K$50)</f>
        <v>0</v>
      </c>
      <c r="H79" s="4">
        <f ca="1">H167*'Total Distance Tables Sup #1'!H79*(1+'Other Assumptions'!L$50)</f>
        <v>0</v>
      </c>
      <c r="I79" s="1">
        <f ca="1">I167*'Total Distance Tables Sup #1'!I79*(1+'Other Assumptions'!M$50)</f>
        <v>0</v>
      </c>
      <c r="J79" s="1">
        <f ca="1">J167*'Total Distance Tables Sup #1'!J79*(1+'Other Assumptions'!N$50)</f>
        <v>0</v>
      </c>
      <c r="K79" s="1">
        <f ca="1">K167*'Total Distance Tables Sup #1'!K79*(1+'Other Assumptions'!O$50)</f>
        <v>0</v>
      </c>
    </row>
    <row r="80" spans="1:11" x14ac:dyDescent="0.25">
      <c r="A80" t="str">
        <f ca="1">OFFSET(Taranaki_Reference,56,2)</f>
        <v>Other Household Travel</v>
      </c>
      <c r="B80" s="4">
        <f ca="1">B168*'Total Distance Tables Sup #1'!B80*(1+'Other Assumptions'!D$50)</f>
        <v>0</v>
      </c>
      <c r="C80" s="4">
        <f ca="1">C168*'Total Distance Tables Sup #1'!C80*(1+'Other Assumptions'!G$50)</f>
        <v>0</v>
      </c>
      <c r="D80" s="4">
        <f ca="1">D168*'Total Distance Tables Sup #1'!D80*(1+'Other Assumptions'!H$50)</f>
        <v>0</v>
      </c>
      <c r="E80" s="4">
        <f ca="1">E168*'Total Distance Tables Sup #1'!E80*(1+'Other Assumptions'!I$50)</f>
        <v>0</v>
      </c>
      <c r="F80" s="4">
        <f ca="1">F168*'Total Distance Tables Sup #1'!F80*(1+'Other Assumptions'!J$50)</f>
        <v>0</v>
      </c>
      <c r="G80" s="4">
        <f ca="1">G168*'Total Distance Tables Sup #1'!G80*(1+'Other Assumptions'!K$50)</f>
        <v>0</v>
      </c>
      <c r="H80" s="4">
        <f ca="1">H168*'Total Distance Tables Sup #1'!H80*(1+'Other Assumptions'!L$50)</f>
        <v>0</v>
      </c>
      <c r="I80" s="1">
        <f ca="1">I168*'Total Distance Tables Sup #1'!I80*(1+'Other Assumptions'!M$50)</f>
        <v>0</v>
      </c>
      <c r="J80" s="1">
        <f ca="1">J168*'Total Distance Tables Sup #1'!J80*(1+'Other Assumptions'!N$50)</f>
        <v>0</v>
      </c>
      <c r="K80" s="1">
        <f ca="1">K168*'Total Distance Tables Sup #1'!K80*(1+'Other Assumptions'!O$50)</f>
        <v>0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B159*'Total Distance Tables Sup #1'!B82*(1+'Other Assumptions'!D$51)*(1+'Active Mode Assumptions'!B9)</f>
        <v>32.265609755</v>
      </c>
      <c r="C82" s="4">
        <f ca="1">C159*'Total Distance Tables Sup #1'!C82*(1+'Other Assumptions'!G$51)*(1+'Active Mode Assumptions'!C9)</f>
        <v>33.005378995724861</v>
      </c>
      <c r="D82" s="4">
        <f ca="1">D159*'Total Distance Tables Sup #1'!D82*(1+'Other Assumptions'!H$51)*(1+'Active Mode Assumptions'!D9)</f>
        <v>34.868937740277076</v>
      </c>
      <c r="E82" s="4">
        <f ca="1">E159*'Total Distance Tables Sup #1'!E82*(1+'Other Assumptions'!I$51)*(1+'Active Mode Assumptions'!E9)</f>
        <v>36.305902411869063</v>
      </c>
      <c r="F82" s="4">
        <f ca="1">F159*'Total Distance Tables Sup #1'!F82*(1+'Other Assumptions'!J$51)*(1+'Active Mode Assumptions'!F9)</f>
        <v>37.306843834735659</v>
      </c>
      <c r="G82" s="4">
        <f ca="1">G159*'Total Distance Tables Sup #1'!G82*(1+'Other Assumptions'!K$51)*(1+'Active Mode Assumptions'!G9)</f>
        <v>38.139145862023554</v>
      </c>
      <c r="H82" s="4">
        <f ca="1">H159*'Total Distance Tables Sup #1'!H82*(1+'Other Assumptions'!L$51)*(1+'Active Mode Assumptions'!H9)</f>
        <v>38.754941483857102</v>
      </c>
      <c r="I82" s="1">
        <f ca="1">I159*'Total Distance Tables Sup #1'!I82*(1+'Other Assumptions'!M$51)*(1+'Active Mode Assumptions'!I9)</f>
        <v>38.390076688048488</v>
      </c>
      <c r="J82" s="1">
        <f ca="1">J159*'Total Distance Tables Sup #1'!J82*(1+'Other Assumptions'!N$51)*(1+'Active Mode Assumptions'!J9)</f>
        <v>37.908130303229164</v>
      </c>
      <c r="K82" s="1">
        <f ca="1">K159*'Total Distance Tables Sup #1'!K82*(1+'Other Assumptions'!O$51)*(1+'Active Mode Assumptions'!K9)</f>
        <v>37.352316636604485</v>
      </c>
    </row>
    <row r="83" spans="1:11" x14ac:dyDescent="0.25">
      <c r="A83" t="str">
        <f ca="1">OFFSET(Manawatu_Reference,7,2)</f>
        <v>Cyclist</v>
      </c>
      <c r="B83" s="4">
        <f ca="1">B160*'Total Distance Tables Sup #1'!B83*(1+'Other Assumptions'!D$51)*(1+'Active Mode Assumptions'!B18)</f>
        <v>20.722330986999999</v>
      </c>
      <c r="C83" s="4">
        <f ca="1">C160*'Total Distance Tables Sup #1'!C83*(1+'Other Assumptions'!G$51)*(1+'Active Mode Assumptions'!C18)</f>
        <v>21.93991621461252</v>
      </c>
      <c r="D83" s="4">
        <f ca="1">D160*'Total Distance Tables Sup #1'!D83*(1+'Other Assumptions'!H$51)*(1+'Active Mode Assumptions'!D18)</f>
        <v>31.062914751989624</v>
      </c>
      <c r="E83" s="4">
        <f ca="1">E160*'Total Distance Tables Sup #1'!E83*(1+'Other Assumptions'!I$51)*(1+'Active Mode Assumptions'!E18)</f>
        <v>39.691591747681251</v>
      </c>
      <c r="F83" s="4">
        <f ca="1">F160*'Total Distance Tables Sup #1'!F83*(1+'Other Assumptions'!J$51)*(1+'Active Mode Assumptions'!F18)</f>
        <v>48.747138232538688</v>
      </c>
      <c r="G83" s="4">
        <f ca="1">G160*'Total Distance Tables Sup #1'!G83*(1+'Other Assumptions'!K$51)*(1+'Active Mode Assumptions'!G18)</f>
        <v>58.663146822704007</v>
      </c>
      <c r="H83" s="4">
        <f ca="1">H160*'Total Distance Tables Sup #1'!H83*(1+'Other Assumptions'!L$51)*(1+'Active Mode Assumptions'!H18)</f>
        <v>68.854754675446685</v>
      </c>
      <c r="I83" s="1">
        <f ca="1">I160*'Total Distance Tables Sup #1'!I83*(1+'Other Assumptions'!M$51)*(1+'Active Mode Assumptions'!I18)</f>
        <v>68.526958736941339</v>
      </c>
      <c r="J83" s="1">
        <f ca="1">J160*'Total Distance Tables Sup #1'!J83*(1+'Other Assumptions'!N$51)*(1+'Active Mode Assumptions'!J18)</f>
        <v>67.987683439751208</v>
      </c>
      <c r="K83" s="1">
        <f ca="1">K160*'Total Distance Tables Sup #1'!K83*(1+'Other Assumptions'!O$51)*(1+'Active Mode Assumptions'!K18)</f>
        <v>67.311626121593761</v>
      </c>
    </row>
    <row r="84" spans="1:11" x14ac:dyDescent="0.25">
      <c r="A84" t="str">
        <f ca="1">OFFSET(Manawatu_Reference,14,2)</f>
        <v>Light Vehicle Driver</v>
      </c>
      <c r="B84" s="4">
        <f ca="1">B161*'Total Distance Tables Sup #1'!B84*(1+'Other Assumptions'!D$51)-(B82*'Active Mode Assumptions'!B9*'Active Mode Assumptions'!B14/(1+'Active Mode Assumptions'!B9))-(B83*'Active Mode Assumptions'!B18*'Active Mode Assumptions'!B23/(1+'Active Mode Assumptions'!B18))</f>
        <v>1782.4745101999999</v>
      </c>
      <c r="C84" s="4">
        <f ca="1">C161*'Total Distance Tables Sup #1'!C84*(1+'Other Assumptions'!G$51)-(C82*'Active Mode Assumptions'!C9*'Active Mode Assumptions'!C14/(1+'Active Mode Assumptions'!C9))-(C83*'Active Mode Assumptions'!C18*'Active Mode Assumptions'!C23/(1+'Active Mode Assumptions'!C18))</f>
        <v>1887.2424011675887</v>
      </c>
      <c r="D84" s="4">
        <f ca="1">D161*'Total Distance Tables Sup #1'!D84*(1+'Other Assumptions'!H$51)-(D82*'Active Mode Assumptions'!D9*'Active Mode Assumptions'!D14/(1+'Active Mode Assumptions'!D9))-(D83*'Active Mode Assumptions'!D18*'Active Mode Assumptions'!D23/(1+'Active Mode Assumptions'!D18))</f>
        <v>1920.6999910772806</v>
      </c>
      <c r="E84" s="4">
        <f ca="1">E161*'Total Distance Tables Sup #1'!E84*(1+'Other Assumptions'!I$51)-(E82*'Active Mode Assumptions'!E9*'Active Mode Assumptions'!E14/(1+'Active Mode Assumptions'!E9))-(E83*'Active Mode Assumptions'!E18*'Active Mode Assumptions'!E23/(1+'Active Mode Assumptions'!E18))</f>
        <v>1952.8721107439362</v>
      </c>
      <c r="F84" s="4">
        <f ca="1">F161*'Total Distance Tables Sup #1'!F84*(1+'Other Assumptions'!J$51)-(F82*'Active Mode Assumptions'!F9*'Active Mode Assumptions'!F14/(1+'Active Mode Assumptions'!F9))-(F83*'Active Mode Assumptions'!F18*'Active Mode Assumptions'!F23/(1+'Active Mode Assumptions'!F18))</f>
        <v>1972.6913247849377</v>
      </c>
      <c r="G84" s="4">
        <f ca="1">G161*'Total Distance Tables Sup #1'!G84*(1+'Other Assumptions'!K$51)-(G82*'Active Mode Assumptions'!G9*'Active Mode Assumptions'!G14/(1+'Active Mode Assumptions'!G9))-(G83*'Active Mode Assumptions'!G18*'Active Mode Assumptions'!G23/(1+'Active Mode Assumptions'!G18))</f>
        <v>1969.709581883885</v>
      </c>
      <c r="H84" s="4">
        <f ca="1">H161*'Total Distance Tables Sup #1'!H84*(1+'Other Assumptions'!L$51)-(H82*'Active Mode Assumptions'!H9*'Active Mode Assumptions'!H14/(1+'Active Mode Assumptions'!H9))-(H83*'Active Mode Assumptions'!H18*'Active Mode Assumptions'!H23/(1+'Active Mode Assumptions'!H18))</f>
        <v>1956.7203842383226</v>
      </c>
      <c r="I84" s="1">
        <f ca="1">I161*'Total Distance Tables Sup #1'!I84*(1+'Other Assumptions'!M$51)-(I82*'Active Mode Assumptions'!I9*'Active Mode Assumptions'!I14/(1+'Active Mode Assumptions'!I9))-(I83*'Active Mode Assumptions'!I18*'Active Mode Assumptions'!I23/(1+'Active Mode Assumptions'!I18))</f>
        <v>1942.0334580509434</v>
      </c>
      <c r="J84" s="1">
        <f ca="1">J161*'Total Distance Tables Sup #1'!J84*(1+'Other Assumptions'!N$51)-(J82*'Active Mode Assumptions'!J9*'Active Mode Assumptions'!J14/(1+'Active Mode Assumptions'!J9))-(J83*'Active Mode Assumptions'!J18*'Active Mode Assumptions'!J23/(1+'Active Mode Assumptions'!J18))</f>
        <v>1921.3358152219116</v>
      </c>
      <c r="K84" s="1">
        <f ca="1">K161*'Total Distance Tables Sup #1'!K84*(1+'Other Assumptions'!O$51)-(K82*'Active Mode Assumptions'!K9*'Active Mode Assumptions'!K14/(1+'Active Mode Assumptions'!K9))-(K83*'Active Mode Assumptions'!K18*'Active Mode Assumptions'!K23/(1+'Active Mode Assumptions'!K18))</f>
        <v>1896.7871837920675</v>
      </c>
    </row>
    <row r="85" spans="1:11" x14ac:dyDescent="0.25">
      <c r="A85" t="str">
        <f ca="1">OFFSET(Manawatu_Reference,21,2)</f>
        <v>Light Vehicle Passenger</v>
      </c>
      <c r="B85" s="4">
        <f ca="1">B162*'Total Distance Tables Sup #1'!B85*(1+'Other Assumptions'!D$51)-(B82*'Active Mode Assumptions'!B9*'Active Mode Assumptions'!B15/(1+'Active Mode Assumptions'!B9))-(B83*'Active Mode Assumptions'!B18*'Active Mode Assumptions'!B24/(1+'Active Mode Assumptions'!B18))</f>
        <v>885.65568203999999</v>
      </c>
      <c r="C85" s="4">
        <f ca="1">C162*'Total Distance Tables Sup #1'!C85*(1+'Other Assumptions'!G$51)-(C82*'Active Mode Assumptions'!C9*'Active Mode Assumptions'!C15/(1+'Active Mode Assumptions'!C9))-(C83*'Active Mode Assumptions'!C18*'Active Mode Assumptions'!C24/(1+'Active Mode Assumptions'!C18))</f>
        <v>902.12749979213311</v>
      </c>
      <c r="D85" s="4">
        <f ca="1">D162*'Total Distance Tables Sup #1'!D85*(1+'Other Assumptions'!H$51)-(D82*'Active Mode Assumptions'!D9*'Active Mode Assumptions'!D15/(1+'Active Mode Assumptions'!D9))-(D83*'Active Mode Assumptions'!D18*'Active Mode Assumptions'!D24/(1+'Active Mode Assumptions'!D18))</f>
        <v>897.17382624863626</v>
      </c>
      <c r="E85" s="4">
        <f ca="1">E162*'Total Distance Tables Sup #1'!E85*(1+'Other Assumptions'!I$51)-(E82*'Active Mode Assumptions'!E9*'Active Mode Assumptions'!E15/(1+'Active Mode Assumptions'!E9))-(E83*'Active Mode Assumptions'!E18*'Active Mode Assumptions'!E24/(1+'Active Mode Assumptions'!E18))</f>
        <v>892.18637090030848</v>
      </c>
      <c r="F85" s="4">
        <f ca="1">F162*'Total Distance Tables Sup #1'!F85*(1+'Other Assumptions'!J$51)-(F82*'Active Mode Assumptions'!F9*'Active Mode Assumptions'!F15/(1+'Active Mode Assumptions'!F9))-(F83*'Active Mode Assumptions'!F18*'Active Mode Assumptions'!F24/(1+'Active Mode Assumptions'!F18))</f>
        <v>880.00705120901341</v>
      </c>
      <c r="G85" s="4">
        <f ca="1">G162*'Total Distance Tables Sup #1'!G85*(1+'Other Assumptions'!K$51)-(G82*'Active Mode Assumptions'!G9*'Active Mode Assumptions'!G15/(1+'Active Mode Assumptions'!G9))-(G83*'Active Mode Assumptions'!G18*'Active Mode Assumptions'!G24/(1+'Active Mode Assumptions'!G18))</f>
        <v>861.66161938724042</v>
      </c>
      <c r="H85" s="4">
        <f ca="1">H162*'Total Distance Tables Sup #1'!H85*(1+'Other Assumptions'!L$51)-(H82*'Active Mode Assumptions'!H9*'Active Mode Assumptions'!H15/(1+'Active Mode Assumptions'!H9))-(H83*'Active Mode Assumptions'!H18*'Active Mode Assumptions'!H24/(1+'Active Mode Assumptions'!H18))</f>
        <v>839.18094257299731</v>
      </c>
      <c r="I85" s="1">
        <f ca="1">I162*'Total Distance Tables Sup #1'!I85*(1+'Other Assumptions'!M$51)-(I82*'Active Mode Assumptions'!I9*'Active Mode Assumptions'!I15/(1+'Active Mode Assumptions'!I9))-(I83*'Active Mode Assumptions'!I18*'Active Mode Assumptions'!I24/(1+'Active Mode Assumptions'!I18))</f>
        <v>833.79974753524391</v>
      </c>
      <c r="J85" s="1">
        <f ca="1">J162*'Total Distance Tables Sup #1'!J85*(1+'Other Assumptions'!N$51)-(J82*'Active Mode Assumptions'!J9*'Active Mode Assumptions'!J15/(1+'Active Mode Assumptions'!J9))-(J83*'Active Mode Assumptions'!J18*'Active Mode Assumptions'!J24/(1+'Active Mode Assumptions'!J18))</f>
        <v>825.82484650511924</v>
      </c>
      <c r="K85" s="1">
        <f ca="1">K162*'Total Distance Tables Sup #1'!K85*(1+'Other Assumptions'!O$51)-(K82*'Active Mode Assumptions'!K9*'Active Mode Assumptions'!K15/(1+'Active Mode Assumptions'!K9))-(K83*'Active Mode Assumptions'!K18*'Active Mode Assumptions'!K24/(1+'Active Mode Assumptions'!K18))</f>
        <v>816.17640539470335</v>
      </c>
    </row>
    <row r="86" spans="1:11" x14ac:dyDescent="0.25">
      <c r="A86" t="str">
        <f ca="1">OFFSET(Manawatu_Reference,28,2)</f>
        <v>Taxi/Vehicle Share</v>
      </c>
      <c r="B86" s="4">
        <f ca="1">B163*'Total Distance Tables Sup #1'!B86*(1+'Other Assumptions'!D$51)</f>
        <v>5.6344181790999999</v>
      </c>
      <c r="C86" s="4">
        <f ca="1">C163*'Total Distance Tables Sup #1'!C86*(1+'Other Assumptions'!G$51)</f>
        <v>6.2174265707334184</v>
      </c>
      <c r="D86" s="4">
        <f ca="1">D163*'Total Distance Tables Sup #1'!D86*(1+'Other Assumptions'!H$51)</f>
        <v>6.6606708905553056</v>
      </c>
      <c r="E86" s="4">
        <f ca="1">E163*'Total Distance Tables Sup #1'!E86*(1+'Other Assumptions'!I$51)</f>
        <v>7.0600277730713836</v>
      </c>
      <c r="F86" s="4">
        <f ca="1">F163*'Total Distance Tables Sup #1'!F86*(1+'Other Assumptions'!J$51)</f>
        <v>7.358426183693962</v>
      </c>
      <c r="G86" s="4">
        <f ca="1">G163*'Total Distance Tables Sup #1'!G86*(1+'Other Assumptions'!K$51)</f>
        <v>7.5226241238205569</v>
      </c>
      <c r="H86" s="4">
        <f ca="1">H163*'Total Distance Tables Sup #1'!H86*(1+'Other Assumptions'!L$51)</f>
        <v>7.6483130029060229</v>
      </c>
      <c r="I86" s="1">
        <f ca="1">I163*'Total Distance Tables Sup #1'!I86*(1+'Other Assumptions'!M$51)</f>
        <v>7.5697149624943716</v>
      </c>
      <c r="J86" s="1">
        <f ca="1">J163*'Total Distance Tables Sup #1'!J86*(1+'Other Assumptions'!N$51)</f>
        <v>7.4680315319751394</v>
      </c>
      <c r="K86" s="1">
        <f ca="1">K163*'Total Distance Tables Sup #1'!K86*(1+'Other Assumptions'!O$51)</f>
        <v>7.3518454176497698</v>
      </c>
    </row>
    <row r="87" spans="1:11" x14ac:dyDescent="0.25">
      <c r="A87" t="str">
        <f ca="1">OFFSET(Manawatu_Reference,35,2)</f>
        <v>Motorcyclist</v>
      </c>
      <c r="B87" s="4">
        <f ca="1">B164*'Total Distance Tables Sup #1'!B87*(1+'Other Assumptions'!D$51)</f>
        <v>3.8744282972000001</v>
      </c>
      <c r="C87" s="4">
        <f ca="1">C164*'Total Distance Tables Sup #1'!C87*(1+'Other Assumptions'!G$51)</f>
        <v>4.1029140239325761</v>
      </c>
      <c r="D87" s="4">
        <f ca="1">D164*'Total Distance Tables Sup #1'!D87*(1+'Other Assumptions'!H$51)</f>
        <v>4.1769045035930885</v>
      </c>
      <c r="E87" s="4">
        <f ca="1">E164*'Total Distance Tables Sup #1'!E87*(1+'Other Assumptions'!I$51)</f>
        <v>4.1789067289952548</v>
      </c>
      <c r="F87" s="4">
        <f ca="1">F164*'Total Distance Tables Sup #1'!F87*(1+'Other Assumptions'!J$51)</f>
        <v>4.1330203220052173</v>
      </c>
      <c r="G87" s="4">
        <f ca="1">G164*'Total Distance Tables Sup #1'!G87*(1+'Other Assumptions'!K$51)</f>
        <v>4.0125771110150366</v>
      </c>
      <c r="H87" s="4">
        <f ca="1">H164*'Total Distance Tables Sup #1'!H87*(1+'Other Assumptions'!L$51)</f>
        <v>3.8736371784167791</v>
      </c>
      <c r="I87" s="1">
        <f ca="1">I164*'Total Distance Tables Sup #1'!I87*(1+'Other Assumptions'!M$51)</f>
        <v>3.8683735579301683</v>
      </c>
      <c r="J87" s="1">
        <f ca="1">J164*'Total Distance Tables Sup #1'!J87*(1+'Other Assumptions'!N$51)</f>
        <v>3.8509682728161101</v>
      </c>
      <c r="K87" s="1">
        <f ca="1">K164*'Total Distance Tables Sup #1'!K87*(1+'Other Assumptions'!O$51)</f>
        <v>3.825537928236967</v>
      </c>
    </row>
    <row r="88" spans="1:11" x14ac:dyDescent="0.25">
      <c r="A88" t="str">
        <f ca="1">OFFSET(Taranaki_Reference,42,2)</f>
        <v>Local Train</v>
      </c>
      <c r="B88" s="4">
        <f ca="1">B165*'Total Distance Tables Sup #1'!B88*(1+'Other Assumptions'!D$51)</f>
        <v>0</v>
      </c>
      <c r="C88" s="4">
        <f ca="1">C165*'Total Distance Tables Sup #1'!C88*(1+'Other Assumptions'!G$51)</f>
        <v>0</v>
      </c>
      <c r="D88" s="4">
        <f ca="1">D165*'Total Distance Tables Sup #1'!D88*(1+'Other Assumptions'!H$51)</f>
        <v>0</v>
      </c>
      <c r="E88" s="4">
        <f ca="1">E165*'Total Distance Tables Sup #1'!E88*(1+'Other Assumptions'!I$51)</f>
        <v>0</v>
      </c>
      <c r="F88" s="4">
        <f ca="1">F165*'Total Distance Tables Sup #1'!F88*(1+'Other Assumptions'!J$51)</f>
        <v>0</v>
      </c>
      <c r="G88" s="4">
        <f ca="1">G165*'Total Distance Tables Sup #1'!G88*(1+'Other Assumptions'!K$51)</f>
        <v>0</v>
      </c>
      <c r="H88" s="4">
        <f ca="1">H165*'Total Distance Tables Sup #1'!H88*(1+'Other Assumptions'!L$51)</f>
        <v>0</v>
      </c>
      <c r="I88" s="1">
        <f ca="1">I165*'Total Distance Tables Sup #1'!I88*(1+'Other Assumptions'!M$51)</f>
        <v>0</v>
      </c>
      <c r="J88" s="1">
        <f ca="1">J165*'Total Distance Tables Sup #1'!J88*(1+'Other Assumptions'!N$51)</f>
        <v>0</v>
      </c>
      <c r="K88" s="1">
        <f ca="1">K165*'Total Distance Tables Sup #1'!K88*(1+'Other Assumptions'!O$51)</f>
        <v>0</v>
      </c>
    </row>
    <row r="89" spans="1:11" x14ac:dyDescent="0.25">
      <c r="A89" t="str">
        <f ca="1">OFFSET(Manawatu_Reference,42,2)</f>
        <v>Local Bus</v>
      </c>
      <c r="B89" s="4">
        <f ca="1">B166*'Total Distance Tables Sup #1'!B89*(1+'Other Assumptions'!D$51)</f>
        <v>39.768452936000003</v>
      </c>
      <c r="C89" s="4">
        <f ca="1">C166*'Total Distance Tables Sup #1'!C89*(1+'Other Assumptions'!G$51)</f>
        <v>37.522658831689377</v>
      </c>
      <c r="D89" s="4">
        <f ca="1">D166*'Total Distance Tables Sup #1'!D89*(1+'Other Assumptions'!H$51)</f>
        <v>35.690598519253356</v>
      </c>
      <c r="E89" s="4">
        <f ca="1">E166*'Total Distance Tables Sup #1'!E89*(1+'Other Assumptions'!I$51)</f>
        <v>34.373353710062624</v>
      </c>
      <c r="F89" s="4">
        <f ca="1">F166*'Total Distance Tables Sup #1'!F89*(1+'Other Assumptions'!J$51)</f>
        <v>32.540169291614994</v>
      </c>
      <c r="G89" s="4">
        <f ca="1">G166*'Total Distance Tables Sup #1'!G89*(1+'Other Assumptions'!K$51)</f>
        <v>31.150826971381019</v>
      </c>
      <c r="H89" s="4">
        <f ca="1">H166*'Total Distance Tables Sup #1'!H89*(1+'Other Assumptions'!L$51)</f>
        <v>29.706547275801618</v>
      </c>
      <c r="I89" s="1">
        <f ca="1">I166*'Total Distance Tables Sup #1'!I89*(1+'Other Assumptions'!M$51)</f>
        <v>29.519589942024449</v>
      </c>
      <c r="J89" s="1">
        <f ca="1">J166*'Total Distance Tables Sup #1'!J89*(1+'Other Assumptions'!N$51)</f>
        <v>29.240393844863465</v>
      </c>
      <c r="K89" s="1">
        <f ca="1">K166*'Total Distance Tables Sup #1'!K89*(1+'Other Assumptions'!O$51)</f>
        <v>28.901543149885658</v>
      </c>
    </row>
    <row r="90" spans="1:11" x14ac:dyDescent="0.25">
      <c r="A90" t="str">
        <f ca="1">OFFSET(Manawatu_Reference,49,2)</f>
        <v>Local Ferry</v>
      </c>
      <c r="B90" s="4">
        <f ca="1">B167*'Total Distance Tables Sup #1'!B90*(1+'Other Assumptions'!D$51)</f>
        <v>0</v>
      </c>
      <c r="C90" s="4">
        <f ca="1">C167*'Total Distance Tables Sup #1'!C90*(1+'Other Assumptions'!G$51)</f>
        <v>0</v>
      </c>
      <c r="D90" s="4">
        <f ca="1">D167*'Total Distance Tables Sup #1'!D90*(1+'Other Assumptions'!H$51)</f>
        <v>0</v>
      </c>
      <c r="E90" s="4">
        <f ca="1">E167*'Total Distance Tables Sup #1'!E90*(1+'Other Assumptions'!I$51)</f>
        <v>0</v>
      </c>
      <c r="F90" s="4">
        <f ca="1">F167*'Total Distance Tables Sup #1'!F90*(1+'Other Assumptions'!J$51)</f>
        <v>0</v>
      </c>
      <c r="G90" s="4">
        <f ca="1">G167*'Total Distance Tables Sup #1'!G90*(1+'Other Assumptions'!K$51)</f>
        <v>0</v>
      </c>
      <c r="H90" s="4">
        <f ca="1">H167*'Total Distance Tables Sup #1'!H90*(1+'Other Assumptions'!L$51)</f>
        <v>0</v>
      </c>
      <c r="I90" s="1">
        <f ca="1">I167*'Total Distance Tables Sup #1'!I90*(1+'Other Assumptions'!M$51)</f>
        <v>0</v>
      </c>
      <c r="J90" s="1">
        <f ca="1">J167*'Total Distance Tables Sup #1'!J90*(1+'Other Assumptions'!N$51)</f>
        <v>0</v>
      </c>
      <c r="K90" s="1">
        <f ca="1">K167*'Total Distance Tables Sup #1'!K90*(1+'Other Assumptions'!O$51)</f>
        <v>0</v>
      </c>
    </row>
    <row r="91" spans="1:11" x14ac:dyDescent="0.25">
      <c r="A91" t="str">
        <f ca="1">OFFSET(Manawatu_Reference,56,2)</f>
        <v>Other Household Travel</v>
      </c>
      <c r="B91" s="4">
        <f ca="1">B168*'Total Distance Tables Sup #1'!B91*(1+'Other Assumptions'!D$51)</f>
        <v>0</v>
      </c>
      <c r="C91" s="4">
        <f ca="1">C168*'Total Distance Tables Sup #1'!C91*(1+'Other Assumptions'!G$51)</f>
        <v>0</v>
      </c>
      <c r="D91" s="4">
        <f ca="1">D168*'Total Distance Tables Sup #1'!D91*(1+'Other Assumptions'!H$51)</f>
        <v>0</v>
      </c>
      <c r="E91" s="4">
        <f ca="1">E168*'Total Distance Tables Sup #1'!E91*(1+'Other Assumptions'!I$51)</f>
        <v>0</v>
      </c>
      <c r="F91" s="4">
        <f ca="1">F168*'Total Distance Tables Sup #1'!F91*(1+'Other Assumptions'!J$51)</f>
        <v>0</v>
      </c>
      <c r="G91" s="4">
        <f ca="1">G168*'Total Distance Tables Sup #1'!G91*(1+'Other Assumptions'!K$51)</f>
        <v>0</v>
      </c>
      <c r="H91" s="4">
        <f ca="1">H168*'Total Distance Tables Sup #1'!H91*(1+'Other Assumptions'!L$51)</f>
        <v>0</v>
      </c>
      <c r="I91" s="1">
        <f ca="1">I168*'Total Distance Tables Sup #1'!I91*(1+'Other Assumptions'!M$51)</f>
        <v>0</v>
      </c>
      <c r="J91" s="1">
        <f ca="1">J168*'Total Distance Tables Sup #1'!J91*(1+'Other Assumptions'!N$51)</f>
        <v>0</v>
      </c>
      <c r="K91" s="1">
        <f ca="1">K168*'Total Distance Tables Sup #1'!K91*(1+'Other Assumptions'!O$51)</f>
        <v>0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B159*'Total Distance Tables Sup #1'!B93*(1+'Other Assumptions'!D$52)*(1+'Active Mode Assumptions'!B9)-('PT Assumptions'!B44*'Total Distance Tables Sup #2'!B171+'PT Assumptions'!B56*'Total Distance Tables Sup #2'!B174)*(1+'Other Assumptions'!D$52)</f>
        <v>126.13499251</v>
      </c>
      <c r="C93" s="4">
        <f ca="1">C159*'Total Distance Tables Sup #1'!C93*(1+'Other Assumptions'!G$52)*(1+'Active Mode Assumptions'!C9)-('PT Assumptions'!C44*'Total Distance Tables Sup #2'!C171+'PT Assumptions'!C56*'Total Distance Tables Sup #2'!C174)*(1+'Other Assumptions'!G$52)</f>
        <v>131.3236299731791</v>
      </c>
      <c r="D93" s="4">
        <f ca="1">D159*'Total Distance Tables Sup #1'!D93*(1+'Other Assumptions'!H$52)*(1+'Active Mode Assumptions'!D9)-('PT Assumptions'!D44*'Total Distance Tables Sup #2'!D171+'PT Assumptions'!D56*'Total Distance Tables Sup #2'!D174)*(1+'Other Assumptions'!H$52)</f>
        <v>138.70807725413854</v>
      </c>
      <c r="E93" s="4">
        <f ca="1">E159*'Total Distance Tables Sup #1'!E93*(1+'Other Assumptions'!I$52)*(1+'Active Mode Assumptions'!E9)-('PT Assumptions'!E44*'Total Distance Tables Sup #2'!E171+'PT Assumptions'!E56*'Total Distance Tables Sup #2'!E174)*(1+'Other Assumptions'!I$52)</f>
        <v>144.37135868135448</v>
      </c>
      <c r="F93" s="4">
        <f ca="1">F159*'Total Distance Tables Sup #1'!F93*(1+'Other Assumptions'!J$52)*(1+'Active Mode Assumptions'!F9)-('PT Assumptions'!F44*'Total Distance Tables Sup #2'!F171+'PT Assumptions'!F56*'Total Distance Tables Sup #2'!F174)*(1+'Other Assumptions'!J$52)</f>
        <v>148.83588103210107</v>
      </c>
      <c r="G93" s="4">
        <f ca="1">G159*'Total Distance Tables Sup #1'!G93*(1+'Other Assumptions'!K$52)*(1+'Active Mode Assumptions'!G9)-('PT Assumptions'!G44*'Total Distance Tables Sup #2'!G171+'PT Assumptions'!G56*'Total Distance Tables Sup #2'!G174)*(1+'Other Assumptions'!K$52)</f>
        <v>152.66010434180791</v>
      </c>
      <c r="H93" s="4">
        <f ca="1">H159*'Total Distance Tables Sup #1'!H93*(1+'Other Assumptions'!L$52)*(1+'Active Mode Assumptions'!H9)-('PT Assumptions'!H44*'Total Distance Tables Sup #2'!H171+'PT Assumptions'!H56*'Total Distance Tables Sup #2'!H174)*(1+'Other Assumptions'!L$52)</f>
        <v>155.55794318266604</v>
      </c>
      <c r="I93" s="1">
        <f ca="1">I159*'Total Distance Tables Sup #1'!I93*(1+'Other Assumptions'!M$52)*(1+'Active Mode Assumptions'!I9)-('PT Assumptions'!I44*'Total Distance Tables Sup #2'!I171+'PT Assumptions'!I56*'Total Distance Tables Sup #2'!I174)*(1+'Other Assumptions'!M$52)</f>
        <v>154.55288676816826</v>
      </c>
      <c r="J93" s="1">
        <f ca="1">J159*'Total Distance Tables Sup #1'!J93*(1+'Other Assumptions'!N$52)*(1+'Active Mode Assumptions'!J9)-('PT Assumptions'!J44*'Total Distance Tables Sup #2'!J171+'PT Assumptions'!J56*'Total Distance Tables Sup #2'!J174)*(1+'Other Assumptions'!N$52)</f>
        <v>153.01184554691318</v>
      </c>
      <c r="K93" s="1">
        <f ca="1">K159*'Total Distance Tables Sup #1'!K93*(1+'Other Assumptions'!O$52)*(1+'Active Mode Assumptions'!K9)-('PT Assumptions'!K44*'Total Distance Tables Sup #2'!K171+'PT Assumptions'!K56*'Total Distance Tables Sup #2'!K174)*(1+'Other Assumptions'!O$52)</f>
        <v>151.11534789307061</v>
      </c>
    </row>
    <row r="94" spans="1:11" x14ac:dyDescent="0.25">
      <c r="A94" t="str">
        <f ca="1">OFFSET(Wellington_Reference,7,2)</f>
        <v>Cyclist</v>
      </c>
      <c r="B94" s="4">
        <f ca="1">B160*'Total Distance Tables Sup #1'!B94*(1+'Other Assumptions'!D$52)*(1+'Active Mode Assumptions'!B18)-('PT Assumptions'!B45*'Total Distance Tables Sup #2'!B171+'PT Assumptions'!B57*'Total Distance Tables Sup #2'!B174)*(1+'Other Assumptions'!D$52)</f>
        <v>52.092312808000003</v>
      </c>
      <c r="C94" s="4">
        <f ca="1">C160*'Total Distance Tables Sup #1'!C94*(1+'Other Assumptions'!G$52)*(1+'Active Mode Assumptions'!C18)-('PT Assumptions'!C45*'Total Distance Tables Sup #2'!C171+'PT Assumptions'!C57*'Total Distance Tables Sup #2'!C174)*(1+'Other Assumptions'!G$52)</f>
        <v>56.125116499025289</v>
      </c>
      <c r="D94" s="4">
        <f ca="1">D160*'Total Distance Tables Sup #1'!D94*(1+'Other Assumptions'!H$52)*(1+'Active Mode Assumptions'!D18)-('PT Assumptions'!D45*'Total Distance Tables Sup #2'!D171+'PT Assumptions'!D57*'Total Distance Tables Sup #2'!D174)*(1+'Other Assumptions'!H$52)</f>
        <v>79.946982397430887</v>
      </c>
      <c r="E94" s="4">
        <f ca="1">E160*'Total Distance Tables Sup #1'!E94*(1+'Other Assumptions'!I$52)*(1+'Active Mode Assumptions'!E18)-('PT Assumptions'!E45*'Total Distance Tables Sup #2'!E171+'PT Assumptions'!E57*'Total Distance Tables Sup #2'!E174)*(1+'Other Assumptions'!I$52)</f>
        <v>102.50914260329226</v>
      </c>
      <c r="F94" s="4">
        <f ca="1">F160*'Total Distance Tables Sup #1'!F94*(1+'Other Assumptions'!J$52)*(1+'Active Mode Assumptions'!F18)-('PT Assumptions'!F45*'Total Distance Tables Sup #2'!F171+'PT Assumptions'!F57*'Total Distance Tables Sup #2'!F174)*(1+'Other Assumptions'!J$52)</f>
        <v>126.4516335417814</v>
      </c>
      <c r="G94" s="4">
        <f ca="1">G160*'Total Distance Tables Sup #1'!G94*(1+'Other Assumptions'!K$52)*(1+'Active Mode Assumptions'!G18)-('PT Assumptions'!G45*'Total Distance Tables Sup #2'!G171+'PT Assumptions'!G57*'Total Distance Tables Sup #2'!G174)*(1+'Other Assumptions'!K$52)</f>
        <v>152.88227288679948</v>
      </c>
      <c r="H94" s="4">
        <f ca="1">H160*'Total Distance Tables Sup #1'!H94*(1+'Other Assumptions'!L$52)*(1+'Active Mode Assumptions'!H18)-('PT Assumptions'!H45*'Total Distance Tables Sup #2'!H171+'PT Assumptions'!H57*'Total Distance Tables Sup #2'!H174)*(1+'Other Assumptions'!L$52)</f>
        <v>180.23230683425862</v>
      </c>
      <c r="I94" s="1">
        <f ca="1">I160*'Total Distance Tables Sup #1'!I94*(1+'Other Assumptions'!M$52)*(1+'Active Mode Assumptions'!I18)-('PT Assumptions'!I45*'Total Distance Tables Sup #2'!I171+'PT Assumptions'!I57*'Total Distance Tables Sup #2'!I174)*(1+'Other Assumptions'!M$52)</f>
        <v>180.14365554988203</v>
      </c>
      <c r="J94" s="1">
        <f ca="1">J160*'Total Distance Tables Sup #1'!J94*(1+'Other Assumptions'!N$52)*(1+'Active Mode Assumptions'!J18)-('PT Assumptions'!J45*'Total Distance Tables Sup #2'!J171+'PT Assumptions'!J57*'Total Distance Tables Sup #2'!J174)*(1+'Other Assumptions'!N$52)</f>
        <v>179.4722927184788</v>
      </c>
      <c r="K94" s="1">
        <f ca="1">K160*'Total Distance Tables Sup #1'!K94*(1+'Other Assumptions'!O$52)*(1+'Active Mode Assumptions'!K18)-('PT Assumptions'!K45*'Total Distance Tables Sup #2'!K171+'PT Assumptions'!K57*'Total Distance Tables Sup #2'!K174)*(1+'Other Assumptions'!O$52)</f>
        <v>178.40897060401116</v>
      </c>
    </row>
    <row r="95" spans="1:11" x14ac:dyDescent="0.25">
      <c r="A95" t="str">
        <f ca="1">OFFSET(Wellington_Reference,14,2)</f>
        <v>Light Vehicle Driver</v>
      </c>
      <c r="B95" s="4">
        <f ca="1">(B161*'Total Distance Tables Sup #1'!B95-'PT Assumptions'!B46*'Total Distance Tables Sup #2'!B171-'PT Assumptions'!B58*'Total Distance Tables Sup #2'!B174)*(1+'Other Assumptions'!D$52)-(B159*'Total Distance Tables Sup #1'!B93)*(1+'Other Assumptions'!D$52)*'Active Mode Assumptions'!B9*'Active Mode Assumptions'!B14-(B160*'Total Distance Tables Sup #1'!B94)*(1+'Other Assumptions'!D$52)*'Active Mode Assumptions'!B18*'Active Mode Assumptions'!B23</f>
        <v>3481.4296611999998</v>
      </c>
      <c r="C95" s="4">
        <f ca="1">(C161*'Total Distance Tables Sup #1'!C95-'PT Assumptions'!C46*'Total Distance Tables Sup #2'!C171-'PT Assumptions'!C58*'Total Distance Tables Sup #2'!C174)*(1+'Other Assumptions'!G$52)-(C159*'Total Distance Tables Sup #1'!C93)*(1+'Other Assumptions'!G$52)*'Active Mode Assumptions'!C9*'Active Mode Assumptions'!C14-(C160*'Total Distance Tables Sup #1'!C94)*(1+'Other Assumptions'!G$52)*'Active Mode Assumptions'!C18*'Active Mode Assumptions'!C23</f>
        <v>3750.7475241358675</v>
      </c>
      <c r="D95" s="4">
        <f ca="1">(D161*'Total Distance Tables Sup #1'!D95-'PT Assumptions'!D46*'Total Distance Tables Sup #2'!D171-'PT Assumptions'!D58*'Total Distance Tables Sup #2'!D174)*(1+'Other Assumptions'!H$52)-(D159*'Total Distance Tables Sup #1'!D93)*(1+'Other Assumptions'!H$52)*'Active Mode Assumptions'!D9*'Active Mode Assumptions'!D14-(D160*'Total Distance Tables Sup #1'!D94)*(1+'Other Assumptions'!H$52)*'Active Mode Assumptions'!D18*'Active Mode Assumptions'!D23</f>
        <v>3825.6159630070347</v>
      </c>
      <c r="E95" s="4">
        <f ca="1">(E161*'Total Distance Tables Sup #1'!E95-'PT Assumptions'!E46*'Total Distance Tables Sup #2'!E171-'PT Assumptions'!E58*'Total Distance Tables Sup #2'!E174)*(1+'Other Assumptions'!I$52)-(E159*'Total Distance Tables Sup #1'!E93)*(1+'Other Assumptions'!I$52)*'Active Mode Assumptions'!E9*'Active Mode Assumptions'!E14-(E160*'Total Distance Tables Sup #1'!E94)*(1+'Other Assumptions'!I$52)*'Active Mode Assumptions'!E18*'Active Mode Assumptions'!E23</f>
        <v>3891.7396488173858</v>
      </c>
      <c r="F95" s="4">
        <f ca="1">(F161*'Total Distance Tables Sup #1'!F95-'PT Assumptions'!F46*'Total Distance Tables Sup #2'!F171-'PT Assumptions'!F58*'Total Distance Tables Sup #2'!F174)*(1+'Other Assumptions'!J$52)-(F159*'Total Distance Tables Sup #1'!F93)*(1+'Other Assumptions'!J$52)*'Active Mode Assumptions'!F9*'Active Mode Assumptions'!F14-(F160*'Total Distance Tables Sup #1'!F94)*(1+'Other Assumptions'!J$52)*'Active Mode Assumptions'!F18*'Active Mode Assumptions'!F23</f>
        <v>3940.3082846684456</v>
      </c>
      <c r="G95" s="4">
        <f ca="1">(G161*'Total Distance Tables Sup #1'!G95-'PT Assumptions'!G46*'Total Distance Tables Sup #2'!G171-'PT Assumptions'!G58*'Total Distance Tables Sup #2'!G174)*(1+'Other Assumptions'!K$52)-(G159*'Total Distance Tables Sup #1'!G93)*(1+'Other Assumptions'!K$52)*'Active Mode Assumptions'!G9*'Active Mode Assumptions'!G14-(G160*'Total Distance Tables Sup #1'!G94)*(1+'Other Assumptions'!K$52)*'Active Mode Assumptions'!G18*'Active Mode Assumptions'!G23</f>
        <v>3944.0639288715283</v>
      </c>
      <c r="H95" s="4">
        <f ca="1">(H161*'Total Distance Tables Sup #1'!H95-'PT Assumptions'!H46*'Total Distance Tables Sup #2'!H171-'PT Assumptions'!H58*'Total Distance Tables Sup #2'!H174)*(1+'Other Assumptions'!L$52)-(H159*'Total Distance Tables Sup #1'!H93)*(1+'Other Assumptions'!L$52)*'Active Mode Assumptions'!H9*'Active Mode Assumptions'!H14-(H160*'Total Distance Tables Sup #1'!H94)*(1+'Other Assumptions'!L$52)*'Active Mode Assumptions'!H18*'Active Mode Assumptions'!H23</f>
        <v>3925.848982693371</v>
      </c>
      <c r="I95" s="1">
        <f ca="1">(I161*'Total Distance Tables Sup #1'!I95-'PT Assumptions'!I46*'Total Distance Tables Sup #2'!I171-'PT Assumptions'!I58*'Total Distance Tables Sup #2'!I174)*(1+'Other Assumptions'!M$52)-(I159*'Total Distance Tables Sup #1'!I93)*(1+'Other Assumptions'!M$52)*'Active Mode Assumptions'!I9*'Active Mode Assumptions'!I14-(I160*'Total Distance Tables Sup #1'!I94)*(1+'Other Assumptions'!M$52)*'Active Mode Assumptions'!I18*'Active Mode Assumptions'!I23</f>
        <v>3905.8616818197106</v>
      </c>
      <c r="J95" s="1">
        <f ca="1">(J161*'Total Distance Tables Sup #1'!J95-'PT Assumptions'!J46*'Total Distance Tables Sup #2'!J171-'PT Assumptions'!J58*'Total Distance Tables Sup #2'!J174)*(1+'Other Assumptions'!N$52)-(J159*'Total Distance Tables Sup #1'!J93)*(1+'Other Assumptions'!N$52)*'Active Mode Assumptions'!J9*'Active Mode Assumptions'!J14-(J160*'Total Distance Tables Sup #1'!J94)*(1+'Other Assumptions'!N$52)*'Active Mode Assumptions'!J18*'Active Mode Assumptions'!J23</f>
        <v>3872.262051540778</v>
      </c>
      <c r="K95" s="1">
        <f ca="1">(K161*'Total Distance Tables Sup #1'!K95-'PT Assumptions'!K46*'Total Distance Tables Sup #2'!K171-'PT Assumptions'!K58*'Total Distance Tables Sup #2'!K174)*(1+'Other Assumptions'!O$52)-(K159*'Total Distance Tables Sup #1'!K93)*(1+'Other Assumptions'!O$52)*'Active Mode Assumptions'!K9*'Active Mode Assumptions'!K14-(K160*'Total Distance Tables Sup #1'!K94)*(1+'Other Assumptions'!O$52)*'Active Mode Assumptions'!K18*'Active Mode Assumptions'!K23</f>
        <v>3829.4405227635566</v>
      </c>
    </row>
    <row r="96" spans="1:11" x14ac:dyDescent="0.25">
      <c r="A96" t="str">
        <f ca="1">OFFSET(Wellington_Reference,21,2)</f>
        <v>Light Vehicle Passenger</v>
      </c>
      <c r="B96" s="4">
        <f ca="1">(B162*'Total Distance Tables Sup #1'!B96-'PT Assumptions'!B47*'Total Distance Tables Sup #2'!B171-'PT Assumptions'!B59*'Total Distance Tables Sup #2'!B174)*(1+'Other Assumptions'!D$52)-(B159*'Total Distance Tables Sup #1'!B93)*(1+'Other Assumptions'!D$52)*'Active Mode Assumptions'!B9*'Active Mode Assumptions'!B15-(B160*'Total Distance Tables Sup #1'!B94)*(1+'Other Assumptions'!D$52)*'Active Mode Assumptions'!B18*'Active Mode Assumptions'!B24</f>
        <v>2005.8850408000001</v>
      </c>
      <c r="C96" s="4">
        <f ca="1">(C162*'Total Distance Tables Sup #1'!C96-'PT Assumptions'!C47*'Total Distance Tables Sup #2'!C171-'PT Assumptions'!C59*'Total Distance Tables Sup #2'!C174)*(1+'Other Assumptions'!G$52)-(C159*'Total Distance Tables Sup #1'!C93)*(1+'Other Assumptions'!G$52)*'Active Mode Assumptions'!C9*'Active Mode Assumptions'!C15-(C160*'Total Distance Tables Sup #1'!C94)*(1+'Other Assumptions'!G$52)*'Active Mode Assumptions'!C18*'Active Mode Assumptions'!C24</f>
        <v>2078.9289200378785</v>
      </c>
      <c r="D96" s="4">
        <f ca="1">(D162*'Total Distance Tables Sup #1'!D96-'PT Assumptions'!D47*'Total Distance Tables Sup #2'!D171-'PT Assumptions'!D59*'Total Distance Tables Sup #2'!D174)*(1+'Other Assumptions'!H$52)-(D159*'Total Distance Tables Sup #1'!D93)*(1+'Other Assumptions'!H$52)*'Active Mode Assumptions'!D9*'Active Mode Assumptions'!D15-(D160*'Total Distance Tables Sup #1'!D94)*(1+'Other Assumptions'!H$52)*'Active Mode Assumptions'!D18*'Active Mode Assumptions'!D24</f>
        <v>2066.0877507668129</v>
      </c>
      <c r="E96" s="4">
        <f ca="1">(E162*'Total Distance Tables Sup #1'!E96-'PT Assumptions'!E47*'Total Distance Tables Sup #2'!E171-'PT Assumptions'!E59*'Total Distance Tables Sup #2'!E174)*(1+'Other Assumptions'!I$52)-(E159*'Total Distance Tables Sup #1'!E93)*(1+'Other Assumptions'!I$52)*'Active Mode Assumptions'!E9*'Active Mode Assumptions'!E15-(E160*'Total Distance Tables Sup #1'!E94)*(1+'Other Assumptions'!I$52)*'Active Mode Assumptions'!E18*'Active Mode Assumptions'!E24</f>
        <v>2050.7997455089167</v>
      </c>
      <c r="F96" s="4">
        <f ca="1">(F162*'Total Distance Tables Sup #1'!F96-'PT Assumptions'!F47*'Total Distance Tables Sup #2'!F171-'PT Assumptions'!F59*'Total Distance Tables Sup #2'!F174)*(1+'Other Assumptions'!J$52)-(F159*'Total Distance Tables Sup #1'!F93)*(1+'Other Assumptions'!J$52)*'Active Mode Assumptions'!F9*'Active Mode Assumptions'!F15-(F160*'Total Distance Tables Sup #1'!F94)*(1+'Other Assumptions'!J$52)*'Active Mode Assumptions'!F18*'Active Mode Assumptions'!F24</f>
        <v>2023.7039618192623</v>
      </c>
      <c r="G96" s="4">
        <f ca="1">(G162*'Total Distance Tables Sup #1'!G96-'PT Assumptions'!G47*'Total Distance Tables Sup #2'!G171-'PT Assumptions'!G59*'Total Distance Tables Sup #2'!G174)*(1+'Other Assumptions'!K$52)-(G159*'Total Distance Tables Sup #1'!G93)*(1+'Other Assumptions'!K$52)*'Active Mode Assumptions'!G9*'Active Mode Assumptions'!G15-(G160*'Total Distance Tables Sup #1'!G94)*(1+'Other Assumptions'!K$52)*'Active Mode Assumptions'!G18*'Active Mode Assumptions'!G24</f>
        <v>1982.4075068650698</v>
      </c>
      <c r="H96" s="4">
        <f ca="1">(H162*'Total Distance Tables Sup #1'!H96-'PT Assumptions'!H47*'Total Distance Tables Sup #2'!H171-'PT Assumptions'!H59*'Total Distance Tables Sup #2'!H174)*(1+'Other Assumptions'!L$52)-(H159*'Total Distance Tables Sup #1'!H93)*(1+'Other Assumptions'!L$52)*'Active Mode Assumptions'!H9*'Active Mode Assumptions'!H15-(H160*'Total Distance Tables Sup #1'!H94)*(1+'Other Assumptions'!L$52)*'Active Mode Assumptions'!H18*'Active Mode Assumptions'!H24</f>
        <v>1929.8823317042841</v>
      </c>
      <c r="I96" s="1">
        <f ca="1">(I162*'Total Distance Tables Sup #1'!I96-'PT Assumptions'!I47*'Total Distance Tables Sup #2'!I171-'PT Assumptions'!I59*'Total Distance Tables Sup #2'!I174)*(1+'Other Assumptions'!M$52)-(I159*'Total Distance Tables Sup #1'!I93)*(1+'Other Assumptions'!M$52)*'Active Mode Assumptions'!I9*'Active Mode Assumptions'!I15-(I160*'Total Distance Tables Sup #1'!I94)*(1+'Other Assumptions'!M$52)*'Active Mode Assumptions'!I18*'Active Mode Assumptions'!I24</f>
        <v>1918.5617997264715</v>
      </c>
      <c r="J96" s="1">
        <f ca="1">(J162*'Total Distance Tables Sup #1'!J96-'PT Assumptions'!J47*'Total Distance Tables Sup #2'!J171-'PT Assumptions'!J59*'Total Distance Tables Sup #2'!J174)*(1+'Other Assumptions'!N$52)-(J159*'Total Distance Tables Sup #1'!J93)*(1+'Other Assumptions'!N$52)*'Active Mode Assumptions'!J9*'Active Mode Assumptions'!J15-(J160*'Total Distance Tables Sup #1'!J94)*(1+'Other Assumptions'!N$52)*'Active Mode Assumptions'!J18*'Active Mode Assumptions'!J24</f>
        <v>1900.1094711051965</v>
      </c>
      <c r="K96" s="1">
        <f ca="1">(K162*'Total Distance Tables Sup #1'!K96-'PT Assumptions'!K47*'Total Distance Tables Sup #2'!K171-'PT Assumptions'!K59*'Total Distance Tables Sup #2'!K174)*(1+'Other Assumptions'!O$52)-(K159*'Total Distance Tables Sup #1'!K93)*(1+'Other Assumptions'!O$52)*'Active Mode Assumptions'!K9*'Active Mode Assumptions'!K15-(K160*'Total Distance Tables Sup #1'!K94)*(1+'Other Assumptions'!O$52)*'Active Mode Assumptions'!K18*'Active Mode Assumptions'!K24</f>
        <v>1876.7478047975599</v>
      </c>
    </row>
    <row r="97" spans="1:11" x14ac:dyDescent="0.25">
      <c r="A97" t="str">
        <f ca="1">OFFSET(Wellington_Reference,28,2)</f>
        <v>Taxi/Vehicle Share</v>
      </c>
      <c r="B97" s="4">
        <f ca="1">B163*'Total Distance Tables Sup #1'!B97*(1+'Other Assumptions'!D$52)</f>
        <v>19.359252680000001</v>
      </c>
      <c r="C97" s="4">
        <f ca="1">C163*'Total Distance Tables Sup #1'!C97*(1+'Other Assumptions'!G$52)</f>
        <v>21.73889344068845</v>
      </c>
      <c r="D97" s="4">
        <f ca="1">D163*'Total Distance Tables Sup #1'!D97*(1+'Other Assumptions'!H$52)</f>
        <v>23.430541442728575</v>
      </c>
      <c r="E97" s="4">
        <f ca="1">E163*'Total Distance Tables Sup #1'!E97*(1+'Other Assumptions'!I$52)</f>
        <v>24.921545588439649</v>
      </c>
      <c r="F97" s="4">
        <f ca="1">F163*'Total Distance Tables Sup #1'!F97*(1+'Other Assumptions'!J$52)</f>
        <v>26.089438656448934</v>
      </c>
      <c r="G97" s="4">
        <f ca="1">G163*'Total Distance Tables Sup #1'!G97*(1+'Other Assumptions'!K$52)</f>
        <v>26.795731377050437</v>
      </c>
      <c r="H97" s="4">
        <f ca="1">H163*'Total Distance Tables Sup #1'!H97*(1+'Other Assumptions'!L$52)</f>
        <v>27.363323011738792</v>
      </c>
      <c r="I97" s="1">
        <f ca="1">I163*'Total Distance Tables Sup #1'!I97*(1+'Other Assumptions'!M$52)</f>
        <v>27.19828485488091</v>
      </c>
      <c r="J97" s="1">
        <f ca="1">J163*'Total Distance Tables Sup #1'!J97*(1+'Other Assumptions'!N$52)</f>
        <v>26.944975210189622</v>
      </c>
      <c r="K97" s="1">
        <f ca="1">K163*'Total Distance Tables Sup #1'!K97*(1+'Other Assumptions'!O$52)</f>
        <v>26.633451408657422</v>
      </c>
    </row>
    <row r="98" spans="1:11" x14ac:dyDescent="0.25">
      <c r="A98" t="str">
        <f ca="1">OFFSET(Wellington_Reference,35,2)</f>
        <v>Motorcyclist</v>
      </c>
      <c r="B98" s="4">
        <f ca="1">B164*'Total Distance Tables Sup #1'!B98*(1+'Other Assumptions'!D$52)</f>
        <v>24.444631151999999</v>
      </c>
      <c r="C98" s="4">
        <f ca="1">C164*'Total Distance Tables Sup #1'!C98*(1+'Other Assumptions'!G$52)</f>
        <v>26.342411774402219</v>
      </c>
      <c r="D98" s="4">
        <f ca="1">D164*'Total Distance Tables Sup #1'!D98*(1+'Other Assumptions'!H$52)</f>
        <v>26.980826188276783</v>
      </c>
      <c r="E98" s="4">
        <f ca="1">E164*'Total Distance Tables Sup #1'!E98*(1+'Other Assumptions'!I$52)</f>
        <v>27.087416797036752</v>
      </c>
      <c r="F98" s="4">
        <f ca="1">F164*'Total Distance Tables Sup #1'!F98*(1+'Other Assumptions'!J$52)</f>
        <v>26.908140509160415</v>
      </c>
      <c r="G98" s="4">
        <f ca="1">G164*'Total Distance Tables Sup #1'!G98*(1+'Other Assumptions'!K$52)</f>
        <v>26.245569043187871</v>
      </c>
      <c r="H98" s="4">
        <f ca="1">H164*'Total Distance Tables Sup #1'!H98*(1+'Other Assumptions'!L$52)</f>
        <v>25.44828228113311</v>
      </c>
      <c r="I98" s="1">
        <f ca="1">I164*'Total Distance Tables Sup #1'!I98*(1+'Other Assumptions'!M$52)</f>
        <v>25.522707678612697</v>
      </c>
      <c r="J98" s="1">
        <f ca="1">J164*'Total Distance Tables Sup #1'!J98*(1+'Other Assumptions'!N$52)</f>
        <v>25.513963789381013</v>
      </c>
      <c r="K98" s="1">
        <f ca="1">K164*'Total Distance Tables Sup #1'!K98*(1+'Other Assumptions'!O$52)</f>
        <v>25.448368454929188</v>
      </c>
    </row>
    <row r="99" spans="1:11" x14ac:dyDescent="0.25">
      <c r="A99" t="str">
        <f ca="1">OFFSET(Wellington_Reference,42,2)</f>
        <v>Local Train</v>
      </c>
      <c r="B99" s="4">
        <f ca="1">'Total Distance Tables Sup #1'!B99*(1+'PT Assumptions'!B39)*(1+'Other Assumptions'!D$52)</f>
        <v>297.83</v>
      </c>
      <c r="C99" s="4">
        <f ca="1">'Total Distance Tables Sup #1'!C99*(1+'PT Assumptions'!C39)*(1+'Other Assumptions'!G$52)</f>
        <v>316.08354729096288</v>
      </c>
      <c r="D99" s="4">
        <f ca="1">'Total Distance Tables Sup #1'!D99*(1+'PT Assumptions'!D39)*(1+'Other Assumptions'!H$52)</f>
        <v>346.12470363823741</v>
      </c>
      <c r="E99" s="4">
        <f ca="1">'Total Distance Tables Sup #1'!E99*(1+'PT Assumptions'!E39)*(1+'Other Assumptions'!I$52)</f>
        <v>367.61022870792652</v>
      </c>
      <c r="F99" s="4">
        <f ca="1">'Total Distance Tables Sup #1'!F99*(1+'PT Assumptions'!F39)*(1+'Other Assumptions'!J$52)</f>
        <v>380.96243922567345</v>
      </c>
      <c r="G99" s="4">
        <f ca="1">'Total Distance Tables Sup #1'!G99*(1+'PT Assumptions'!G39)*(1+'Other Assumptions'!K$52)</f>
        <v>393.81649522215673</v>
      </c>
      <c r="H99" s="4">
        <f ca="1">'Total Distance Tables Sup #1'!H99*(1+'PT Assumptions'!H39)*(1+'Other Assumptions'!L$52)</f>
        <v>405.42034808499011</v>
      </c>
      <c r="I99" s="1">
        <f ca="1">'Total Distance Tables Sup #1'!I99*(1+'PT Assumptions'!I39)*(1+'Other Assumptions'!M$52)</f>
        <v>424.21066035268052</v>
      </c>
      <c r="J99" s="1">
        <f ca="1">'Total Distance Tables Sup #1'!J99*(1+'PT Assumptions'!J39)*(1+'Other Assumptions'!N$52)</f>
        <v>443.65444204941878</v>
      </c>
      <c r="K99" s="1">
        <f ca="1">'Total Distance Tables Sup #1'!K99*(1+'PT Assumptions'!K39)*(1+'Other Assumptions'!O$52)</f>
        <v>463.93578682685052</v>
      </c>
    </row>
    <row r="100" spans="1:11" x14ac:dyDescent="0.25">
      <c r="A100" t="str">
        <f ca="1">OFFSET(Wellington_Reference,49,2)</f>
        <v>Local Bus</v>
      </c>
      <c r="B100" s="4">
        <f ca="1">'Total Distance Tables Sup #1'!B100*(1+'PT Assumptions'!B51)*(1+'Other Assumptions'!D$52)</f>
        <v>164.37</v>
      </c>
      <c r="C100" s="4">
        <f ca="1">'Total Distance Tables Sup #1'!C100*(1+'PT Assumptions'!C51)*(1+'Other Assumptions'!G$52)</f>
        <v>169.71769354483644</v>
      </c>
      <c r="D100" s="4">
        <f ca="1">'Total Distance Tables Sup #1'!D100*(1+'PT Assumptions'!D51)*(1+'Other Assumptions'!H$52)</f>
        <v>186.3259178218853</v>
      </c>
      <c r="E100" s="4">
        <f ca="1">'Total Distance Tables Sup #1'!E100*(1+'PT Assumptions'!E51)*(1+'Other Assumptions'!I$52)</f>
        <v>195.69135630782839</v>
      </c>
      <c r="F100" s="4">
        <f ca="1">'Total Distance Tables Sup #1'!F100*(1+'PT Assumptions'!F51)*(1+'Other Assumptions'!J$52)</f>
        <v>196.21837546548684</v>
      </c>
      <c r="G100" s="4">
        <f ca="1">'Total Distance Tables Sup #1'!G100*(1+'PT Assumptions'!G51)*(1+'Other Assumptions'!K$52)</f>
        <v>196.67793100900184</v>
      </c>
      <c r="H100" s="4">
        <f ca="1">'Total Distance Tables Sup #1'!H100*(1+'PT Assumptions'!H51)*(1+'Other Assumptions'!L$52)</f>
        <v>197.13138384149104</v>
      </c>
      <c r="I100" s="1">
        <f ca="1">'Total Distance Tables Sup #1'!I100*(1+'PT Assumptions'!I51)*(1+'Other Assumptions'!M$52)</f>
        <v>200.01971953687092</v>
      </c>
      <c r="J100" s="1">
        <f ca="1">'Total Distance Tables Sup #1'!J100*(1+'PT Assumptions'!J51)*(1+'Other Assumptions'!N$52)</f>
        <v>202.91199526937504</v>
      </c>
      <c r="K100" s="1">
        <f ca="1">'Total Distance Tables Sup #1'!K100*(1+'PT Assumptions'!K51)*(1+'Other Assumptions'!O$52)</f>
        <v>205.82229318522556</v>
      </c>
    </row>
    <row r="101" spans="1:11" x14ac:dyDescent="0.25">
      <c r="A101" t="str">
        <f ca="1">OFFSET(Wellington_Reference,56,2)</f>
        <v>Local Ferry</v>
      </c>
      <c r="B101" s="4">
        <f ca="1">B167*'Total Distance Tables Sup #1'!B101*(1+'Other Assumptions'!D$52)</f>
        <v>0</v>
      </c>
      <c r="C101" s="4">
        <f ca="1">C167*'Total Distance Tables Sup #1'!C101*(1+'Other Assumptions'!G$52)</f>
        <v>0</v>
      </c>
      <c r="D101" s="4">
        <f ca="1">D167*'Total Distance Tables Sup #1'!D101*(1+'Other Assumptions'!H$52)</f>
        <v>0</v>
      </c>
      <c r="E101" s="4">
        <f ca="1">E167*'Total Distance Tables Sup #1'!E101*(1+'Other Assumptions'!I$52)</f>
        <v>0</v>
      </c>
      <c r="F101" s="4">
        <f ca="1">F167*'Total Distance Tables Sup #1'!F101*(1+'Other Assumptions'!J$52)</f>
        <v>0</v>
      </c>
      <c r="G101" s="4">
        <f ca="1">G167*'Total Distance Tables Sup #1'!G101*(1+'Other Assumptions'!K$52)</f>
        <v>0</v>
      </c>
      <c r="H101" s="4">
        <f ca="1">H167*'Total Distance Tables Sup #1'!H101*(1+'Other Assumptions'!L$52)</f>
        <v>0</v>
      </c>
      <c r="I101" s="1">
        <f ca="1">I167*'Total Distance Tables Sup #1'!I101*(1+'Other Assumptions'!M$52)</f>
        <v>0</v>
      </c>
      <c r="J101" s="1">
        <f ca="1">J167*'Total Distance Tables Sup #1'!J101*(1+'Other Assumptions'!N$52)</f>
        <v>0</v>
      </c>
      <c r="K101" s="1">
        <f ca="1">K167*'Total Distance Tables Sup #1'!K101*(1+'Other Assumptions'!O$52)</f>
        <v>0</v>
      </c>
    </row>
    <row r="102" spans="1:11" x14ac:dyDescent="0.25">
      <c r="A102" t="str">
        <f ca="1">OFFSET(Wellington_Reference,63,2)</f>
        <v>Other Household Travel</v>
      </c>
      <c r="B102" s="4">
        <f ca="1">B168*'Total Distance Tables Sup #1'!B102*(1+'Other Assumptions'!D$52)</f>
        <v>0</v>
      </c>
      <c r="C102" s="4">
        <f ca="1">C168*'Total Distance Tables Sup #1'!C102*(1+'Other Assumptions'!G$52)</f>
        <v>0</v>
      </c>
      <c r="D102" s="4">
        <f ca="1">D168*'Total Distance Tables Sup #1'!D102*(1+'Other Assumptions'!H$52)</f>
        <v>0</v>
      </c>
      <c r="E102" s="4">
        <f ca="1">E168*'Total Distance Tables Sup #1'!E102*(1+'Other Assumptions'!I$52)</f>
        <v>0</v>
      </c>
      <c r="F102" s="4">
        <f ca="1">F168*'Total Distance Tables Sup #1'!F102*(1+'Other Assumptions'!J$52)</f>
        <v>0</v>
      </c>
      <c r="G102" s="4">
        <f ca="1">G168*'Total Distance Tables Sup #1'!G102*(1+'Other Assumptions'!K$52)</f>
        <v>0</v>
      </c>
      <c r="H102" s="4">
        <f ca="1">H168*'Total Distance Tables Sup #1'!H102*(1+'Other Assumptions'!L$52)</f>
        <v>0</v>
      </c>
      <c r="I102" s="1">
        <f ca="1">I168*'Total Distance Tables Sup #1'!I102*(1+'Other Assumptions'!M$52)</f>
        <v>0</v>
      </c>
      <c r="J102" s="1">
        <f ca="1">J168*'Total Distance Tables Sup #1'!J102*(1+'Other Assumptions'!N$52)</f>
        <v>0</v>
      </c>
      <c r="K102" s="1">
        <f ca="1">K168*'Total Distance Tables Sup #1'!K102*(1+'Other Assumptions'!O$52)</f>
        <v>0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B159*'Total Distance Tables Sup #1'!B104*(1+'Other Assumptions'!D$53)*(1+'Active Mode Assumptions'!B9)</f>
        <v>28.582749250999999</v>
      </c>
      <c r="C104" s="4">
        <f ca="1">C159*'Total Distance Tables Sup #1'!C104*(1+'Other Assumptions'!G$53)*(1+'Active Mode Assumptions'!C9)</f>
        <v>29.471323710406168</v>
      </c>
      <c r="D104" s="4">
        <f ca="1">D159*'Total Distance Tables Sup #1'!D104*(1+'Other Assumptions'!H$53)*(1+'Active Mode Assumptions'!D9)</f>
        <v>31.53739633543001</v>
      </c>
      <c r="E104" s="4">
        <f ca="1">E159*'Total Distance Tables Sup #1'!E104*(1+'Other Assumptions'!I$53)*(1+'Active Mode Assumptions'!E9)</f>
        <v>33.17065451660072</v>
      </c>
      <c r="F104" s="4">
        <f ca="1">F159*'Total Distance Tables Sup #1'!F104*(1+'Other Assumptions'!J$53)*(1+'Active Mode Assumptions'!F9)</f>
        <v>34.411554007764401</v>
      </c>
      <c r="G104" s="4">
        <f ca="1">G159*'Total Distance Tables Sup #1'!G104*(1+'Other Assumptions'!K$53)*(1+'Active Mode Assumptions'!G9)</f>
        <v>35.480425486885458</v>
      </c>
      <c r="H104" s="4">
        <f ca="1">H159*'Total Distance Tables Sup #1'!H104*(1+'Other Assumptions'!L$53)*(1+'Active Mode Assumptions'!H9)</f>
        <v>36.295658250280397</v>
      </c>
      <c r="I104" s="1">
        <f ca="1">I159*'Total Distance Tables Sup #1'!I104*(1+'Other Assumptions'!M$53)*(1+'Active Mode Assumptions'!I9)</f>
        <v>36.197350724121556</v>
      </c>
      <c r="J104" s="1">
        <f ca="1">J159*'Total Distance Tables Sup #1'!J104*(1+'Other Assumptions'!N$53)*(1+'Active Mode Assumptions'!J9)</f>
        <v>35.986605982606548</v>
      </c>
      <c r="K104" s="1">
        <f ca="1">K159*'Total Distance Tables Sup #1'!K104*(1+'Other Assumptions'!O$53)*(1+'Active Mode Assumptions'!K9)</f>
        <v>35.702391678119668</v>
      </c>
    </row>
    <row r="105" spans="1:11" x14ac:dyDescent="0.25">
      <c r="A105" t="str">
        <f ca="1">OFFSET(Nelson_Reference,7,2)</f>
        <v>Cyclist</v>
      </c>
      <c r="B105" s="4">
        <f ca="1">B160*'Total Distance Tables Sup #1'!B105*(1+'Other Assumptions'!D$53)*(1+'Active Mode Assumptions'!B18)</f>
        <v>10.809874027999999</v>
      </c>
      <c r="C105" s="4">
        <f ca="1">C160*'Total Distance Tables Sup #1'!C105*(1+'Other Assumptions'!G$53)*(1+'Active Mode Assumptions'!C18)</f>
        <v>11.536333106490373</v>
      </c>
      <c r="D105" s="4">
        <f ca="1">D160*'Total Distance Tables Sup #1'!D105*(1+'Other Assumptions'!H$53)*(1+'Active Mode Assumptions'!D18)</f>
        <v>16.544255480557286</v>
      </c>
      <c r="E105" s="4">
        <f ca="1">E160*'Total Distance Tables Sup #1'!E105*(1+'Other Assumptions'!I$53)*(1+'Active Mode Assumptions'!E18)</f>
        <v>21.354687724506618</v>
      </c>
      <c r="F105" s="4">
        <f ca="1">F160*'Total Distance Tables Sup #1'!F105*(1+'Other Assumptions'!J$53)*(1+'Active Mode Assumptions'!F18)</f>
        <v>26.477855365845297</v>
      </c>
      <c r="G105" s="4">
        <f ca="1">G160*'Total Distance Tables Sup #1'!G105*(1+'Other Assumptions'!K$53)*(1+'Active Mode Assumptions'!G18)</f>
        <v>32.136688018022276</v>
      </c>
      <c r="H105" s="4">
        <f ca="1">H160*'Total Distance Tables Sup #1'!H105*(1+'Other Assumptions'!L$53)*(1+'Active Mode Assumptions'!H18)</f>
        <v>37.973395371467724</v>
      </c>
      <c r="I105" s="1">
        <f ca="1">I160*'Total Distance Tables Sup #1'!I105*(1+'Other Assumptions'!M$53)*(1+'Active Mode Assumptions'!I18)</f>
        <v>38.048467432953323</v>
      </c>
      <c r="J105" s="1">
        <f ca="1">J160*'Total Distance Tables Sup #1'!J105*(1+'Other Assumptions'!N$53)*(1+'Active Mode Assumptions'!J18)</f>
        <v>38.006394494021883</v>
      </c>
      <c r="K105" s="1">
        <f ca="1">K160*'Total Distance Tables Sup #1'!K105*(1+'Other Assumptions'!O$53)*(1+'Active Mode Assumptions'!K18)</f>
        <v>37.886785078952556</v>
      </c>
    </row>
    <row r="106" spans="1:11" x14ac:dyDescent="0.25">
      <c r="A106" t="str">
        <f ca="1">OFFSET(Nelson_Reference,14,2)</f>
        <v>Light Vehicle Driver</v>
      </c>
      <c r="B106" s="4">
        <f ca="1">B161*'Total Distance Tables Sup #1'!B106*(1+'Other Assumptions'!D$53)-(B104*'Active Mode Assumptions'!B9*'Active Mode Assumptions'!B14/(1+'Active Mode Assumptions'!B9))-(B105*'Active Mode Assumptions'!B18*'Active Mode Assumptions'!B23/(1+'Active Mode Assumptions'!B18))</f>
        <v>1012.1329009999999</v>
      </c>
      <c r="C106" s="4">
        <f ca="1">C161*'Total Distance Tables Sup #1'!C106*(1+'Other Assumptions'!G$53)-(C104*'Active Mode Assumptions'!C9*'Active Mode Assumptions'!C14/(1+'Active Mode Assumptions'!C9))-(C105*'Active Mode Assumptions'!C18*'Active Mode Assumptions'!C23/(1+'Active Mode Assumptions'!C18))</f>
        <v>1080.1714542209641</v>
      </c>
      <c r="D106" s="4">
        <f ca="1">D161*'Total Distance Tables Sup #1'!D106*(1+'Other Assumptions'!H$53)-(D104*'Active Mode Assumptions'!D9*'Active Mode Assumptions'!D14/(1+'Active Mode Assumptions'!D9))-(D105*'Active Mode Assumptions'!D18*'Active Mode Assumptions'!D23/(1+'Active Mode Assumptions'!D18))</f>
        <v>1113.4610999997224</v>
      </c>
      <c r="E106" s="4">
        <f ca="1">E161*'Total Distance Tables Sup #1'!E106*(1+'Other Assumptions'!I$53)-(E104*'Active Mode Assumptions'!E9*'Active Mode Assumptions'!E14/(1+'Active Mode Assumptions'!E9))-(E105*'Active Mode Assumptions'!E18*'Active Mode Assumptions'!E23/(1+'Active Mode Assumptions'!E18))</f>
        <v>1143.5609521155848</v>
      </c>
      <c r="F106" s="4">
        <f ca="1">F161*'Total Distance Tables Sup #1'!F106*(1+'Other Assumptions'!J$53)-(F104*'Active Mode Assumptions'!F9*'Active Mode Assumptions'!F14/(1+'Active Mode Assumptions'!F9))-(F105*'Active Mode Assumptions'!F18*'Active Mode Assumptions'!F23/(1+'Active Mode Assumptions'!F18))</f>
        <v>1166.1879917217093</v>
      </c>
      <c r="G106" s="4">
        <f ca="1">G161*'Total Distance Tables Sup #1'!G106*(1+'Other Assumptions'!K$53)-(G104*'Active Mode Assumptions'!G9*'Active Mode Assumptions'!G14/(1+'Active Mode Assumptions'!G9))-(G105*'Active Mode Assumptions'!G18*'Active Mode Assumptions'!G23/(1+'Active Mode Assumptions'!G18))</f>
        <v>1174.3675641011955</v>
      </c>
      <c r="H106" s="4">
        <f ca="1">H161*'Total Distance Tables Sup #1'!H106*(1+'Other Assumptions'!L$53)-(H104*'Active Mode Assumptions'!H9*'Active Mode Assumptions'!H14/(1+'Active Mode Assumptions'!H9))-(H105*'Active Mode Assumptions'!H18*'Active Mode Assumptions'!H23/(1+'Active Mode Assumptions'!H18))</f>
        <v>1174.4529125516469</v>
      </c>
      <c r="I106" s="1">
        <f ca="1">I161*'Total Distance Tables Sup #1'!I106*(1+'Other Assumptions'!M$53)-(I104*'Active Mode Assumptions'!I9*'Active Mode Assumptions'!I14/(1+'Active Mode Assumptions'!I9))-(I105*'Active Mode Assumptions'!I18*'Active Mode Assumptions'!I23/(1+'Active Mode Assumptions'!I18))</f>
        <v>1173.5318199398134</v>
      </c>
      <c r="J106" s="1">
        <f ca="1">J161*'Total Distance Tables Sup #1'!J106*(1+'Other Assumptions'!N$53)-(J104*'Active Mode Assumptions'!J9*'Active Mode Assumptions'!J14/(1+'Active Mode Assumptions'!J9))-(J105*'Active Mode Assumptions'!J18*'Active Mode Assumptions'!J23/(1+'Active Mode Assumptions'!J18))</f>
        <v>1168.9428410174489</v>
      </c>
      <c r="K106" s="1">
        <f ca="1">K161*'Total Distance Tables Sup #1'!K106*(1+'Other Assumptions'!O$53)-(K104*'Active Mode Assumptions'!K9*'Active Mode Assumptions'!K14/(1+'Active Mode Assumptions'!K9))-(K105*'Active Mode Assumptions'!K18*'Active Mode Assumptions'!K23/(1+'Active Mode Assumptions'!K18))</f>
        <v>1161.9326994093287</v>
      </c>
    </row>
    <row r="107" spans="1:11" x14ac:dyDescent="0.25">
      <c r="A107" t="str">
        <f ca="1">OFFSET(Nelson_Reference,21,2)</f>
        <v>Light Vehicle Passenger</v>
      </c>
      <c r="B107" s="4">
        <f ca="1">B162*'Total Distance Tables Sup #1'!B107*(1+'Other Assumptions'!D$53)-(B104*'Active Mode Assumptions'!B9*'Active Mode Assumptions'!B15/(1+'Active Mode Assumptions'!B9))-(B105*'Active Mode Assumptions'!B18*'Active Mode Assumptions'!B24/(1+'Active Mode Assumptions'!B18))</f>
        <v>528.66856442999995</v>
      </c>
      <c r="C107" s="4">
        <f ca="1">C162*'Total Distance Tables Sup #1'!C107*(1+'Other Assumptions'!G$53)-(C104*'Active Mode Assumptions'!C9*'Active Mode Assumptions'!C15/(1+'Active Mode Assumptions'!C9))-(C105*'Active Mode Assumptions'!C18*'Active Mode Assumptions'!C24/(1+'Active Mode Assumptions'!C18))</f>
        <v>542.79681647234668</v>
      </c>
      <c r="D107" s="4">
        <f ca="1">D162*'Total Distance Tables Sup #1'!D107*(1+'Other Assumptions'!H$53)-(D104*'Active Mode Assumptions'!D9*'Active Mode Assumptions'!D15/(1+'Active Mode Assumptions'!D9))-(D105*'Active Mode Assumptions'!D18*'Active Mode Assumptions'!D24/(1+'Active Mode Assumptions'!D18))</f>
        <v>546.81193308196373</v>
      </c>
      <c r="E107" s="4">
        <f ca="1">E162*'Total Distance Tables Sup #1'!E107*(1+'Other Assumptions'!I$53)-(E104*'Active Mode Assumptions'!E9*'Active Mode Assumptions'!E15/(1+'Active Mode Assumptions'!E9))-(E105*'Active Mode Assumptions'!E18*'Active Mode Assumptions'!E24/(1+'Active Mode Assumptions'!E18))</f>
        <v>549.32378596661499</v>
      </c>
      <c r="F107" s="4">
        <f ca="1">F162*'Total Distance Tables Sup #1'!F107*(1+'Other Assumptions'!J$53)-(F104*'Active Mode Assumptions'!F9*'Active Mode Assumptions'!F15/(1+'Active Mode Assumptions'!F9))-(F105*'Active Mode Assumptions'!F18*'Active Mode Assumptions'!F24/(1+'Active Mode Assumptions'!F18))</f>
        <v>547.05397777953715</v>
      </c>
      <c r="G107" s="4">
        <f ca="1">G162*'Total Distance Tables Sup #1'!G107*(1+'Other Assumptions'!K$53)-(G104*'Active Mode Assumptions'!G9*'Active Mode Assumptions'!G15/(1+'Active Mode Assumptions'!G9))-(G105*'Active Mode Assumptions'!G18*'Active Mode Assumptions'!G24/(1+'Active Mode Assumptions'!G18))</f>
        <v>540.29681375693519</v>
      </c>
      <c r="H107" s="4">
        <f ca="1">H162*'Total Distance Tables Sup #1'!H107*(1+'Other Assumptions'!L$53)-(H104*'Active Mode Assumptions'!H9*'Active Mode Assumptions'!H15/(1+'Active Mode Assumptions'!H9))-(H105*'Active Mode Assumptions'!H18*'Active Mode Assumptions'!H24/(1+'Active Mode Assumptions'!H18))</f>
        <v>529.81763863354274</v>
      </c>
      <c r="I107" s="1">
        <f ca="1">I162*'Total Distance Tables Sup #1'!I107*(1+'Other Assumptions'!M$53)-(I104*'Active Mode Assumptions'!I9*'Active Mode Assumptions'!I15/(1+'Active Mode Assumptions'!I9))-(I105*'Active Mode Assumptions'!I18*'Active Mode Assumptions'!I24/(1+'Active Mode Assumptions'!I18))</f>
        <v>529.98760150019586</v>
      </c>
      <c r="J107" s="1">
        <f ca="1">J162*'Total Distance Tables Sup #1'!J107*(1+'Other Assumptions'!N$53)-(J104*'Active Mode Assumptions'!J9*'Active Mode Assumptions'!J15/(1+'Active Mode Assumptions'!J9))-(J105*'Active Mode Assumptions'!J18*'Active Mode Assumptions'!J24/(1+'Active Mode Assumptions'!J18))</f>
        <v>528.50071793650557</v>
      </c>
      <c r="K107" s="1">
        <f ca="1">K162*'Total Distance Tables Sup #1'!K107*(1+'Other Assumptions'!O$53)-(K104*'Active Mode Assumptions'!K9*'Active Mode Assumptions'!K15/(1+'Active Mode Assumptions'!K9))-(K105*'Active Mode Assumptions'!K18*'Active Mode Assumptions'!K24/(1+'Active Mode Assumptions'!K18))</f>
        <v>525.91543230828358</v>
      </c>
    </row>
    <row r="108" spans="1:11" x14ac:dyDescent="0.25">
      <c r="A108" t="str">
        <f ca="1">OFFSET(Nelson_Reference,28,2)</f>
        <v>Taxi/Vehicle Share</v>
      </c>
      <c r="B108" s="4">
        <f ca="1">B163*'Total Distance Tables Sup #1'!B108*(1+'Other Assumptions'!D$53)</f>
        <v>2.5483198348</v>
      </c>
      <c r="C108" s="4">
        <f ca="1">C163*'Total Distance Tables Sup #1'!C108*(1+'Other Assumptions'!G$53)</f>
        <v>2.8344338044395498</v>
      </c>
      <c r="D108" s="4">
        <f ca="1">D163*'Total Distance Tables Sup #1'!D108*(1+'Other Assumptions'!H$53)</f>
        <v>3.0757131512907283</v>
      </c>
      <c r="E108" s="4">
        <f ca="1">E163*'Total Distance Tables Sup #1'!E108*(1+'Other Assumptions'!I$53)</f>
        <v>3.2932443086210186</v>
      </c>
      <c r="F108" s="4">
        <f ca="1">F163*'Total Distance Tables Sup #1'!F108*(1+'Other Assumptions'!J$53)</f>
        <v>3.4653048735012164</v>
      </c>
      <c r="G108" s="4">
        <f ca="1">G163*'Total Distance Tables Sup #1'!G108*(1+'Other Assumptions'!K$53)</f>
        <v>3.5729583561991669</v>
      </c>
      <c r="H108" s="4">
        <f ca="1">H163*'Total Distance Tables Sup #1'!H108*(1+'Other Assumptions'!L$53)</f>
        <v>3.6570759503224513</v>
      </c>
      <c r="I108" s="1">
        <f ca="1">I163*'Total Distance Tables Sup #1'!I108*(1+'Other Assumptions'!M$53)</f>
        <v>3.6439974799865809</v>
      </c>
      <c r="J108" s="1">
        <f ca="1">J163*'Total Distance Tables Sup #1'!J108*(1+'Other Assumptions'!N$53)</f>
        <v>3.6195568518619448</v>
      </c>
      <c r="K108" s="1">
        <f ca="1">K163*'Total Distance Tables Sup #1'!K108*(1+'Other Assumptions'!O$53)</f>
        <v>3.5877061903192184</v>
      </c>
    </row>
    <row r="109" spans="1:11" x14ac:dyDescent="0.25">
      <c r="A109" t="str">
        <f ca="1">OFFSET(Nelson_Reference,35,2)</f>
        <v>Motorcyclist</v>
      </c>
      <c r="B109" s="4">
        <f ca="1">B164*'Total Distance Tables Sup #1'!B109*(1+'Other Assumptions'!D$53)</f>
        <v>34.127286998000002</v>
      </c>
      <c r="C109" s="4">
        <f ca="1">C164*'Total Distance Tables Sup #1'!C109*(1+'Other Assumptions'!G$53)</f>
        <v>36.428169556358469</v>
      </c>
      <c r="D109" s="4">
        <f ca="1">D164*'Total Distance Tables Sup #1'!D109*(1+'Other Assumptions'!H$53)</f>
        <v>37.563986798648457</v>
      </c>
      <c r="E109" s="4">
        <f ca="1">E164*'Total Distance Tables Sup #1'!E109*(1+'Other Assumptions'!I$53)</f>
        <v>37.963784309730862</v>
      </c>
      <c r="F109" s="4">
        <f ca="1">F164*'Total Distance Tables Sup #1'!F109*(1+'Other Assumptions'!J$53)</f>
        <v>37.906468969767076</v>
      </c>
      <c r="G109" s="4">
        <f ca="1">G164*'Total Distance Tables Sup #1'!G109*(1+'Other Assumptions'!K$53)</f>
        <v>37.116862867509994</v>
      </c>
      <c r="H109" s="4">
        <f ca="1">H164*'Total Distance Tables Sup #1'!H109*(1+'Other Assumptions'!L$53)</f>
        <v>36.072525260454434</v>
      </c>
      <c r="I109" s="1">
        <f ca="1">I164*'Total Distance Tables Sup #1'!I109*(1+'Other Assumptions'!M$53)</f>
        <v>36.267383642319032</v>
      </c>
      <c r="J109" s="1">
        <f ca="1">J164*'Total Distance Tables Sup #1'!J109*(1+'Other Assumptions'!N$53)</f>
        <v>36.350340125418377</v>
      </c>
      <c r="K109" s="1">
        <f ca="1">K164*'Total Distance Tables Sup #1'!K109*(1+'Other Assumptions'!O$53)</f>
        <v>36.358193282304612</v>
      </c>
    </row>
    <row r="110" spans="1:11" x14ac:dyDescent="0.25">
      <c r="A110" t="str">
        <f ca="1">OFFSET(Nelson_Reference,42,2)</f>
        <v>Local Train</v>
      </c>
      <c r="B110" s="4">
        <f ca="1">B165*'Total Distance Tables Sup #1'!B110*(1+'Other Assumptions'!D$53)</f>
        <v>0</v>
      </c>
      <c r="C110" s="4">
        <f ca="1">C165*'Total Distance Tables Sup #1'!C110*(1+'Other Assumptions'!G$53)</f>
        <v>0</v>
      </c>
      <c r="D110" s="4">
        <f ca="1">D165*'Total Distance Tables Sup #1'!D110*(1+'Other Assumptions'!H$53)</f>
        <v>0</v>
      </c>
      <c r="E110" s="4">
        <f ca="1">E165*'Total Distance Tables Sup #1'!E110*(1+'Other Assumptions'!I$53)</f>
        <v>0</v>
      </c>
      <c r="F110" s="4">
        <f ca="1">F165*'Total Distance Tables Sup #1'!F110*(1+'Other Assumptions'!J$53)</f>
        <v>0</v>
      </c>
      <c r="G110" s="4">
        <f ca="1">G165*'Total Distance Tables Sup #1'!G110*(1+'Other Assumptions'!K$53)</f>
        <v>0</v>
      </c>
      <c r="H110" s="4">
        <f ca="1">H165*'Total Distance Tables Sup #1'!H110*(1+'Other Assumptions'!L$53)</f>
        <v>0</v>
      </c>
      <c r="I110" s="1">
        <f ca="1">I165*'Total Distance Tables Sup #1'!I110*(1+'Other Assumptions'!M$53)</f>
        <v>0</v>
      </c>
      <c r="J110" s="1">
        <f ca="1">J165*'Total Distance Tables Sup #1'!J110*(1+'Other Assumptions'!N$53)</f>
        <v>0</v>
      </c>
      <c r="K110" s="1">
        <f ca="1">K165*'Total Distance Tables Sup #1'!K110*(1+'Other Assumptions'!O$53)</f>
        <v>0</v>
      </c>
    </row>
    <row r="111" spans="1:11" x14ac:dyDescent="0.25">
      <c r="A111" t="str">
        <f ca="1">OFFSET(Nelson_Reference,49,2)</f>
        <v>Local Bus</v>
      </c>
      <c r="B111" s="4">
        <f ca="1">B166*'Total Distance Tables Sup #1'!B111*(1+'Other Assumptions'!D$53)</f>
        <v>19.807462209000001</v>
      </c>
      <c r="C111" s="4">
        <f ca="1">C166*'Total Distance Tables Sup #1'!C111*(1+'Other Assumptions'!G$53)</f>
        <v>18.837989055502657</v>
      </c>
      <c r="D111" s="4">
        <f ca="1">D166*'Total Distance Tables Sup #1'!D111*(1+'Other Assumptions'!H$53)</f>
        <v>18.14959618946602</v>
      </c>
      <c r="E111" s="4">
        <f ca="1">E166*'Total Distance Tables Sup #1'!E111*(1+'Other Assumptions'!I$53)</f>
        <v>17.657317616484399</v>
      </c>
      <c r="F111" s="4">
        <f ca="1">F166*'Total Distance Tables Sup #1'!F111*(1+'Other Assumptions'!J$53)</f>
        <v>16.875692425078302</v>
      </c>
      <c r="G111" s="4">
        <f ca="1">G166*'Total Distance Tables Sup #1'!G111*(1+'Other Assumptions'!K$53)</f>
        <v>16.293465078283514</v>
      </c>
      <c r="H111" s="4">
        <f ca="1">H166*'Total Distance Tables Sup #1'!H111*(1+'Other Assumptions'!L$53)</f>
        <v>15.642486406338538</v>
      </c>
      <c r="I111" s="1">
        <f ca="1">I166*'Total Distance Tables Sup #1'!I111*(1+'Other Assumptions'!M$53)</f>
        <v>15.649272157696236</v>
      </c>
      <c r="J111" s="1">
        <f ca="1">J166*'Total Distance Tables Sup #1'!J111*(1+'Other Assumptions'!N$53)</f>
        <v>15.606939934276902</v>
      </c>
      <c r="K111" s="1">
        <f ca="1">K166*'Total Distance Tables Sup #1'!K111*(1+'Other Assumptions'!O$53)</f>
        <v>15.531979779098545</v>
      </c>
    </row>
    <row r="112" spans="1:11" x14ac:dyDescent="0.25">
      <c r="A112" t="str">
        <f ca="1">OFFSET(Wellington_Reference,56,2)</f>
        <v>Local Ferry</v>
      </c>
      <c r="B112" s="4">
        <f>B167*'Total Distance Tables Sup #1'!B112*(1+'Other Assumptions'!D$53)</f>
        <v>0</v>
      </c>
      <c r="C112" s="4">
        <f ca="1">C167*'Total Distance Tables Sup #1'!C112*(1+'Other Assumptions'!G$53)</f>
        <v>0</v>
      </c>
      <c r="D112" s="4">
        <f ca="1">D167*'Total Distance Tables Sup #1'!D112*(1+'Other Assumptions'!H$53)</f>
        <v>0</v>
      </c>
      <c r="E112" s="4">
        <f ca="1">E167*'Total Distance Tables Sup #1'!E112*(1+'Other Assumptions'!I$53)</f>
        <v>0</v>
      </c>
      <c r="F112" s="4">
        <f ca="1">F167*'Total Distance Tables Sup #1'!F112*(1+'Other Assumptions'!J$53)</f>
        <v>0</v>
      </c>
      <c r="G112" s="4">
        <f ca="1">G167*'Total Distance Tables Sup #1'!G112*(1+'Other Assumptions'!K$53)</f>
        <v>0</v>
      </c>
      <c r="H112" s="4">
        <f ca="1">H167*'Total Distance Tables Sup #1'!H112*(1+'Other Assumptions'!L$53)</f>
        <v>0</v>
      </c>
      <c r="I112" s="1">
        <f ca="1">I167*'Total Distance Tables Sup #1'!I112*(1+'Other Assumptions'!M$53)</f>
        <v>0</v>
      </c>
      <c r="J112" s="1">
        <f ca="1">J167*'Total Distance Tables Sup #1'!J112*(1+'Other Assumptions'!N$53)</f>
        <v>0</v>
      </c>
      <c r="K112" s="1">
        <f ca="1">K167*'Total Distance Tables Sup #1'!K112*(1+'Other Assumptions'!O$53)</f>
        <v>0</v>
      </c>
    </row>
    <row r="113" spans="1:11" x14ac:dyDescent="0.25">
      <c r="A113" t="str">
        <f ca="1">OFFSET(Nelson_Reference,56,2)</f>
        <v>Other Household Travel</v>
      </c>
      <c r="B113" s="4">
        <f ca="1">B168*'Total Distance Tables Sup #1'!B113*(1+'Other Assumptions'!D$53)</f>
        <v>0</v>
      </c>
      <c r="C113" s="4">
        <f ca="1">C168*'Total Distance Tables Sup #1'!C113*(1+'Other Assumptions'!G$53)</f>
        <v>0</v>
      </c>
      <c r="D113" s="4">
        <f ca="1">D168*'Total Distance Tables Sup #1'!D113*(1+'Other Assumptions'!H$53)</f>
        <v>0</v>
      </c>
      <c r="E113" s="4">
        <f ca="1">E168*'Total Distance Tables Sup #1'!E113*(1+'Other Assumptions'!I$53)</f>
        <v>0</v>
      </c>
      <c r="F113" s="4">
        <f ca="1">F168*'Total Distance Tables Sup #1'!F113*(1+'Other Assumptions'!J$53)</f>
        <v>0</v>
      </c>
      <c r="G113" s="4">
        <f ca="1">G168*'Total Distance Tables Sup #1'!G113*(1+'Other Assumptions'!K$53)</f>
        <v>0</v>
      </c>
      <c r="H113" s="4">
        <f ca="1">H168*'Total Distance Tables Sup #1'!H113*(1+'Other Assumptions'!L$53)</f>
        <v>0</v>
      </c>
      <c r="I113" s="1">
        <f ca="1">I168*'Total Distance Tables Sup #1'!I113*(1+'Other Assumptions'!M$53)</f>
        <v>0</v>
      </c>
      <c r="J113" s="1">
        <f ca="1">J168*'Total Distance Tables Sup #1'!J113*(1+'Other Assumptions'!N$53)</f>
        <v>0</v>
      </c>
      <c r="K113" s="1">
        <f ca="1">K168*'Total Distance Tables Sup #1'!K113*(1+'Other Assumptions'!O$53)</f>
        <v>0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B159*'Total Distance Tables Sup #1'!B115*(1+'Other Assumptions'!D$54)*(1+'Active Mode Assumptions'!B9)</f>
        <v>4.6474841125999999</v>
      </c>
      <c r="C115" s="4">
        <f ca="1">C159*'Total Distance Tables Sup #1'!C115*(1+'Other Assumptions'!G$54)*(1+'Active Mode Assumptions'!C9)</f>
        <v>4.5009576972720993</v>
      </c>
      <c r="D115" s="4">
        <f ca="1">D159*'Total Distance Tables Sup #1'!D115*(1+'Other Assumptions'!H$54)*(1+'Active Mode Assumptions'!D9)</f>
        <v>4.6753868631071436</v>
      </c>
      <c r="E115" s="4">
        <f ca="1">E159*'Total Distance Tables Sup #1'!E115*(1+'Other Assumptions'!I$54)*(1+'Active Mode Assumptions'!E9)</f>
        <v>4.781415465014403</v>
      </c>
      <c r="F115" s="4">
        <f ca="1">F159*'Total Distance Tables Sup #1'!F115*(1+'Other Assumptions'!J$54)*(1+'Active Mode Assumptions'!F9)</f>
        <v>4.8250989336574683</v>
      </c>
      <c r="G115" s="4">
        <f ca="1">G159*'Total Distance Tables Sup #1'!G115*(1+'Other Assumptions'!K$54)*(1+'Active Mode Assumptions'!G9)</f>
        <v>4.8419115432007231</v>
      </c>
      <c r="H115" s="4">
        <f ca="1">H159*'Total Distance Tables Sup #1'!H115*(1+'Other Assumptions'!L$54)*(1+'Active Mode Assumptions'!H9)</f>
        <v>4.8333672882371754</v>
      </c>
      <c r="I115" s="1">
        <f ca="1">I159*'Total Distance Tables Sup #1'!I115*(1+'Other Assumptions'!M$54)*(1+'Active Mode Assumptions'!I9)</f>
        <v>4.7034715048984648</v>
      </c>
      <c r="J115" s="1">
        <f ca="1">J159*'Total Distance Tables Sup #1'!J115*(1+'Other Assumptions'!N$54)*(1+'Active Mode Assumptions'!J9)</f>
        <v>4.5625614528838803</v>
      </c>
      <c r="K115" s="1">
        <f ca="1">K159*'Total Distance Tables Sup #1'!K115*(1+'Other Assumptions'!O$54)*(1+'Active Mode Assumptions'!K9)</f>
        <v>4.416423674628227</v>
      </c>
    </row>
    <row r="116" spans="1:11" x14ac:dyDescent="0.25">
      <c r="A116" t="str">
        <f ca="1">OFFSET(West_Coast_Reference,7,2)</f>
        <v>Cyclist</v>
      </c>
      <c r="B116" s="4">
        <f ca="1">B160*'Total Distance Tables Sup #1'!B116*(1+'Other Assumptions'!D$54)*(1+'Active Mode Assumptions'!B18)</f>
        <v>1.9571055828999999</v>
      </c>
      <c r="C116" s="4">
        <f ca="1">C160*'Total Distance Tables Sup #1'!C116*(1+'Other Assumptions'!G$54)*(1+'Active Mode Assumptions'!C18)</f>
        <v>1.9617912109578266</v>
      </c>
      <c r="D116" s="4">
        <f ca="1">D160*'Total Distance Tables Sup #1'!D116*(1+'Other Assumptions'!H$54)*(1+'Active Mode Assumptions'!D18)</f>
        <v>2.7309808360797492</v>
      </c>
      <c r="E116" s="4">
        <f ca="1">E160*'Total Distance Tables Sup #1'!E116*(1+'Other Assumptions'!I$54)*(1+'Active Mode Assumptions'!E18)</f>
        <v>3.427483512111039</v>
      </c>
      <c r="F116" s="4">
        <f ca="1">F160*'Total Distance Tables Sup #1'!F116*(1+'Other Assumptions'!J$54)*(1+'Active Mode Assumptions'!F18)</f>
        <v>4.1339426833779891</v>
      </c>
      <c r="G116" s="4">
        <f ca="1">G160*'Total Distance Tables Sup #1'!G116*(1+'Other Assumptions'!K$54)*(1+'Active Mode Assumptions'!G18)</f>
        <v>4.8832488542298824</v>
      </c>
      <c r="H116" s="4">
        <f ca="1">H160*'Total Distance Tables Sup #1'!H116*(1+'Other Assumptions'!L$54)*(1+'Active Mode Assumptions'!H18)</f>
        <v>5.6305946185850528</v>
      </c>
      <c r="I116" s="1">
        <f ca="1">I160*'Total Distance Tables Sup #1'!I116*(1+'Other Assumptions'!M$54)*(1+'Active Mode Assumptions'!I18)</f>
        <v>5.5050162879281324</v>
      </c>
      <c r="J116" s="1">
        <f ca="1">J160*'Total Distance Tables Sup #1'!J116*(1+'Other Assumptions'!N$54)*(1+'Active Mode Assumptions'!J18)</f>
        <v>5.3654261113528499</v>
      </c>
      <c r="K116" s="1">
        <f ca="1">K160*'Total Distance Tables Sup #1'!K116*(1+'Other Assumptions'!O$54)*(1+'Active Mode Assumptions'!K18)</f>
        <v>5.2184422521530713</v>
      </c>
    </row>
    <row r="117" spans="1:11" x14ac:dyDescent="0.25">
      <c r="A117" t="str">
        <f ca="1">OFFSET(West_Coast_Reference,14,2)</f>
        <v>Light Vehicle Driver</v>
      </c>
      <c r="B117" s="4">
        <f ca="1">B161*'Total Distance Tables Sup #1'!B117*(1+'Other Assumptions'!D$54)-(B115*'Active Mode Assumptions'!B9*'Active Mode Assumptions'!B14/(1+'Active Mode Assumptions'!B9))-(B116*'Active Mode Assumptions'!B18*'Active Mode Assumptions'!B23/(1+'Active Mode Assumptions'!B18))</f>
        <v>226.22434741999999</v>
      </c>
      <c r="C117" s="4">
        <f ca="1">C161*'Total Distance Tables Sup #1'!C117*(1+'Other Assumptions'!G$54)-(C115*'Active Mode Assumptions'!C9*'Active Mode Assumptions'!C14/(1+'Active Mode Assumptions'!C9))-(C116*'Active Mode Assumptions'!C18*'Active Mode Assumptions'!C23/(1+'Active Mode Assumptions'!C18))</f>
        <v>226.77014177232178</v>
      </c>
      <c r="D117" s="4">
        <f ca="1">D161*'Total Distance Tables Sup #1'!D117*(1+'Other Assumptions'!H$54)-(D115*'Active Mode Assumptions'!D9*'Active Mode Assumptions'!D14/(1+'Active Mode Assumptions'!D9))-(D116*'Active Mode Assumptions'!D18*'Active Mode Assumptions'!D23/(1+'Active Mode Assumptions'!D18))</f>
        <v>226.98107095314128</v>
      </c>
      <c r="E117" s="4">
        <f ca="1">E161*'Total Distance Tables Sup #1'!E117*(1+'Other Assumptions'!I$54)-(E115*'Active Mode Assumptions'!E9*'Active Mode Assumptions'!E14/(1+'Active Mode Assumptions'!E9))-(E116*'Active Mode Assumptions'!E18*'Active Mode Assumptions'!E23/(1+'Active Mode Assumptions'!E18))</f>
        <v>226.73195132028789</v>
      </c>
      <c r="F117" s="4">
        <f ca="1">F161*'Total Distance Tables Sup #1'!F117*(1+'Other Assumptions'!J$54)-(F115*'Active Mode Assumptions'!F9*'Active Mode Assumptions'!F14/(1+'Active Mode Assumptions'!F9))-(F116*'Active Mode Assumptions'!F18*'Active Mode Assumptions'!F23/(1+'Active Mode Assumptions'!F18))</f>
        <v>224.9815295950165</v>
      </c>
      <c r="G117" s="4">
        <f ca="1">G161*'Total Distance Tables Sup #1'!G117*(1+'Other Assumptions'!K$54)-(G115*'Active Mode Assumptions'!G9*'Active Mode Assumptions'!G14/(1+'Active Mode Assumptions'!G9))-(G116*'Active Mode Assumptions'!G18*'Active Mode Assumptions'!G23/(1+'Active Mode Assumptions'!G18))</f>
        <v>220.56675556068976</v>
      </c>
      <c r="H117" s="4">
        <f ca="1">H161*'Total Distance Tables Sup #1'!H117*(1+'Other Assumptions'!L$54)-(H115*'Active Mode Assumptions'!H9*'Active Mode Assumptions'!H14/(1+'Active Mode Assumptions'!H9))-(H116*'Active Mode Assumptions'!H18*'Active Mode Assumptions'!H23/(1+'Active Mode Assumptions'!H18))</f>
        <v>215.31475194095154</v>
      </c>
      <c r="I117" s="1">
        <f ca="1">I161*'Total Distance Tables Sup #1'!I117*(1+'Other Assumptions'!M$54)-(I115*'Active Mode Assumptions'!I9*'Active Mode Assumptions'!I14/(1+'Active Mode Assumptions'!I9))-(I116*'Active Mode Assumptions'!I18*'Active Mode Assumptions'!I23/(1+'Active Mode Assumptions'!I18))</f>
        <v>209.93288668039821</v>
      </c>
      <c r="J117" s="1">
        <f ca="1">J161*'Total Distance Tables Sup #1'!J117*(1+'Other Assumptions'!N$54)-(J115*'Active Mode Assumptions'!J9*'Active Mode Assumptions'!J14/(1+'Active Mode Assumptions'!J9))-(J116*'Active Mode Assumptions'!J18*'Active Mode Assumptions'!J23/(1+'Active Mode Assumptions'!J18))</f>
        <v>204.03554849080362</v>
      </c>
      <c r="K117" s="1">
        <f ca="1">K161*'Total Distance Tables Sup #1'!K117*(1+'Other Assumptions'!O$54)-(K115*'Active Mode Assumptions'!K9*'Active Mode Assumptions'!K14/(1+'Active Mode Assumptions'!K9))-(K116*'Active Mode Assumptions'!K18*'Active Mode Assumptions'!K23/(1+'Active Mode Assumptions'!K18))</f>
        <v>197.87913248940472</v>
      </c>
    </row>
    <row r="118" spans="1:11" x14ac:dyDescent="0.25">
      <c r="A118" t="str">
        <f ca="1">OFFSET(West_Coast_Reference,21,2)</f>
        <v>Light Vehicle Passenger</v>
      </c>
      <c r="B118" s="4">
        <f ca="1">B162*'Total Distance Tables Sup #1'!B118*(1+'Other Assumptions'!D$54)-(B115*'Active Mode Assumptions'!B9*'Active Mode Assumptions'!B15/(1+'Active Mode Assumptions'!B9))-(B116*'Active Mode Assumptions'!B18*'Active Mode Assumptions'!B24/(1+'Active Mode Assumptions'!B18))</f>
        <v>160.37072223999999</v>
      </c>
      <c r="C118" s="4">
        <f ca="1">C162*'Total Distance Tables Sup #1'!C118*(1+'Other Assumptions'!G$54)-(C115*'Active Mode Assumptions'!C9*'Active Mode Assumptions'!C15/(1+'Active Mode Assumptions'!C9))-(C116*'Active Mode Assumptions'!C18*'Active Mode Assumptions'!C24/(1+'Active Mode Assumptions'!C18))</f>
        <v>154.65724291303476</v>
      </c>
      <c r="D118" s="4">
        <f ca="1">D162*'Total Distance Tables Sup #1'!D118*(1+'Other Assumptions'!H$54)-(D115*'Active Mode Assumptions'!D9*'Active Mode Assumptions'!D15/(1+'Active Mode Assumptions'!D9))-(D116*'Active Mode Assumptions'!D18*'Active Mode Assumptions'!D24/(1+'Active Mode Assumptions'!D18))</f>
        <v>151.42581061206798</v>
      </c>
      <c r="E118" s="4">
        <f ca="1">E162*'Total Distance Tables Sup #1'!E118*(1+'Other Assumptions'!I$54)-(E115*'Active Mode Assumptions'!E9*'Active Mode Assumptions'!E15/(1+'Active Mode Assumptions'!E9))-(E116*'Active Mode Assumptions'!E18*'Active Mode Assumptions'!E24/(1+'Active Mode Assumptions'!E18))</f>
        <v>148.09466340056667</v>
      </c>
      <c r="F118" s="4">
        <f ca="1">F162*'Total Distance Tables Sup #1'!F118*(1+'Other Assumptions'!J$54)-(F115*'Active Mode Assumptions'!F9*'Active Mode Assumptions'!F15/(1+'Active Mode Assumptions'!F9))-(F116*'Active Mode Assumptions'!F18*'Active Mode Assumptions'!F24/(1+'Active Mode Assumptions'!F18))</f>
        <v>143.64672989012655</v>
      </c>
      <c r="G118" s="4">
        <f ca="1">G162*'Total Distance Tables Sup #1'!G118*(1+'Other Assumptions'!K$54)-(G115*'Active Mode Assumptions'!G9*'Active Mode Assumptions'!G15/(1+'Active Mode Assumptions'!G9))-(G116*'Active Mode Assumptions'!G18*'Active Mode Assumptions'!G24/(1+'Active Mode Assumptions'!G18))</f>
        <v>138.26901830996238</v>
      </c>
      <c r="H118" s="4">
        <f ca="1">H162*'Total Distance Tables Sup #1'!H118*(1+'Other Assumptions'!L$54)-(H115*'Active Mode Assumptions'!H9*'Active Mode Assumptions'!H15/(1+'Active Mode Assumptions'!H9))-(H116*'Active Mode Assumptions'!H18*'Active Mode Assumptions'!H24/(1+'Active Mode Assumptions'!H18))</f>
        <v>132.5035891945767</v>
      </c>
      <c r="I118" s="1">
        <f ca="1">I162*'Total Distance Tables Sup #1'!I118*(1+'Other Assumptions'!M$54)-(I115*'Active Mode Assumptions'!I9*'Active Mode Assumptions'!I15/(1+'Active Mode Assumptions'!I9))-(I116*'Active Mode Assumptions'!I18*'Active Mode Assumptions'!I24/(1+'Active Mode Assumptions'!I18))</f>
        <v>129.33456114229483</v>
      </c>
      <c r="J118" s="1">
        <f ca="1">J162*'Total Distance Tables Sup #1'!J118*(1+'Other Assumptions'!N$54)-(J115*'Active Mode Assumptions'!J9*'Active Mode Assumptions'!J15/(1+'Active Mode Assumptions'!J9))-(J116*'Active Mode Assumptions'!J18*'Active Mode Assumptions'!J24/(1+'Active Mode Assumptions'!J18))</f>
        <v>125.84087621321274</v>
      </c>
      <c r="K118" s="1">
        <f ca="1">K162*'Total Distance Tables Sup #1'!K118*(1+'Other Assumptions'!O$54)-(K115*'Active Mode Assumptions'!K9*'Active Mode Assumptions'!K15/(1+'Active Mode Assumptions'!K9))-(K116*'Active Mode Assumptions'!K18*'Active Mode Assumptions'!K24/(1+'Active Mode Assumptions'!K18))</f>
        <v>122.17966421355644</v>
      </c>
    </row>
    <row r="119" spans="1:11" x14ac:dyDescent="0.25">
      <c r="A119" t="str">
        <f ca="1">OFFSET(West_Coast_Reference,28,2)</f>
        <v>Taxi/Vehicle Share</v>
      </c>
      <c r="B119" s="4">
        <f ca="1">B163*'Total Distance Tables Sup #1'!B119*(1+'Other Assumptions'!D$54)</f>
        <v>1.6916956777000001</v>
      </c>
      <c r="C119" s="4">
        <f ca="1">C163*'Total Distance Tables Sup #1'!C119*(1+'Other Assumptions'!G$54)</f>
        <v>1.7673639739511884</v>
      </c>
      <c r="D119" s="4">
        <f ca="1">D163*'Total Distance Tables Sup #1'!D119*(1+'Other Assumptions'!H$54)</f>
        <v>1.8616238599168407</v>
      </c>
      <c r="E119" s="4">
        <f ca="1">E163*'Total Distance Tables Sup #1'!E119*(1+'Other Assumptions'!I$54)</f>
        <v>1.9381205280514016</v>
      </c>
      <c r="F119" s="4">
        <f ca="1">F163*'Total Distance Tables Sup #1'!F119*(1+'Other Assumptions'!J$54)</f>
        <v>1.9837995023777082</v>
      </c>
      <c r="G119" s="4">
        <f ca="1">G163*'Total Distance Tables Sup #1'!G119*(1+'Other Assumptions'!K$54)</f>
        <v>1.9907209037788336</v>
      </c>
      <c r="H119" s="4">
        <f ca="1">H163*'Total Distance Tables Sup #1'!H119*(1+'Other Assumptions'!L$54)</f>
        <v>1.9883072311052863</v>
      </c>
      <c r="I119" s="1">
        <f ca="1">I163*'Total Distance Tables Sup #1'!I119*(1+'Other Assumptions'!M$54)</f>
        <v>1.9331884428440314</v>
      </c>
      <c r="J119" s="1">
        <f ca="1">J163*'Total Distance Tables Sup #1'!J119*(1+'Other Assumptions'!N$54)</f>
        <v>1.8736032508876952</v>
      </c>
      <c r="K119" s="1">
        <f ca="1">K163*'Total Distance Tables Sup #1'!K119*(1+'Other Assumptions'!O$54)</f>
        <v>1.8119436183238333</v>
      </c>
    </row>
    <row r="120" spans="1:11" x14ac:dyDescent="0.25">
      <c r="A120" t="str">
        <f ca="1">OFFSET(West_Coast_Reference,35,2)</f>
        <v>Motorcyclist</v>
      </c>
      <c r="B120" s="4">
        <f ca="1">B164*'Total Distance Tables Sup #1'!B120*(1+'Other Assumptions'!D$54)</f>
        <v>0.29466348679999999</v>
      </c>
      <c r="C120" s="4">
        <f ca="1">C164*'Total Distance Tables Sup #1'!C120*(1+'Other Assumptions'!G$54)</f>
        <v>0.29542910737883793</v>
      </c>
      <c r="D120" s="4">
        <f ca="1">D164*'Total Distance Tables Sup #1'!D120*(1+'Other Assumptions'!H$54)</f>
        <v>0.29571546674609761</v>
      </c>
      <c r="E120" s="4">
        <f ca="1">E164*'Total Distance Tables Sup #1'!E120*(1+'Other Assumptions'!I$54)</f>
        <v>0.29059128313314408</v>
      </c>
      <c r="F120" s="4">
        <f ca="1">F164*'Total Distance Tables Sup #1'!F120*(1+'Other Assumptions'!J$54)</f>
        <v>0.28224477617711052</v>
      </c>
      <c r="G120" s="4">
        <f ca="1">G164*'Total Distance Tables Sup #1'!G120*(1+'Other Assumptions'!K$54)</f>
        <v>0.26897377517053767</v>
      </c>
      <c r="H120" s="4">
        <f ca="1">H164*'Total Distance Tables Sup #1'!H120*(1+'Other Assumptions'!L$54)</f>
        <v>0.25508346755052907</v>
      </c>
      <c r="I120" s="1">
        <f ca="1">I164*'Total Distance Tables Sup #1'!I120*(1+'Other Assumptions'!M$54)</f>
        <v>0.25024684010832166</v>
      </c>
      <c r="J120" s="1">
        <f ca="1">J164*'Total Distance Tables Sup #1'!J120*(1+'Other Assumptions'!N$54)</f>
        <v>0.24472985983934761</v>
      </c>
      <c r="K120" s="1">
        <f ca="1">K164*'Total Distance Tables Sup #1'!K120*(1+'Other Assumptions'!O$54)</f>
        <v>0.23882861362675065</v>
      </c>
    </row>
    <row r="121" spans="1:11" x14ac:dyDescent="0.25">
      <c r="A121" t="str">
        <f ca="1">OFFSET(Nelson_Reference,42,2)</f>
        <v>Local Train</v>
      </c>
      <c r="B121" s="4">
        <f ca="1">B165*'Total Distance Tables Sup #1'!B121*(1+'Other Assumptions'!D$54)</f>
        <v>0</v>
      </c>
      <c r="C121" s="4">
        <f ca="1">C165*'Total Distance Tables Sup #1'!C121*(1+'Other Assumptions'!G$54)</f>
        <v>0</v>
      </c>
      <c r="D121" s="4">
        <f ca="1">D165*'Total Distance Tables Sup #1'!D121*(1+'Other Assumptions'!H$54)</f>
        <v>0</v>
      </c>
      <c r="E121" s="4">
        <f ca="1">E165*'Total Distance Tables Sup #1'!E121*(1+'Other Assumptions'!I$54)</f>
        <v>0</v>
      </c>
      <c r="F121" s="4">
        <f ca="1">F165*'Total Distance Tables Sup #1'!F121*(1+'Other Assumptions'!J$54)</f>
        <v>0</v>
      </c>
      <c r="G121" s="4">
        <f ca="1">G165*'Total Distance Tables Sup #1'!G121*(1+'Other Assumptions'!K$54)</f>
        <v>0</v>
      </c>
      <c r="H121" s="4">
        <f ca="1">H165*'Total Distance Tables Sup #1'!H121*(1+'Other Assumptions'!L$54)</f>
        <v>0</v>
      </c>
      <c r="I121" s="1">
        <f ca="1">I165*'Total Distance Tables Sup #1'!I121*(1+'Other Assumptions'!M$54)</f>
        <v>0</v>
      </c>
      <c r="J121" s="1">
        <f ca="1">J165*'Total Distance Tables Sup #1'!J121*(1+'Other Assumptions'!N$54)</f>
        <v>0</v>
      </c>
      <c r="K121" s="1">
        <f ca="1">K165*'Total Distance Tables Sup #1'!K121*(1+'Other Assumptions'!O$54)</f>
        <v>0</v>
      </c>
    </row>
    <row r="122" spans="1:11" x14ac:dyDescent="0.25">
      <c r="A122" t="str">
        <f ca="1">OFFSET(West_Coast_Reference,42,2)</f>
        <v>Local Bus</v>
      </c>
      <c r="B122" s="4">
        <f ca="1">B166*'Total Distance Tables Sup #1'!B122*(1+'Other Assumptions'!D$54)</f>
        <v>6.0600083682000001</v>
      </c>
      <c r="C122" s="4">
        <f ca="1">C166*'Total Distance Tables Sup #1'!C122*(1+'Other Assumptions'!G$54)</f>
        <v>5.4134022880139714</v>
      </c>
      <c r="D122" s="4">
        <f ca="1">D166*'Total Distance Tables Sup #1'!D122*(1+'Other Assumptions'!H$54)</f>
        <v>5.0627811743539324</v>
      </c>
      <c r="E122" s="4">
        <f ca="1">E166*'Total Distance Tables Sup #1'!E122*(1+'Other Assumptions'!I$54)</f>
        <v>4.7891412188933344</v>
      </c>
      <c r="F122" s="4">
        <f ca="1">F166*'Total Distance Tables Sup #1'!F122*(1+'Other Assumptions'!J$54)</f>
        <v>4.4523983358891455</v>
      </c>
      <c r="G122" s="4">
        <f ca="1">G166*'Total Distance Tables Sup #1'!G122*(1+'Other Assumptions'!K$54)</f>
        <v>4.1838100547039554</v>
      </c>
      <c r="H122" s="4">
        <f ca="1">H166*'Total Distance Tables Sup #1'!H122*(1+'Other Assumptions'!L$54)</f>
        <v>3.9195064284887482</v>
      </c>
      <c r="I122" s="1">
        <f ca="1">I166*'Total Distance Tables Sup #1'!I122*(1+'Other Assumptions'!M$54)</f>
        <v>3.8261883796464176</v>
      </c>
      <c r="J122" s="1">
        <f ca="1">J166*'Total Distance Tables Sup #1'!J122*(1+'Other Assumptions'!N$54)</f>
        <v>3.7231974675166897</v>
      </c>
      <c r="K122" s="1">
        <f ca="1">K166*'Total Distance Tables Sup #1'!K122*(1+'Other Assumptions'!O$54)</f>
        <v>3.6151865205089768</v>
      </c>
    </row>
    <row r="123" spans="1:11" x14ac:dyDescent="0.25">
      <c r="A123" t="str">
        <f ca="1">OFFSET(Wellington_Reference,56,2)</f>
        <v>Local Ferry</v>
      </c>
      <c r="B123" s="4">
        <f>B167*'Total Distance Tables Sup #1'!B123*(1+'Other Assumptions'!D$54)</f>
        <v>0</v>
      </c>
      <c r="C123" s="4">
        <f ca="1">C167*'Total Distance Tables Sup #1'!C123*(1+'Other Assumptions'!G$54)</f>
        <v>0</v>
      </c>
      <c r="D123" s="4">
        <f ca="1">D167*'Total Distance Tables Sup #1'!D123*(1+'Other Assumptions'!H$54)</f>
        <v>0</v>
      </c>
      <c r="E123" s="4">
        <f ca="1">E167*'Total Distance Tables Sup #1'!E123*(1+'Other Assumptions'!I$54)</f>
        <v>0</v>
      </c>
      <c r="F123" s="4">
        <f ca="1">F167*'Total Distance Tables Sup #1'!F123*(1+'Other Assumptions'!J$54)</f>
        <v>0</v>
      </c>
      <c r="G123" s="4">
        <f ca="1">G167*'Total Distance Tables Sup #1'!G123*(1+'Other Assumptions'!K$54)</f>
        <v>0</v>
      </c>
      <c r="H123" s="4">
        <f ca="1">H167*'Total Distance Tables Sup #1'!H123*(1+'Other Assumptions'!L$54)</f>
        <v>0</v>
      </c>
      <c r="I123" s="1">
        <f ca="1">I167*'Total Distance Tables Sup #1'!I123*(1+'Other Assumptions'!M$54)</f>
        <v>0</v>
      </c>
      <c r="J123" s="1">
        <f ca="1">J167*'Total Distance Tables Sup #1'!J123*(1+'Other Assumptions'!N$54)</f>
        <v>0</v>
      </c>
      <c r="K123" s="1">
        <f ca="1">K167*'Total Distance Tables Sup #1'!K123*(1+'Other Assumptions'!O$54)</f>
        <v>0</v>
      </c>
    </row>
    <row r="124" spans="1:11" x14ac:dyDescent="0.25">
      <c r="A124" t="str">
        <f ca="1">OFFSET(West_Coast_Reference,49,2)</f>
        <v>Other Household Travel</v>
      </c>
      <c r="B124" s="4">
        <f ca="1">B168*'Total Distance Tables Sup #1'!B124*(1+'Other Assumptions'!D$54)</f>
        <v>0</v>
      </c>
      <c r="C124" s="4">
        <f ca="1">C168*'Total Distance Tables Sup #1'!C124*(1+'Other Assumptions'!G$54)</f>
        <v>0</v>
      </c>
      <c r="D124" s="4">
        <f ca="1">D168*'Total Distance Tables Sup #1'!D124*(1+'Other Assumptions'!H$54)</f>
        <v>0</v>
      </c>
      <c r="E124" s="4">
        <f ca="1">E168*'Total Distance Tables Sup #1'!E124*(1+'Other Assumptions'!I$54)</f>
        <v>0</v>
      </c>
      <c r="F124" s="4">
        <f ca="1">F168*'Total Distance Tables Sup #1'!F124*(1+'Other Assumptions'!J$54)</f>
        <v>0</v>
      </c>
      <c r="G124" s="4">
        <f ca="1">G168*'Total Distance Tables Sup #1'!G124*(1+'Other Assumptions'!K$54)</f>
        <v>0</v>
      </c>
      <c r="H124" s="4">
        <f ca="1">H168*'Total Distance Tables Sup #1'!H124*(1+'Other Assumptions'!L$54)</f>
        <v>0</v>
      </c>
      <c r="I124" s="1">
        <f ca="1">I168*'Total Distance Tables Sup #1'!I124*(1+'Other Assumptions'!M$54)</f>
        <v>0</v>
      </c>
      <c r="J124" s="1">
        <f ca="1">J168*'Total Distance Tables Sup #1'!J124*(1+'Other Assumptions'!N$54)</f>
        <v>0</v>
      </c>
      <c r="K124" s="1">
        <f ca="1">K168*'Total Distance Tables Sup #1'!K124*(1+'Other Assumptions'!O$54)</f>
        <v>0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B159*'Total Distance Tables Sup #1'!B126*(1+'Other Assumptions'!D$55)*(1+'Active Mode Assumptions'!B9)</f>
        <v>113.37513976</v>
      </c>
      <c r="C126" s="4">
        <f ca="1">C159*'Total Distance Tables Sup #1'!C126*(1+'Other Assumptions'!G$55)*(1+'Active Mode Assumptions'!C9)</f>
        <v>123.43309754480129</v>
      </c>
      <c r="D126" s="4">
        <f ca="1">D159*'Total Distance Tables Sup #1'!D126*(1+'Other Assumptions'!H$55)*(1+'Active Mode Assumptions'!D9)</f>
        <v>136.65190027444265</v>
      </c>
      <c r="E126" s="4">
        <f ca="1">E159*'Total Distance Tables Sup #1'!E126*(1+'Other Assumptions'!I$55)*(1+'Active Mode Assumptions'!E9)</f>
        <v>146.98862849594755</v>
      </c>
      <c r="F126" s="4">
        <f ca="1">F159*'Total Distance Tables Sup #1'!F126*(1+'Other Assumptions'!J$55)*(1+'Active Mode Assumptions'!F9)</f>
        <v>156.11867532280803</v>
      </c>
      <c r="G126" s="4">
        <f ca="1">G159*'Total Distance Tables Sup #1'!G126*(1+'Other Assumptions'!K$55)*(1+'Active Mode Assumptions'!G9)</f>
        <v>164.99755373268761</v>
      </c>
      <c r="H126" s="4">
        <f ca="1">H159*'Total Distance Tables Sup #1'!H126*(1+'Other Assumptions'!L$55)*(1+'Active Mode Assumptions'!H9)</f>
        <v>173.33097622990687</v>
      </c>
      <c r="I126" s="1">
        <f ca="1">I159*'Total Distance Tables Sup #1'!I126*(1+'Other Assumptions'!M$55)*(1+'Active Mode Assumptions'!I9)</f>
        <v>177.50501684244193</v>
      </c>
      <c r="J126" s="1">
        <f ca="1">J159*'Total Distance Tables Sup #1'!J126*(1+'Other Assumptions'!N$55)*(1+'Active Mode Assumptions'!J9)</f>
        <v>181.20349586056571</v>
      </c>
      <c r="K126" s="1">
        <f ca="1">K159*'Total Distance Tables Sup #1'!K126*(1+'Other Assumptions'!O$55)*(1+'Active Mode Assumptions'!K9)</f>
        <v>184.58410689216336</v>
      </c>
    </row>
    <row r="127" spans="1:11" x14ac:dyDescent="0.25">
      <c r="A127" t="str">
        <f ca="1">OFFSET(Canterbury_Reference,7,2)</f>
        <v>Cyclist</v>
      </c>
      <c r="B127" s="4">
        <f ca="1">B160*'Total Distance Tables Sup #1'!B127*(1+'Other Assumptions'!D$55)*(1+'Active Mode Assumptions'!B18)</f>
        <v>97.023488555</v>
      </c>
      <c r="C127" s="4">
        <f ca="1">C160*'Total Distance Tables Sup #1'!C127*(1+'Other Assumptions'!G$55)*(1+'Active Mode Assumptions'!C18)</f>
        <v>109.33071531525928</v>
      </c>
      <c r="D127" s="4">
        <f ca="1">D160*'Total Distance Tables Sup #1'!D127*(1+'Other Assumptions'!H$55)*(1+'Active Mode Assumptions'!D18)</f>
        <v>162.21069469911058</v>
      </c>
      <c r="E127" s="4">
        <f ca="1">E160*'Total Distance Tables Sup #1'!E127*(1+'Other Assumptions'!I$55)*(1+'Active Mode Assumptions'!E18)</f>
        <v>214.12399548464276</v>
      </c>
      <c r="F127" s="4">
        <f ca="1">F160*'Total Distance Tables Sup #1'!F127*(1+'Other Assumptions'!J$55)*(1+'Active Mode Assumptions'!F18)</f>
        <v>271.81648650708621</v>
      </c>
      <c r="G127" s="4">
        <f ca="1">G160*'Total Distance Tables Sup #1'!G127*(1+'Other Assumptions'!K$55)*(1+'Active Mode Assumptions'!G18)</f>
        <v>338.16777472062762</v>
      </c>
      <c r="H127" s="4">
        <f ca="1">H160*'Total Distance Tables Sup #1'!H127*(1+'Other Assumptions'!L$55)*(1+'Active Mode Assumptions'!H18)</f>
        <v>410.33952746321449</v>
      </c>
      <c r="I127" s="1">
        <f ca="1">I160*'Total Distance Tables Sup #1'!I127*(1+'Other Assumptions'!M$55)*(1+'Active Mode Assumptions'!I18)</f>
        <v>422.19533624991402</v>
      </c>
      <c r="J127" s="1">
        <f ca="1">J160*'Total Distance Tables Sup #1'!J127*(1+'Other Assumptions'!N$55)*(1+'Active Mode Assumptions'!J18)</f>
        <v>433.03676732062883</v>
      </c>
      <c r="K127" s="1">
        <f ca="1">K160*'Total Distance Tables Sup #1'!K127*(1+'Other Assumptions'!O$55)*(1+'Active Mode Assumptions'!K18)</f>
        <v>443.22797698646792</v>
      </c>
    </row>
    <row r="128" spans="1:11" x14ac:dyDescent="0.25">
      <c r="A128" t="str">
        <f ca="1">OFFSET(Canterbury_Reference,14,2)</f>
        <v>Light Vehicle Driver</v>
      </c>
      <c r="B128" s="4">
        <f ca="1">B161*'Total Distance Tables Sup #1'!B128*(1+'Other Assumptions'!D$55)-(B126*'Active Mode Assumptions'!B9*'Active Mode Assumptions'!B14/(1+'Active Mode Assumptions'!B9))-(B127*'Active Mode Assumptions'!B18*'Active Mode Assumptions'!B23/(1+'Active Mode Assumptions'!B18))</f>
        <v>3777.041205</v>
      </c>
      <c r="C128" s="4">
        <f ca="1">C161*'Total Distance Tables Sup #1'!C128*(1+'Other Assumptions'!G$55)-(C126*'Active Mode Assumptions'!C9*'Active Mode Assumptions'!C14/(1+'Active Mode Assumptions'!C9))-(C127*'Active Mode Assumptions'!C18*'Active Mode Assumptions'!C23/(1+'Active Mode Assumptions'!C18))</f>
        <v>4256.2293784963022</v>
      </c>
      <c r="D128" s="4">
        <f ca="1">D161*'Total Distance Tables Sup #1'!D128*(1+'Other Assumptions'!H$55)-(D126*'Active Mode Assumptions'!D9*'Active Mode Assumptions'!D14/(1+'Active Mode Assumptions'!D9))-(D127*'Active Mode Assumptions'!D18*'Active Mode Assumptions'!D23/(1+'Active Mode Assumptions'!D18))</f>
        <v>4532.1691975701897</v>
      </c>
      <c r="E128" s="4">
        <f ca="1">E161*'Total Distance Tables Sup #1'!E128*(1+'Other Assumptions'!I$55)-(E126*'Active Mode Assumptions'!E9*'Active Mode Assumptions'!E14/(1+'Active Mode Assumptions'!E9))-(E127*'Active Mode Assumptions'!E18*'Active Mode Assumptions'!E23/(1+'Active Mode Assumptions'!E18))</f>
        <v>4753.3525656151342</v>
      </c>
      <c r="F128" s="4">
        <f ca="1">F161*'Total Distance Tables Sup #1'!F128*(1+'Other Assumptions'!J$55)-(F126*'Active Mode Assumptions'!F9*'Active Mode Assumptions'!F14/(1+'Active Mode Assumptions'!F9))-(F127*'Active Mode Assumptions'!F18*'Active Mode Assumptions'!F23/(1+'Active Mode Assumptions'!F18))</f>
        <v>4955.5868759756122</v>
      </c>
      <c r="G128" s="4">
        <f ca="1">G161*'Total Distance Tables Sup #1'!G128*(1+'Other Assumptions'!K$55)-(G126*'Active Mode Assumptions'!G9*'Active Mode Assumptions'!G14/(1+'Active Mode Assumptions'!G9))-(G127*'Active Mode Assumptions'!G18*'Active Mode Assumptions'!G23/(1+'Active Mode Assumptions'!G18))</f>
        <v>5107.1205195034327</v>
      </c>
      <c r="H128" s="4">
        <f ca="1">H161*'Total Distance Tables Sup #1'!H128*(1+'Other Assumptions'!L$55)-(H126*'Active Mode Assumptions'!H9*'Active Mode Assumptions'!H14/(1+'Active Mode Assumptions'!H9))-(H127*'Active Mode Assumptions'!H18*'Active Mode Assumptions'!H23/(1+'Active Mode Assumptions'!H18))</f>
        <v>5236.092870066228</v>
      </c>
      <c r="I128" s="1">
        <f ca="1">I161*'Total Distance Tables Sup #1'!I128*(1+'Other Assumptions'!M$55)-(I126*'Active Mode Assumptions'!I9*'Active Mode Assumptions'!I14/(1+'Active Mode Assumptions'!I9))-(I127*'Active Mode Assumptions'!I18*'Active Mode Assumptions'!I23/(1+'Active Mode Assumptions'!I18))</f>
        <v>5372.419024502341</v>
      </c>
      <c r="J128" s="1">
        <f ca="1">J161*'Total Distance Tables Sup #1'!J128*(1+'Other Assumptions'!N$55)-(J126*'Active Mode Assumptions'!J9*'Active Mode Assumptions'!J14/(1+'Active Mode Assumptions'!J9))-(J127*'Active Mode Assumptions'!J18*'Active Mode Assumptions'!J23/(1+'Active Mode Assumptions'!J18))</f>
        <v>5494.7869476652904</v>
      </c>
      <c r="K128" s="1">
        <f ca="1">K161*'Total Distance Tables Sup #1'!K128*(1+'Other Assumptions'!O$55)-(K126*'Active Mode Assumptions'!K9*'Active Mode Assumptions'!K14/(1+'Active Mode Assumptions'!K9))-(K127*'Active Mode Assumptions'!K18*'Active Mode Assumptions'!K23/(1+'Active Mode Assumptions'!K18))</f>
        <v>5607.9018753919609</v>
      </c>
    </row>
    <row r="129" spans="1:11" x14ac:dyDescent="0.25">
      <c r="A129" t="str">
        <f ca="1">OFFSET(Canterbury_Reference,21,2)</f>
        <v>Light Vehicle Passenger</v>
      </c>
      <c r="B129" s="4">
        <f ca="1">B162*'Total Distance Tables Sup #1'!B129*(1+'Other Assumptions'!D$55)-(B126*'Active Mode Assumptions'!B9*'Active Mode Assumptions'!B15/(1+'Active Mode Assumptions'!B9))-(B127*'Active Mode Assumptions'!B18*'Active Mode Assumptions'!B24/(1+'Active Mode Assumptions'!B18))</f>
        <v>2033.7115475000001</v>
      </c>
      <c r="C129" s="4">
        <f ca="1">C162*'Total Distance Tables Sup #1'!C129*(1+'Other Assumptions'!G$55)-(C126*'Active Mode Assumptions'!C9*'Active Mode Assumptions'!C15/(1+'Active Mode Assumptions'!C9))-(C127*'Active Mode Assumptions'!C18*'Active Mode Assumptions'!C24/(1+'Active Mode Assumptions'!C18))</f>
        <v>2204.7599341334767</v>
      </c>
      <c r="D129" s="4">
        <f ca="1">D162*'Total Distance Tables Sup #1'!D129*(1+'Other Assumptions'!H$55)-(D126*'Active Mode Assumptions'!D9*'Active Mode Assumptions'!D15/(1+'Active Mode Assumptions'!D9))-(D127*'Active Mode Assumptions'!D18*'Active Mode Assumptions'!D24/(1+'Active Mode Assumptions'!D18))</f>
        <v>2291.1614655603212</v>
      </c>
      <c r="E129" s="4">
        <f ca="1">E162*'Total Distance Tables Sup #1'!E129*(1+'Other Assumptions'!I$55)-(E126*'Active Mode Assumptions'!E9*'Active Mode Assumptions'!E15/(1+'Active Mode Assumptions'!E9))-(E127*'Active Mode Assumptions'!E18*'Active Mode Assumptions'!E24/(1+'Active Mode Assumptions'!E18))</f>
        <v>2347.0373578948361</v>
      </c>
      <c r="F129" s="4">
        <f ca="1">F162*'Total Distance Tables Sup #1'!F129*(1+'Other Assumptions'!J$55)-(F126*'Active Mode Assumptions'!F9*'Active Mode Assumptions'!F15/(1+'Active Mode Assumptions'!F9))-(F127*'Active Mode Assumptions'!F18*'Active Mode Assumptions'!F24/(1+'Active Mode Assumptions'!F18))</f>
        <v>2385.622463252897</v>
      </c>
      <c r="G129" s="4">
        <f ca="1">G162*'Total Distance Tables Sup #1'!G129*(1+'Other Assumptions'!K$55)-(G126*'Active Mode Assumptions'!G9*'Active Mode Assumptions'!G15/(1+'Active Mode Assumptions'!G9))-(G127*'Active Mode Assumptions'!G18*'Active Mode Assumptions'!G24/(1+'Active Mode Assumptions'!G18))</f>
        <v>2406.7934442935252</v>
      </c>
      <c r="H129" s="4">
        <f ca="1">H162*'Total Distance Tables Sup #1'!H129*(1+'Other Assumptions'!L$55)-(H126*'Active Mode Assumptions'!H9*'Active Mode Assumptions'!H15/(1+'Active Mode Assumptions'!H9))-(H127*'Active Mode Assumptions'!H18*'Active Mode Assumptions'!H24/(1+'Active Mode Assumptions'!H18))</f>
        <v>2414.4245019170753</v>
      </c>
      <c r="I129" s="1">
        <f ca="1">I162*'Total Distance Tables Sup #1'!I129*(1+'Other Assumptions'!M$55)-(I126*'Active Mode Assumptions'!I9*'Active Mode Assumptions'!I15/(1+'Active Mode Assumptions'!I9))-(I127*'Active Mode Assumptions'!I18*'Active Mode Assumptions'!I24/(1+'Active Mode Assumptions'!I18))</f>
        <v>2480.0120652838327</v>
      </c>
      <c r="J129" s="1">
        <f ca="1">J162*'Total Distance Tables Sup #1'!J129*(1+'Other Assumptions'!N$55)-(J126*'Active Mode Assumptions'!J9*'Active Mode Assumptions'!J15/(1+'Active Mode Assumptions'!J9))-(J127*'Active Mode Assumptions'!J18*'Active Mode Assumptions'!J24/(1+'Active Mode Assumptions'!J18))</f>
        <v>2539.2979636164255</v>
      </c>
      <c r="K129" s="1">
        <f ca="1">K162*'Total Distance Tables Sup #1'!K129*(1+'Other Assumptions'!O$55)-(K126*'Active Mode Assumptions'!K9*'Active Mode Assumptions'!K15/(1+'Active Mode Assumptions'!K9))-(K127*'Active Mode Assumptions'!K18*'Active Mode Assumptions'!K24/(1+'Active Mode Assumptions'!K18))</f>
        <v>2594.4368592661294</v>
      </c>
    </row>
    <row r="130" spans="1:11" x14ac:dyDescent="0.25">
      <c r="A130" t="str">
        <f ca="1">OFFSET(Canterbury_Reference,28,2)</f>
        <v>Taxi/Vehicle Share</v>
      </c>
      <c r="B130" s="4">
        <f ca="1">B163*'Total Distance Tables Sup #1'!B130*(1+'Other Assumptions'!D$55)</f>
        <v>16.530142167000001</v>
      </c>
      <c r="C130" s="4">
        <f ca="1">C163*'Total Distance Tables Sup #1'!C130*(1+'Other Assumptions'!G$55)</f>
        <v>19.413646707781794</v>
      </c>
      <c r="D130" s="4">
        <f ca="1">D163*'Total Distance Tables Sup #1'!D130*(1+'Other Assumptions'!H$55)</f>
        <v>21.794378406142776</v>
      </c>
      <c r="E130" s="4">
        <f ca="1">E163*'Total Distance Tables Sup #1'!E130*(1+'Other Assumptions'!I$55)</f>
        <v>23.865056379443931</v>
      </c>
      <c r="F130" s="4">
        <f ca="1">F163*'Total Distance Tables Sup #1'!F130*(1+'Other Assumptions'!J$55)</f>
        <v>25.709926761088905</v>
      </c>
      <c r="G130" s="4">
        <f ca="1">G163*'Total Distance Tables Sup #1'!G130*(1+'Other Assumptions'!K$55)</f>
        <v>27.172241045371269</v>
      </c>
      <c r="H130" s="4">
        <f ca="1">H163*'Total Distance Tables Sup #1'!H130*(1+'Other Assumptions'!L$55)</f>
        <v>28.560401205192349</v>
      </c>
      <c r="I130" s="1">
        <f ca="1">I163*'Total Distance Tables Sup #1'!I130*(1+'Other Assumptions'!M$55)</f>
        <v>29.222726426053558</v>
      </c>
      <c r="J130" s="1">
        <f ca="1">J163*'Total Distance Tables Sup #1'!J130*(1+'Other Assumptions'!N$55)</f>
        <v>29.805053363330238</v>
      </c>
      <c r="K130" s="1">
        <f ca="1">K163*'Total Distance Tables Sup #1'!K130*(1+'Other Assumptions'!O$55)</f>
        <v>30.333511078779893</v>
      </c>
    </row>
    <row r="131" spans="1:11" x14ac:dyDescent="0.25">
      <c r="A131" t="str">
        <f ca="1">OFFSET(Canterbury_Reference,35,2)</f>
        <v>Motorcyclist</v>
      </c>
      <c r="B131" s="4">
        <f ca="1">B164*'Total Distance Tables Sup #1'!B131*(1+'Other Assumptions'!D$55)</f>
        <v>12.048552727000001</v>
      </c>
      <c r="C131" s="4">
        <f ca="1">C164*'Total Distance Tables Sup #1'!C131*(1+'Other Assumptions'!G$55)</f>
        <v>13.579651234428663</v>
      </c>
      <c r="D131" s="4">
        <f ca="1">D164*'Total Distance Tables Sup #1'!D131*(1+'Other Assumptions'!H$55)</f>
        <v>14.487078065425081</v>
      </c>
      <c r="E131" s="4">
        <f ca="1">E164*'Total Distance Tables Sup #1'!E131*(1+'Other Assumptions'!I$55)</f>
        <v>14.973332741621034</v>
      </c>
      <c r="F131" s="4">
        <f ca="1">F164*'Total Distance Tables Sup #1'!F131*(1+'Other Assumptions'!J$55)</f>
        <v>15.306756908669554</v>
      </c>
      <c r="G131" s="4">
        <f ca="1">G164*'Total Distance Tables Sup #1'!G131*(1+'Other Assumptions'!K$55)</f>
        <v>15.363113185710485</v>
      </c>
      <c r="H131" s="4">
        <f ca="1">H164*'Total Distance Tables Sup #1'!H131*(1+'Other Assumptions'!L$55)</f>
        <v>15.332653948313881</v>
      </c>
      <c r="I131" s="1">
        <f ca="1">I164*'Total Distance Tables Sup #1'!I131*(1+'Other Assumptions'!M$55)</f>
        <v>15.829578628469203</v>
      </c>
      <c r="J131" s="1">
        <f ca="1">J164*'Total Distance Tables Sup #1'!J131*(1+'Other Assumptions'!N$55)</f>
        <v>16.291213822114869</v>
      </c>
      <c r="K131" s="1">
        <f ca="1">K164*'Total Distance Tables Sup #1'!K131*(1+'Other Assumptions'!O$55)</f>
        <v>16.730871752287147</v>
      </c>
    </row>
    <row r="132" spans="1:11" x14ac:dyDescent="0.25">
      <c r="A132" t="str">
        <f ca="1">OFFSET(Canterbury_Reference,42,2)</f>
        <v>Local Train</v>
      </c>
      <c r="B132" s="4">
        <f ca="1">B165*'Total Distance Tables Sup #1'!B132*(1+'Other Assumptions'!D$55)</f>
        <v>0</v>
      </c>
      <c r="C132" s="4">
        <f ca="1">C165*'Total Distance Tables Sup #1'!C132*(1+'Other Assumptions'!G$55)</f>
        <v>0</v>
      </c>
      <c r="D132" s="4">
        <f ca="1">D165*'Total Distance Tables Sup #1'!D132*(1+'Other Assumptions'!H$55)</f>
        <v>0</v>
      </c>
      <c r="E132" s="4">
        <f ca="1">E165*'Total Distance Tables Sup #1'!E132*(1+'Other Assumptions'!I$55)</f>
        <v>0</v>
      </c>
      <c r="F132" s="4">
        <f ca="1">F165*'Total Distance Tables Sup #1'!F132*(1+'Other Assumptions'!J$55)</f>
        <v>0</v>
      </c>
      <c r="G132" s="4">
        <f ca="1">G165*'Total Distance Tables Sup #1'!G132*(1+'Other Assumptions'!K$55)</f>
        <v>0</v>
      </c>
      <c r="H132" s="4">
        <f ca="1">H165*'Total Distance Tables Sup #1'!H132*(1+'Other Assumptions'!L$55)</f>
        <v>0</v>
      </c>
      <c r="I132" s="1">
        <f ca="1">I165*'Total Distance Tables Sup #1'!I132*(1+'Other Assumptions'!M$55)</f>
        <v>0</v>
      </c>
      <c r="J132" s="1">
        <f ca="1">J165*'Total Distance Tables Sup #1'!J132*(1+'Other Assumptions'!N$55)</f>
        <v>0</v>
      </c>
      <c r="K132" s="1">
        <f ca="1">K165*'Total Distance Tables Sup #1'!K132*(1+'Other Assumptions'!O$55)</f>
        <v>0</v>
      </c>
    </row>
    <row r="133" spans="1:11" x14ac:dyDescent="0.25">
      <c r="A133" t="str">
        <f ca="1">OFFSET(Canterbury_Reference,49,2)</f>
        <v>Local Bus</v>
      </c>
      <c r="B133" s="4">
        <f ca="1">'Total Distance Tables Sup #1'!B133*(1+'Other Assumptions'!D$55)</f>
        <v>174.53993166999999</v>
      </c>
      <c r="C133" s="4">
        <f ca="1">'Total Distance Tables Sup #1'!C133*(1+'Other Assumptions'!G$55)</f>
        <v>175.21324804</v>
      </c>
      <c r="D133" s="4">
        <f ca="1">'Total Distance Tables Sup #1'!D133*(1+'Other Assumptions'!H$55)</f>
        <v>170.81122178000001</v>
      </c>
      <c r="E133" s="4">
        <f ca="1">'Total Distance Tables Sup #1'!E133*(1+'Other Assumptions'!I$55)</f>
        <v>168.83753199</v>
      </c>
      <c r="F133" s="4">
        <f ca="1">'Total Distance Tables Sup #1'!F133*(1+'Other Assumptions'!J$55)</f>
        <v>163.14112513000001</v>
      </c>
      <c r="G133" s="4">
        <f ca="1">'Total Distance Tables Sup #1'!G133*(1+'Other Assumptions'!K$55)</f>
        <v>157.35525977</v>
      </c>
      <c r="H133" s="4">
        <f ca="1">'Total Distance Tables Sup #1'!H133*(1+'Other Assumptions'!L$55)</f>
        <v>151.17563518</v>
      </c>
      <c r="I133" s="1">
        <f ca="1">'Total Distance Tables Sup #1'!I133*(1+'Other Assumptions'!M$55)</f>
        <v>151.17563518</v>
      </c>
      <c r="J133" s="1">
        <f ca="1">'Total Distance Tables Sup #1'!J133*(1+'Other Assumptions'!N$55)</f>
        <v>151.17563518</v>
      </c>
      <c r="K133" s="1">
        <f ca="1">'Total Distance Tables Sup #1'!K133*(1+'Other Assumptions'!O$55)</f>
        <v>151.17563518</v>
      </c>
    </row>
    <row r="134" spans="1:11" x14ac:dyDescent="0.25">
      <c r="A134" t="str">
        <f ca="1">OFFSET(Wellington_Reference,56,2)</f>
        <v>Local Ferry</v>
      </c>
      <c r="B134" s="4">
        <f>B167*'Total Distance Tables Sup #1'!B134*(1+'Other Assumptions'!D$55)</f>
        <v>0</v>
      </c>
      <c r="C134" s="4">
        <f ca="1">C167*'Total Distance Tables Sup #1'!C134*(1+'Other Assumptions'!G$55)</f>
        <v>0</v>
      </c>
      <c r="D134" s="4">
        <f ca="1">D167*'Total Distance Tables Sup #1'!D134*(1+'Other Assumptions'!H$55)</f>
        <v>0</v>
      </c>
      <c r="E134" s="4">
        <f ca="1">E167*'Total Distance Tables Sup #1'!E134*(1+'Other Assumptions'!I$55)</f>
        <v>0</v>
      </c>
      <c r="F134" s="4">
        <f ca="1">F167*'Total Distance Tables Sup #1'!F134*(1+'Other Assumptions'!J$55)</f>
        <v>0</v>
      </c>
      <c r="G134" s="4">
        <f ca="1">G167*'Total Distance Tables Sup #1'!G134*(1+'Other Assumptions'!K$55)</f>
        <v>0</v>
      </c>
      <c r="H134" s="4">
        <f ca="1">H167*'Total Distance Tables Sup #1'!H134*(1+'Other Assumptions'!L$55)</f>
        <v>0</v>
      </c>
      <c r="I134" s="1">
        <f ca="1">I167*'Total Distance Tables Sup #1'!I134*(1+'Other Assumptions'!M$55)</f>
        <v>0</v>
      </c>
      <c r="J134" s="1">
        <f ca="1">J167*'Total Distance Tables Sup #1'!J134*(1+'Other Assumptions'!N$55)</f>
        <v>0</v>
      </c>
      <c r="K134" s="1">
        <f ca="1">K167*'Total Distance Tables Sup #1'!K134*(1+'Other Assumptions'!O$55)</f>
        <v>0</v>
      </c>
    </row>
    <row r="135" spans="1:11" x14ac:dyDescent="0.25">
      <c r="A135" t="str">
        <f ca="1">OFFSET(Canterbury_Reference,56,2)</f>
        <v>Other Household Travel</v>
      </c>
      <c r="B135" s="4">
        <f ca="1">B168*'Total Distance Tables Sup #1'!B135*(1+'Other Assumptions'!D$55)</f>
        <v>0</v>
      </c>
      <c r="C135" s="4">
        <f ca="1">C168*'Total Distance Tables Sup #1'!C135*(1+'Other Assumptions'!G$55)</f>
        <v>0</v>
      </c>
      <c r="D135" s="4">
        <f ca="1">D168*'Total Distance Tables Sup #1'!D135*(1+'Other Assumptions'!H$55)</f>
        <v>0</v>
      </c>
      <c r="E135" s="4">
        <f ca="1">E168*'Total Distance Tables Sup #1'!E135*(1+'Other Assumptions'!I$55)</f>
        <v>0</v>
      </c>
      <c r="F135" s="4">
        <f ca="1">F168*'Total Distance Tables Sup #1'!F135*(1+'Other Assumptions'!J$55)</f>
        <v>0</v>
      </c>
      <c r="G135" s="4">
        <f ca="1">G168*'Total Distance Tables Sup #1'!G135*(1+'Other Assumptions'!K$55)</f>
        <v>0</v>
      </c>
      <c r="H135" s="4">
        <f ca="1">H168*'Total Distance Tables Sup #1'!H135*(1+'Other Assumptions'!L$55)</f>
        <v>0</v>
      </c>
      <c r="I135" s="1">
        <f ca="1">I168*'Total Distance Tables Sup #1'!I135*(1+'Other Assumptions'!M$55)</f>
        <v>0</v>
      </c>
      <c r="J135" s="1">
        <f ca="1">J168*'Total Distance Tables Sup #1'!J135*(1+'Other Assumptions'!N$55)</f>
        <v>0</v>
      </c>
      <c r="K135" s="1">
        <f ca="1">K168*'Total Distance Tables Sup #1'!K135*(1+'Other Assumptions'!O$55)</f>
        <v>0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B159*'Total Distance Tables Sup #1'!B137*(1+'Other Assumptions'!D$56)*(1+'Active Mode Assumptions'!B9)</f>
        <v>45.829100335</v>
      </c>
      <c r="C137" s="4">
        <f ca="1">C159*'Total Distance Tables Sup #1'!C137*(1+'Other Assumptions'!G$56)*(1+'Active Mode Assumptions'!C9)</f>
        <v>48.736279384583639</v>
      </c>
      <c r="D137" s="4">
        <f ca="1">D159*'Total Distance Tables Sup #1'!D137*(1+'Other Assumptions'!H$56)*(1+'Active Mode Assumptions'!D9)</f>
        <v>52.911863562020521</v>
      </c>
      <c r="E137" s="4">
        <f ca="1">E159*'Total Distance Tables Sup #1'!E137*(1+'Other Assumptions'!I$56)*(1+'Active Mode Assumptions'!E9)</f>
        <v>55.992595497796351</v>
      </c>
      <c r="F137" s="4">
        <f ca="1">F159*'Total Distance Tables Sup #1'!F137*(1+'Other Assumptions'!J$56)*(1+'Active Mode Assumptions'!F9)</f>
        <v>58.532776118301214</v>
      </c>
      <c r="G137" s="4">
        <f ca="1">G159*'Total Distance Tables Sup #1'!G137*(1+'Other Assumptions'!K$56)*(1+'Active Mode Assumptions'!G9)</f>
        <v>60.923468256075218</v>
      </c>
      <c r="H137" s="4">
        <f ca="1">H159*'Total Distance Tables Sup #1'!H137*(1+'Other Assumptions'!L$56)*(1+'Active Mode Assumptions'!H9)</f>
        <v>63.044152944909342</v>
      </c>
      <c r="I137" s="1">
        <f ca="1">I159*'Total Distance Tables Sup #1'!I137*(1+'Other Assumptions'!M$56)*(1+'Active Mode Assumptions'!I9)</f>
        <v>63.597607833714399</v>
      </c>
      <c r="J137" s="1">
        <f ca="1">J159*'Total Distance Tables Sup #1'!J137*(1+'Other Assumptions'!N$56)*(1+'Active Mode Assumptions'!J9)</f>
        <v>63.952604745703361</v>
      </c>
      <c r="K137" s="1">
        <f ca="1">K159*'Total Distance Tables Sup #1'!K137*(1+'Other Assumptions'!O$56)*(1+'Active Mode Assumptions'!K9)</f>
        <v>64.172282634678396</v>
      </c>
    </row>
    <row r="138" spans="1:11" x14ac:dyDescent="0.25">
      <c r="A138" t="str">
        <f ca="1">OFFSET(Otago_Reference,7,2)</f>
        <v>Cyclist</v>
      </c>
      <c r="B138" s="4">
        <f ca="1">B160*'Total Distance Tables Sup #1'!B138*(1+'Other Assumptions'!D$56)*(1+'Active Mode Assumptions'!B18)</f>
        <v>16.325352069000001</v>
      </c>
      <c r="C138" s="4">
        <f ca="1">C160*'Total Distance Tables Sup #1'!C138*(1+'Other Assumptions'!G$56)*(1+'Active Mode Assumptions'!C18)</f>
        <v>17.969049572136559</v>
      </c>
      <c r="D138" s="4">
        <f ca="1">D160*'Total Distance Tables Sup #1'!D138*(1+'Other Assumptions'!H$56)*(1+'Active Mode Assumptions'!D18)</f>
        <v>26.144421721045955</v>
      </c>
      <c r="E138" s="4">
        <f ca="1">E160*'Total Distance Tables Sup #1'!E138*(1+'Other Assumptions'!I$56)*(1+'Active Mode Assumptions'!E18)</f>
        <v>33.952704522053644</v>
      </c>
      <c r="F138" s="4">
        <f ca="1">F160*'Total Distance Tables Sup #1'!F138*(1+'Other Assumptions'!J$56)*(1+'Active Mode Assumptions'!F18)</f>
        <v>42.421130013179422</v>
      </c>
      <c r="G138" s="4">
        <f ca="1">G160*'Total Distance Tables Sup #1'!G138*(1+'Other Assumptions'!K$56)*(1+'Active Mode Assumptions'!G18)</f>
        <v>51.975838807716976</v>
      </c>
      <c r="H138" s="4">
        <f ca="1">H160*'Total Distance Tables Sup #1'!H138*(1+'Other Assumptions'!L$56)*(1+'Active Mode Assumptions'!H18)</f>
        <v>62.126109610051273</v>
      </c>
      <c r="I138" s="1">
        <f ca="1">I160*'Total Distance Tables Sup #1'!I138*(1+'Other Assumptions'!M$56)*(1+'Active Mode Assumptions'!I18)</f>
        <v>62.965949039723235</v>
      </c>
      <c r="J138" s="1">
        <f ca="1">J160*'Total Distance Tables Sup #1'!J138*(1+'Other Assumptions'!N$56)*(1+'Active Mode Assumptions'!J18)</f>
        <v>63.617794855911868</v>
      </c>
      <c r="K138" s="1">
        <f ca="1">K160*'Total Distance Tables Sup #1'!K138*(1+'Other Assumptions'!O$56)*(1+'Active Mode Assumptions'!K18)</f>
        <v>64.142003680396869</v>
      </c>
    </row>
    <row r="139" spans="1:11" x14ac:dyDescent="0.25">
      <c r="A139" t="str">
        <f ca="1">OFFSET(Otago_Reference,14,2)</f>
        <v>Light Vehicle Driver</v>
      </c>
      <c r="B139" s="4">
        <f ca="1">B161*'Total Distance Tables Sup #1'!B139*(1+'Other Assumptions'!D$56)-(B137*'Active Mode Assumptions'!B9*'Active Mode Assumptions'!B14/(1+'Active Mode Assumptions'!B9))-(B138*'Active Mode Assumptions'!B18*'Active Mode Assumptions'!B23/(1+'Active Mode Assumptions'!B18))</f>
        <v>1192.1699989000001</v>
      </c>
      <c r="C139" s="4">
        <f ca="1">C161*'Total Distance Tables Sup #1'!C139*(1+'Other Assumptions'!G$56)-(C137*'Active Mode Assumptions'!C9*'Active Mode Assumptions'!C14/(1+'Active Mode Assumptions'!C9))-(C138*'Active Mode Assumptions'!C18*'Active Mode Assumptions'!C23/(1+'Active Mode Assumptions'!C18))</f>
        <v>1312.22630131906</v>
      </c>
      <c r="D139" s="4">
        <f ca="1">D161*'Total Distance Tables Sup #1'!D139*(1+'Other Assumptions'!H$56)-(D137*'Active Mode Assumptions'!D9*'Active Mode Assumptions'!D14/(1+'Active Mode Assumptions'!D9))-(D138*'Active Mode Assumptions'!D18*'Active Mode Assumptions'!D23/(1+'Active Mode Assumptions'!D18))</f>
        <v>1371.7425404598891</v>
      </c>
      <c r="E139" s="4">
        <f ca="1">E161*'Total Distance Tables Sup #1'!E139*(1+'Other Assumptions'!I$56)-(E137*'Active Mode Assumptions'!E9*'Active Mode Assumptions'!E14/(1+'Active Mode Assumptions'!E9))-(E138*'Active Mode Assumptions'!E18*'Active Mode Assumptions'!E23/(1+'Active Mode Assumptions'!E18))</f>
        <v>1416.8467497811102</v>
      </c>
      <c r="F139" s="4">
        <f ca="1">F161*'Total Distance Tables Sup #1'!F139*(1+'Other Assumptions'!J$56)-(F137*'Active Mode Assumptions'!F9*'Active Mode Assumptions'!F14/(1+'Active Mode Assumptions'!F9))-(F138*'Active Mode Assumptions'!F18*'Active Mode Assumptions'!F23/(1+'Active Mode Assumptions'!F18))</f>
        <v>1455.3599626110183</v>
      </c>
      <c r="G139" s="4">
        <f ca="1">G161*'Total Distance Tables Sup #1'!G139*(1+'Other Assumptions'!K$56)-(G137*'Active Mode Assumptions'!G9*'Active Mode Assumptions'!G14/(1+'Active Mode Assumptions'!G9))-(G138*'Active Mode Assumptions'!G18*'Active Mode Assumptions'!G23/(1+'Active Mode Assumptions'!G18))</f>
        <v>1478.8266776729224</v>
      </c>
      <c r="H139" s="4">
        <f ca="1">H161*'Total Distance Tables Sup #1'!H139*(1+'Other Assumptions'!L$56)-(H137*'Active Mode Assumptions'!H9*'Active Mode Assumptions'!H14/(1+'Active Mode Assumptions'!H9))-(H138*'Active Mode Assumptions'!H18*'Active Mode Assumptions'!H23/(1+'Active Mode Assumptions'!H18))</f>
        <v>1495.3676446757549</v>
      </c>
      <c r="I139" s="1">
        <f ca="1">I161*'Total Distance Tables Sup #1'!I139*(1+'Other Assumptions'!M$56)-(I137*'Active Mode Assumptions'!I9*'Active Mode Assumptions'!I14/(1+'Active Mode Assumptions'!I9))-(I138*'Active Mode Assumptions'!I18*'Active Mode Assumptions'!I23/(1+'Active Mode Assumptions'!I18))</f>
        <v>1511.4013609935714</v>
      </c>
      <c r="J139" s="1">
        <f ca="1">J161*'Total Distance Tables Sup #1'!J139*(1+'Other Assumptions'!N$56)-(J137*'Active Mode Assumptions'!J9*'Active Mode Assumptions'!J14/(1+'Active Mode Assumptions'!J9))-(J138*'Active Mode Assumptions'!J18*'Active Mode Assumptions'!J23/(1+'Active Mode Assumptions'!J18))</f>
        <v>1522.755712668579</v>
      </c>
      <c r="K139" s="1">
        <f ca="1">K161*'Total Distance Tables Sup #1'!K139*(1+'Other Assumptions'!O$56)-(K137*'Active Mode Assumptions'!K9*'Active Mode Assumptions'!K14/(1+'Active Mode Assumptions'!K9))-(K138*'Active Mode Assumptions'!K18*'Active Mode Assumptions'!K23/(1+'Active Mode Assumptions'!K18))</f>
        <v>1530.9090499407596</v>
      </c>
    </row>
    <row r="140" spans="1:11" x14ac:dyDescent="0.25">
      <c r="A140" t="str">
        <f ca="1">OFFSET(Otago_Reference,21,2)</f>
        <v>Light Vehicle Passenger</v>
      </c>
      <c r="B140" s="4">
        <f ca="1">B162*'Total Distance Tables Sup #1'!B140*(1+'Other Assumptions'!D$56)-(B137*'Active Mode Assumptions'!B9*'Active Mode Assumptions'!B15/(1+'Active Mode Assumptions'!B9))-(B138*'Active Mode Assumptions'!B18*'Active Mode Assumptions'!B24/(1+'Active Mode Assumptions'!B18))</f>
        <v>849.31688999999994</v>
      </c>
      <c r="C140" s="4">
        <f ca="1">C162*'Total Distance Tables Sup #1'!C140*(1+'Other Assumptions'!G$56)-(C137*'Active Mode Assumptions'!C9*'Active Mode Assumptions'!C15/(1+'Active Mode Assumptions'!C9))-(C138*'Active Mode Assumptions'!C18*'Active Mode Assumptions'!C24/(1+'Active Mode Assumptions'!C18))</f>
        <v>899.37116949308393</v>
      </c>
      <c r="D140" s="4">
        <f ca="1">D162*'Total Distance Tables Sup #1'!D140*(1+'Other Assumptions'!H$56)-(D137*'Active Mode Assumptions'!D9*'Active Mode Assumptions'!D15/(1+'Active Mode Assumptions'!D9))-(D138*'Active Mode Assumptions'!D18*'Active Mode Assumptions'!D24/(1+'Active Mode Assumptions'!D18))</f>
        <v>919.32928046849042</v>
      </c>
      <c r="E140" s="4">
        <f ca="1">E162*'Total Distance Tables Sup #1'!E140*(1+'Other Assumptions'!I$56)-(E137*'Active Mode Assumptions'!E9*'Active Mode Assumptions'!E15/(1+'Active Mode Assumptions'!E9))-(E138*'Active Mode Assumptions'!E18*'Active Mode Assumptions'!E24/(1+'Active Mode Assumptions'!E18))</f>
        <v>929.32517320859654</v>
      </c>
      <c r="F140" s="4">
        <f ca="1">F162*'Total Distance Tables Sup #1'!F140*(1+'Other Assumptions'!J$56)-(F137*'Active Mode Assumptions'!F9*'Active Mode Assumptions'!F15/(1+'Active Mode Assumptions'!F9))-(F138*'Active Mode Assumptions'!F18*'Active Mode Assumptions'!F24/(1+'Active Mode Assumptions'!F18))</f>
        <v>932.71243985241279</v>
      </c>
      <c r="G140" s="4">
        <f ca="1">G162*'Total Distance Tables Sup #1'!G140*(1+'Other Assumptions'!K$56)-(G137*'Active Mode Assumptions'!G9*'Active Mode Assumptions'!G15/(1+'Active Mode Assumptions'!G9))-(G138*'Active Mode Assumptions'!G18*'Active Mode Assumptions'!G24/(1+'Active Mode Assumptions'!G18))</f>
        <v>930.07502519993523</v>
      </c>
      <c r="H140" s="4">
        <f ca="1">H162*'Total Distance Tables Sup #1'!H140*(1+'Other Assumptions'!L$56)-(H137*'Active Mode Assumptions'!H9*'Active Mode Assumptions'!H15/(1+'Active Mode Assumptions'!H9))-(H138*'Active Mode Assumptions'!H18*'Active Mode Assumptions'!H24/(1+'Active Mode Assumptions'!H18))</f>
        <v>922.74072159113723</v>
      </c>
      <c r="I140" s="1">
        <f ca="1">I162*'Total Distance Tables Sup #1'!I140*(1+'Other Assumptions'!M$56)-(I137*'Active Mode Assumptions'!I9*'Active Mode Assumptions'!I15/(1+'Active Mode Assumptions'!I9))-(I138*'Active Mode Assumptions'!I18*'Active Mode Assumptions'!I24/(1+'Active Mode Assumptions'!I18))</f>
        <v>933.66987430109327</v>
      </c>
      <c r="J140" s="1">
        <f ca="1">J162*'Total Distance Tables Sup #1'!J140*(1+'Other Assumptions'!N$56)-(J137*'Active Mode Assumptions'!J9*'Active Mode Assumptions'!J15/(1+'Active Mode Assumptions'!J9))-(J138*'Active Mode Assumptions'!J18*'Active Mode Assumptions'!J24/(1+'Active Mode Assumptions'!J18))</f>
        <v>941.73148960402762</v>
      </c>
      <c r="K140" s="1">
        <f ca="1">K162*'Total Distance Tables Sup #1'!K140*(1+'Other Assumptions'!O$56)-(K137*'Active Mode Assumptions'!K9*'Active Mode Assumptions'!K15/(1+'Active Mode Assumptions'!K9))-(K138*'Active Mode Assumptions'!K18*'Active Mode Assumptions'!K24/(1+'Active Mode Assumptions'!K18))</f>
        <v>947.83074284835186</v>
      </c>
    </row>
    <row r="141" spans="1:11" x14ac:dyDescent="0.25">
      <c r="A141" t="str">
        <f ca="1">OFFSET(Otago_Reference,28,2)</f>
        <v>Taxi/Vehicle Share</v>
      </c>
      <c r="B141" s="4">
        <f ca="1">B163*'Total Distance Tables Sup #1'!B141*(1+'Other Assumptions'!D$56)</f>
        <v>7.2892681777000004</v>
      </c>
      <c r="C141" s="4">
        <f ca="1">C163*'Total Distance Tables Sup #1'!C141*(1+'Other Assumptions'!G$56)</f>
        <v>8.3620297645769632</v>
      </c>
      <c r="D141" s="4">
        <f ca="1">D163*'Total Distance Tables Sup #1'!D141*(1+'Other Assumptions'!H$56)</f>
        <v>9.2058885519763312</v>
      </c>
      <c r="E141" s="4">
        <f ca="1">E163*'Total Distance Tables Sup #1'!E141*(1+'Other Assumptions'!I$56)</f>
        <v>9.9172935833690712</v>
      </c>
      <c r="F141" s="4">
        <f ca="1">F163*'Total Distance Tables Sup #1'!F141*(1+'Other Assumptions'!J$56)</f>
        <v>10.515476275682646</v>
      </c>
      <c r="G141" s="4">
        <f ca="1">G163*'Total Distance Tables Sup #1'!G141*(1+'Other Assumptions'!K$56)</f>
        <v>10.945016373888159</v>
      </c>
      <c r="H141" s="4">
        <f ca="1">H163*'Total Distance Tables Sup #1'!H141*(1+'Other Assumptions'!L$56)</f>
        <v>11.33226647718579</v>
      </c>
      <c r="I141" s="1">
        <f ca="1">I163*'Total Distance Tables Sup #1'!I141*(1+'Other Assumptions'!M$56)</f>
        <v>11.421804547535308</v>
      </c>
      <c r="J141" s="1">
        <f ca="1">J163*'Total Distance Tables Sup #1'!J141*(1+'Other Assumptions'!N$56)</f>
        <v>11.475336060181869</v>
      </c>
      <c r="K141" s="1">
        <f ca="1">K163*'Total Distance Tables Sup #1'!K141*(1+'Other Assumptions'!O$56)</f>
        <v>11.504287036293093</v>
      </c>
    </row>
    <row r="142" spans="1:11" x14ac:dyDescent="0.25">
      <c r="A142" t="str">
        <f ca="1">OFFSET(Otago_Reference,35,2)</f>
        <v>Motorcyclist</v>
      </c>
      <c r="B142" s="4">
        <f ca="1">B164*'Total Distance Tables Sup #1'!B142*(1+'Other Assumptions'!D$56)</f>
        <v>18.503357486999999</v>
      </c>
      <c r="C142" s="4">
        <f ca="1">C164*'Total Distance Tables Sup #1'!C142*(1+'Other Assumptions'!G$56)</f>
        <v>20.370492088279526</v>
      </c>
      <c r="D142" s="4">
        <f ca="1">D164*'Total Distance Tables Sup #1'!D142*(1+'Other Assumptions'!H$56)</f>
        <v>21.311319661625419</v>
      </c>
      <c r="E142" s="4">
        <f ca="1">E164*'Total Distance Tables Sup #1'!E142*(1+'Other Assumptions'!I$56)</f>
        <v>21.669929483598906</v>
      </c>
      <c r="F142" s="4">
        <f ca="1">F164*'Total Distance Tables Sup #1'!F142*(1+'Other Assumptions'!J$56)</f>
        <v>21.803168475479886</v>
      </c>
      <c r="G142" s="4">
        <f ca="1">G164*'Total Distance Tables Sup #1'!G142*(1+'Other Assumptions'!K$56)</f>
        <v>21.551549703853581</v>
      </c>
      <c r="H142" s="4">
        <f ca="1">H164*'Total Distance Tables Sup #1'!H142*(1+'Other Assumptions'!L$56)</f>
        <v>21.187422428141943</v>
      </c>
      <c r="I142" s="1">
        <f ca="1">I164*'Total Distance Tables Sup #1'!I142*(1+'Other Assumptions'!M$56)</f>
        <v>21.547240712597162</v>
      </c>
      <c r="J142" s="1">
        <f ca="1">J164*'Total Distance Tables Sup #1'!J142*(1+'Other Assumptions'!N$56)</f>
        <v>21.844256634117514</v>
      </c>
      <c r="K142" s="1">
        <f ca="1">K164*'Total Distance Tables Sup #1'!K142*(1+'Other Assumptions'!O$56)</f>
        <v>22.098556898765267</v>
      </c>
    </row>
    <row r="143" spans="1:11" x14ac:dyDescent="0.25">
      <c r="A143" t="str">
        <f ca="1">OFFSET(Canterbury_Reference,42,2)</f>
        <v>Local Train</v>
      </c>
      <c r="B143" s="4">
        <f ca="1">B165*'Total Distance Tables Sup #1'!B143*(1+'Other Assumptions'!D$56)</f>
        <v>0</v>
      </c>
      <c r="C143" s="4">
        <f ca="1">C165*'Total Distance Tables Sup #1'!C143*(1+'Other Assumptions'!G$56)</f>
        <v>0</v>
      </c>
      <c r="D143" s="4">
        <f ca="1">D165*'Total Distance Tables Sup #1'!D143*(1+'Other Assumptions'!H$56)</f>
        <v>0</v>
      </c>
      <c r="E143" s="4">
        <f ca="1">E165*'Total Distance Tables Sup #1'!E143*(1+'Other Assumptions'!I$56)</f>
        <v>0</v>
      </c>
      <c r="F143" s="4">
        <f ca="1">F165*'Total Distance Tables Sup #1'!F143*(1+'Other Assumptions'!J$56)</f>
        <v>0</v>
      </c>
      <c r="G143" s="4">
        <f ca="1">G165*'Total Distance Tables Sup #1'!G143*(1+'Other Assumptions'!K$56)</f>
        <v>0</v>
      </c>
      <c r="H143" s="4">
        <f ca="1">H165*'Total Distance Tables Sup #1'!H143*(1+'Other Assumptions'!L$56)</f>
        <v>0</v>
      </c>
      <c r="I143" s="1">
        <f ca="1">I165*'Total Distance Tables Sup #1'!I143*(1+'Other Assumptions'!M$56)</f>
        <v>0</v>
      </c>
      <c r="J143" s="1">
        <f ca="1">J165*'Total Distance Tables Sup #1'!J143*(1+'Other Assumptions'!N$56)</f>
        <v>0</v>
      </c>
      <c r="K143" s="1">
        <f ca="1">K165*'Total Distance Tables Sup #1'!K143*(1+'Other Assumptions'!O$56)</f>
        <v>0</v>
      </c>
    </row>
    <row r="144" spans="1:11" x14ac:dyDescent="0.25">
      <c r="A144" t="str">
        <f ca="1">OFFSET(Otago_Reference,42,2)</f>
        <v>Local Bus</v>
      </c>
      <c r="B144" s="4">
        <f ca="1">B166*'Total Distance Tables Sup #1'!B144*(1+'Other Assumptions'!D$56)</f>
        <v>27.157477096000001</v>
      </c>
      <c r="C144" s="4">
        <f ca="1">C166*'Total Distance Tables Sup #1'!C144*(1+'Other Assumptions'!G$56)</f>
        <v>26.638546376406463</v>
      </c>
      <c r="D144" s="4">
        <f ca="1">D166*'Total Distance Tables Sup #1'!D144*(1+'Other Assumptions'!H$56)</f>
        <v>26.038588729835617</v>
      </c>
      <c r="E144" s="4">
        <f ca="1">E166*'Total Distance Tables Sup #1'!E144*(1+'Other Assumptions'!I$56)</f>
        <v>25.487341675821739</v>
      </c>
      <c r="F144" s="4">
        <f ca="1">F166*'Total Distance Tables Sup #1'!F144*(1+'Other Assumptions'!J$56)</f>
        <v>24.545941331801721</v>
      </c>
      <c r="G144" s="4">
        <f ca="1">G166*'Total Distance Tables Sup #1'!G144*(1+'Other Assumptions'!K$56)</f>
        <v>23.923929132862209</v>
      </c>
      <c r="H144" s="4">
        <f ca="1">H166*'Total Distance Tables Sup #1'!H144*(1+'Other Assumptions'!L$56)</f>
        <v>23.233742763089118</v>
      </c>
      <c r="I144" s="1">
        <f ca="1">I166*'Total Distance Tables Sup #1'!I144*(1+'Other Assumptions'!M$56)</f>
        <v>23.511557072877547</v>
      </c>
      <c r="J144" s="1">
        <f ca="1">J166*'Total Distance Tables Sup #1'!J144*(1+'Other Assumptions'!N$56)</f>
        <v>23.716923969911925</v>
      </c>
      <c r="K144" s="1">
        <f ca="1">K166*'Total Distance Tables Sup #1'!K144*(1+'Other Assumptions'!O$56)</f>
        <v>23.872628925823467</v>
      </c>
    </row>
    <row r="145" spans="1:11" x14ac:dyDescent="0.25">
      <c r="A145" t="str">
        <f ca="1">OFFSET(Wellington_Reference,56,2)</f>
        <v>Local Ferry</v>
      </c>
      <c r="B145" s="4">
        <f>B167*'Total Distance Tables Sup #1'!B145*(1+'Other Assumptions'!D$56)</f>
        <v>0</v>
      </c>
      <c r="C145" s="4">
        <f ca="1">C167*'Total Distance Tables Sup #1'!C145*(1+'Other Assumptions'!G$56)</f>
        <v>0</v>
      </c>
      <c r="D145" s="4">
        <f ca="1">D167*'Total Distance Tables Sup #1'!D145*(1+'Other Assumptions'!H$56)</f>
        <v>0</v>
      </c>
      <c r="E145" s="4">
        <f ca="1">E167*'Total Distance Tables Sup #1'!E145*(1+'Other Assumptions'!I$56)</f>
        <v>0</v>
      </c>
      <c r="F145" s="4">
        <f ca="1">F167*'Total Distance Tables Sup #1'!F145*(1+'Other Assumptions'!J$56)</f>
        <v>0</v>
      </c>
      <c r="G145" s="4">
        <f ca="1">G167*'Total Distance Tables Sup #1'!G145*(1+'Other Assumptions'!K$56)</f>
        <v>0</v>
      </c>
      <c r="H145" s="4">
        <f ca="1">H167*'Total Distance Tables Sup #1'!H145*(1+'Other Assumptions'!L$56)</f>
        <v>0</v>
      </c>
      <c r="I145" s="1">
        <f ca="1">I167*'Total Distance Tables Sup #1'!I145*(1+'Other Assumptions'!M$56)</f>
        <v>0</v>
      </c>
      <c r="J145" s="1">
        <f ca="1">J167*'Total Distance Tables Sup #1'!J145*(1+'Other Assumptions'!N$56)</f>
        <v>0</v>
      </c>
      <c r="K145" s="1">
        <f ca="1">K167*'Total Distance Tables Sup #1'!K145*(1+'Other Assumptions'!O$56)</f>
        <v>0</v>
      </c>
    </row>
    <row r="146" spans="1:11" x14ac:dyDescent="0.25">
      <c r="A146" t="str">
        <f ca="1">OFFSET(Otago_Reference,49,2)</f>
        <v>Other Household Travel</v>
      </c>
      <c r="B146" s="4">
        <f ca="1">B168*'Total Distance Tables Sup #1'!B146*(1+'Other Assumptions'!D$56)</f>
        <v>0</v>
      </c>
      <c r="C146" s="4">
        <f ca="1">C168*'Total Distance Tables Sup #1'!C146*(1+'Other Assumptions'!G$56)</f>
        <v>0</v>
      </c>
      <c r="D146" s="4">
        <f ca="1">D168*'Total Distance Tables Sup #1'!D146*(1+'Other Assumptions'!H$56)</f>
        <v>0</v>
      </c>
      <c r="E146" s="4">
        <f ca="1">E168*'Total Distance Tables Sup #1'!E146*(1+'Other Assumptions'!I$56)</f>
        <v>0</v>
      </c>
      <c r="F146" s="4">
        <f ca="1">F168*'Total Distance Tables Sup #1'!F146*(1+'Other Assumptions'!J$56)</f>
        <v>0</v>
      </c>
      <c r="G146" s="4">
        <f ca="1">G168*'Total Distance Tables Sup #1'!G146*(1+'Other Assumptions'!K$56)</f>
        <v>0</v>
      </c>
      <c r="H146" s="4">
        <f ca="1">H168*'Total Distance Tables Sup #1'!H146*(1+'Other Assumptions'!L$56)</f>
        <v>0</v>
      </c>
      <c r="I146" s="1">
        <f ca="1">I168*'Total Distance Tables Sup #1'!I146*(1+'Other Assumptions'!M$56)</f>
        <v>0</v>
      </c>
      <c r="J146" s="1">
        <f ca="1">J168*'Total Distance Tables Sup #1'!J146*(1+'Other Assumptions'!N$56)</f>
        <v>0</v>
      </c>
      <c r="K146" s="1">
        <f ca="1">K168*'Total Distance Tables Sup #1'!K146*(1+'Other Assumptions'!O$56)</f>
        <v>0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B159*'Total Distance Tables Sup #1'!B148*(1+'Other Assumptions'!D$57)*(1+'Active Mode Assumptions'!B9)</f>
        <v>8.8466785109000003</v>
      </c>
      <c r="C148" s="4">
        <f ca="1">C159*'Total Distance Tables Sup #1'!C148*(1+'Other Assumptions'!G$57)*(1+'Active Mode Assumptions'!C9)</f>
        <v>8.9895567964226473</v>
      </c>
      <c r="D148" s="4">
        <f ca="1">D159*'Total Distance Tables Sup #1'!D148*(1+'Other Assumptions'!H$57)*(1+'Active Mode Assumptions'!D9)</f>
        <v>9.4226553646893247</v>
      </c>
      <c r="E148" s="4">
        <f ca="1">E159*'Total Distance Tables Sup #1'!E148*(1+'Other Assumptions'!I$57)*(1+'Active Mode Assumptions'!E9)</f>
        <v>9.7444420804006064</v>
      </c>
      <c r="F148" s="4">
        <f ca="1">F159*'Total Distance Tables Sup #1'!F148*(1+'Other Assumptions'!J$57)*(1+'Active Mode Assumptions'!F9)</f>
        <v>9.9567719114347071</v>
      </c>
      <c r="G148" s="4">
        <f ca="1">G159*'Total Distance Tables Sup #1'!G148*(1+'Other Assumptions'!K$57)*(1+'Active Mode Assumptions'!G9)</f>
        <v>10.12226147786501</v>
      </c>
      <c r="H148" s="4">
        <f ca="1">H159*'Total Distance Tables Sup #1'!H148*(1+'Other Assumptions'!L$57)*(1+'Active Mode Assumptions'!H9)</f>
        <v>10.232190211893847</v>
      </c>
      <c r="I148" s="1">
        <f ca="1">I159*'Total Distance Tables Sup #1'!I148*(1+'Other Assumptions'!M$57)*(1+'Active Mode Assumptions'!I9)</f>
        <v>10.083131458773494</v>
      </c>
      <c r="J148" s="1">
        <f ca="1">J159*'Total Distance Tables Sup #1'!J148*(1+'Other Assumptions'!N$57)*(1+'Active Mode Assumptions'!J9)</f>
        <v>9.9047551651174306</v>
      </c>
      <c r="K148" s="1">
        <f ca="1">K159*'Total Distance Tables Sup #1'!K148*(1+'Other Assumptions'!O$57)*(1+'Active Mode Assumptions'!K9)</f>
        <v>9.7087619491244581</v>
      </c>
    </row>
    <row r="149" spans="1:11" x14ac:dyDescent="0.25">
      <c r="A149" t="str">
        <f ca="1">OFFSET(Southland_Reference,7,2)</f>
        <v>Cyclist</v>
      </c>
      <c r="B149" s="4">
        <f ca="1">B160*'Total Distance Tables Sup #1'!B149*(1+'Other Assumptions'!D$57)*(1+'Active Mode Assumptions'!B18)</f>
        <v>7.5402861329000004</v>
      </c>
      <c r="C149" s="4">
        <f ca="1">C160*'Total Distance Tables Sup #1'!C149*(1+'Other Assumptions'!G$57)*(1+'Active Mode Assumptions'!C18)</f>
        <v>7.9304416336064323</v>
      </c>
      <c r="D149" s="4">
        <f ca="1">D160*'Total Distance Tables Sup #1'!D149*(1+'Other Assumptions'!H$57)*(1+'Active Mode Assumptions'!D18)</f>
        <v>11.140011689963517</v>
      </c>
      <c r="E149" s="4">
        <f ca="1">E160*'Total Distance Tables Sup #1'!E149*(1+'Other Assumptions'!I$57)*(1+'Active Mode Assumptions'!E18)</f>
        <v>14.137971770051184</v>
      </c>
      <c r="F149" s="4">
        <f ca="1">F160*'Total Distance Tables Sup #1'!F149*(1+'Other Assumptions'!J$57)*(1+'Active Mode Assumptions'!F18)</f>
        <v>17.265852482199382</v>
      </c>
      <c r="G149" s="4">
        <f ca="1">G160*'Total Distance Tables Sup #1'!G149*(1+'Other Assumptions'!K$57)*(1+'Active Mode Assumptions'!G18)</f>
        <v>20.662401524003307</v>
      </c>
      <c r="H149" s="4">
        <f ca="1">H160*'Total Distance Tables Sup #1'!H149*(1+'Other Assumptions'!L$57)*(1+'Active Mode Assumptions'!H18)</f>
        <v>24.125943504031255</v>
      </c>
      <c r="I149" s="1">
        <f ca="1">I160*'Total Distance Tables Sup #1'!I149*(1+'Other Assumptions'!M$57)*(1+'Active Mode Assumptions'!I18)</f>
        <v>23.886183234541463</v>
      </c>
      <c r="J149" s="1">
        <f ca="1">J160*'Total Distance Tables Sup #1'!J149*(1+'Other Assumptions'!N$57)*(1+'Active Mode Assumptions'!J18)</f>
        <v>23.57493344659634</v>
      </c>
      <c r="K149" s="1">
        <f ca="1">K160*'Total Distance Tables Sup #1'!K149*(1+'Other Assumptions'!O$57)*(1+'Active Mode Assumptions'!K18)</f>
        <v>23.219092648288065</v>
      </c>
    </row>
    <row r="150" spans="1:11" x14ac:dyDescent="0.25">
      <c r="A150" t="str">
        <f ca="1">OFFSET(Southland_Reference,14,2)</f>
        <v>Light Vehicle Driver</v>
      </c>
      <c r="B150" s="4">
        <f ca="1">B161*'Total Distance Tables Sup #1'!B150*(1+'Other Assumptions'!D$57)-(B148*'Active Mode Assumptions'!B9*'Active Mode Assumptions'!B14/(1+'Active Mode Assumptions'!B9))-(B149*'Active Mode Assumptions'!B18*'Active Mode Assumptions'!B23/(1+'Active Mode Assumptions'!B18))</f>
        <v>657.74873722999996</v>
      </c>
      <c r="C150" s="4">
        <f ca="1">C161*'Total Distance Tables Sup #1'!C150*(1+'Other Assumptions'!G$57)-(C148*'Active Mode Assumptions'!C9*'Active Mode Assumptions'!C14/(1+'Active Mode Assumptions'!C9))-(C149*'Active Mode Assumptions'!C18*'Active Mode Assumptions'!C23/(1+'Active Mode Assumptions'!C18))</f>
        <v>691.79523843088782</v>
      </c>
      <c r="D150" s="4">
        <f ca="1">D161*'Total Distance Tables Sup #1'!D150*(1+'Other Assumptions'!H$57)-(D148*'Active Mode Assumptions'!D9*'Active Mode Assumptions'!D14/(1+'Active Mode Assumptions'!D9))-(D149*'Active Mode Assumptions'!D18*'Active Mode Assumptions'!D23/(1+'Active Mode Assumptions'!D18))</f>
        <v>698.59601379690139</v>
      </c>
      <c r="E150" s="4">
        <f ca="1">E161*'Total Distance Tables Sup #1'!E150*(1+'Other Assumptions'!I$57)-(E148*'Active Mode Assumptions'!E9*'Active Mode Assumptions'!E14/(1+'Active Mode Assumptions'!E9))-(E149*'Active Mode Assumptions'!E18*'Active Mode Assumptions'!E23/(1+'Active Mode Assumptions'!E18))</f>
        <v>705.53586181035519</v>
      </c>
      <c r="F150" s="4">
        <f ca="1">F161*'Total Distance Tables Sup #1'!F150*(1+'Other Assumptions'!J$57)-(F148*'Active Mode Assumptions'!F9*'Active Mode Assumptions'!F14/(1+'Active Mode Assumptions'!F9))-(F149*'Active Mode Assumptions'!F18*'Active Mode Assumptions'!F23/(1+'Active Mode Assumptions'!F18))</f>
        <v>708.73904178820055</v>
      </c>
      <c r="G150" s="4">
        <f ca="1">G161*'Total Distance Tables Sup #1'!G150*(1+'Other Assumptions'!K$57)-(G148*'Active Mode Assumptions'!G9*'Active Mode Assumptions'!G14/(1+'Active Mode Assumptions'!G9))-(G149*'Active Mode Assumptions'!G18*'Active Mode Assumptions'!G23/(1+'Active Mode Assumptions'!G18))</f>
        <v>703.78069974553819</v>
      </c>
      <c r="H150" s="4">
        <f ca="1">H161*'Total Distance Tables Sup #1'!H150*(1+'Other Assumptions'!L$57)-(H148*'Active Mode Assumptions'!H9*'Active Mode Assumptions'!H14/(1+'Active Mode Assumptions'!H9))-(H149*'Active Mode Assumptions'!H18*'Active Mode Assumptions'!H23/(1+'Active Mode Assumptions'!H18))</f>
        <v>695.55193172607449</v>
      </c>
      <c r="I150" s="1">
        <f ca="1">I161*'Total Distance Tables Sup #1'!I150*(1+'Other Assumptions'!M$57)-(I148*'Active Mode Assumptions'!I9*'Active Mode Assumptions'!I14/(1+'Active Mode Assumptions'!I9))-(I149*'Active Mode Assumptions'!I18*'Active Mode Assumptions'!I23/(1+'Active Mode Assumptions'!I18))</f>
        <v>686.73990289931135</v>
      </c>
      <c r="J150" s="1">
        <f ca="1">J161*'Total Distance Tables Sup #1'!J150*(1+'Other Assumptions'!N$57)-(J148*'Active Mode Assumptions'!J9*'Active Mode Assumptions'!J14/(1+'Active Mode Assumptions'!J9))-(J149*'Active Mode Assumptions'!J18*'Active Mode Assumptions'!J23/(1+'Active Mode Assumptions'!J18))</f>
        <v>675.88629436498036</v>
      </c>
      <c r="K150" s="1">
        <f ca="1">K161*'Total Distance Tables Sup #1'!K150*(1+'Other Assumptions'!O$57)-(K148*'Active Mode Assumptions'!K9*'Active Mode Assumptions'!K14/(1+'Active Mode Assumptions'!K9))-(K149*'Active Mode Assumptions'!K18*'Active Mode Assumptions'!K23/(1+'Active Mode Assumptions'!K18))</f>
        <v>663.77938141926415</v>
      </c>
    </row>
    <row r="151" spans="1:11" x14ac:dyDescent="0.25">
      <c r="A151" t="str">
        <f ca="1">OFFSET(Southland_Reference,21,2)</f>
        <v>Light Vehicle Passenger</v>
      </c>
      <c r="B151" s="4">
        <f ca="1">B162*'Total Distance Tables Sup #1'!B151*(1+'Other Assumptions'!D$57)-(B148*'Active Mode Assumptions'!B9*'Active Mode Assumptions'!B15/(1+'Active Mode Assumptions'!B9))-(B149*'Active Mode Assumptions'!B18*'Active Mode Assumptions'!B24/(1+'Active Mode Assumptions'!B18))</f>
        <v>380.70733008000002</v>
      </c>
      <c r="C151" s="4">
        <f ca="1">C162*'Total Distance Tables Sup #1'!C151*(1+'Other Assumptions'!G$57)-(C148*'Active Mode Assumptions'!C9*'Active Mode Assumptions'!C15/(1+'Active Mode Assumptions'!C9))-(C149*'Active Mode Assumptions'!C18*'Active Mode Assumptions'!C24/(1+'Active Mode Assumptions'!C18))</f>
        <v>385.21876571124238</v>
      </c>
      <c r="D151" s="4">
        <f ca="1">D162*'Total Distance Tables Sup #1'!D151*(1+'Other Assumptions'!H$57)-(D148*'Active Mode Assumptions'!D9*'Active Mode Assumptions'!D15/(1+'Active Mode Assumptions'!D9))-(D149*'Active Mode Assumptions'!D18*'Active Mode Assumptions'!D24/(1+'Active Mode Assumptions'!D18))</f>
        <v>380.31937094408977</v>
      </c>
      <c r="E151" s="4">
        <f ca="1">E162*'Total Distance Tables Sup #1'!E151*(1+'Other Assumptions'!I$57)-(E148*'Active Mode Assumptions'!E9*'Active Mode Assumptions'!E15/(1+'Active Mode Assumptions'!E9))-(E149*'Active Mode Assumptions'!E18*'Active Mode Assumptions'!E24/(1+'Active Mode Assumptions'!E18))</f>
        <v>375.85642499886819</v>
      </c>
      <c r="F151" s="4">
        <f ca="1">F162*'Total Distance Tables Sup #1'!F151*(1+'Other Assumptions'!J$57)-(F148*'Active Mode Assumptions'!F9*'Active Mode Assumptions'!F15/(1+'Active Mode Assumptions'!F9))-(F149*'Active Mode Assumptions'!F18*'Active Mode Assumptions'!F24/(1+'Active Mode Assumptions'!F18))</f>
        <v>368.85813678048322</v>
      </c>
      <c r="G151" s="4">
        <f ca="1">G162*'Total Distance Tables Sup #1'!G151*(1+'Other Assumptions'!K$57)-(G148*'Active Mode Assumptions'!G9*'Active Mode Assumptions'!G15/(1+'Active Mode Assumptions'!G9))-(G149*'Active Mode Assumptions'!G18*'Active Mode Assumptions'!G24/(1+'Active Mode Assumptions'!G18))</f>
        <v>359.38769286498291</v>
      </c>
      <c r="H151" s="4">
        <f ca="1">H162*'Total Distance Tables Sup #1'!H151*(1+'Other Assumptions'!L$57)-(H148*'Active Mode Assumptions'!H9*'Active Mode Assumptions'!H15/(1+'Active Mode Assumptions'!H9))-(H149*'Active Mode Assumptions'!H18*'Active Mode Assumptions'!H24/(1+'Active Mode Assumptions'!H18))</f>
        <v>348.42698920132159</v>
      </c>
      <c r="I151" s="1">
        <f ca="1">I162*'Total Distance Tables Sup #1'!I151*(1+'Other Assumptions'!M$57)-(I148*'Active Mode Assumptions'!I9*'Active Mode Assumptions'!I15/(1+'Active Mode Assumptions'!I9))-(I149*'Active Mode Assumptions'!I18*'Active Mode Assumptions'!I24/(1+'Active Mode Assumptions'!I18))</f>
        <v>344.39204688879528</v>
      </c>
      <c r="J151" s="1">
        <f ca="1">J162*'Total Distance Tables Sup #1'!J151*(1+'Other Assumptions'!N$57)-(J148*'Active Mode Assumptions'!J9*'Active Mode Assumptions'!J15/(1+'Active Mode Assumptions'!J9))-(J149*'Active Mode Assumptions'!J18*'Active Mode Assumptions'!J24/(1+'Active Mode Assumptions'!J18))</f>
        <v>339.32396322987591</v>
      </c>
      <c r="K151" s="1">
        <f ca="1">K162*'Total Distance Tables Sup #1'!K151*(1+'Other Assumptions'!O$57)-(K148*'Active Mode Assumptions'!K9*'Active Mode Assumptions'!K15/(1+'Active Mode Assumptions'!K9))-(K149*'Active Mode Assumptions'!K18*'Active Mode Assumptions'!K24/(1+'Active Mode Assumptions'!K18))</f>
        <v>333.61525809938985</v>
      </c>
    </row>
    <row r="152" spans="1:11" x14ac:dyDescent="0.25">
      <c r="A152" t="str">
        <f ca="1">OFFSET(Southland_Reference,28,2)</f>
        <v>Taxi/Vehicle Share</v>
      </c>
      <c r="B152" s="4">
        <f ca="1">B163*'Total Distance Tables Sup #1'!B152*(1+'Other Assumptions'!D$57)</f>
        <v>1.2430116738999999</v>
      </c>
      <c r="C152" s="4">
        <f ca="1">C163*'Total Distance Tables Sup #1'!C152*(1+'Other Assumptions'!G$57)</f>
        <v>1.3625422686165463</v>
      </c>
      <c r="D152" s="4">
        <f ca="1">D163*'Total Distance Tables Sup #1'!D152*(1+'Other Assumptions'!H$57)</f>
        <v>1.4482326276305981</v>
      </c>
      <c r="E152" s="4">
        <f ca="1">E163*'Total Distance Tables Sup #1'!E152*(1+'Other Assumptions'!I$57)</f>
        <v>1.52465616589808</v>
      </c>
      <c r="F152" s="4">
        <f ca="1">F163*'Total Distance Tables Sup #1'!F152*(1+'Other Assumptions'!J$57)</f>
        <v>1.5801588549085179</v>
      </c>
      <c r="G152" s="4">
        <f ca="1">G163*'Total Distance Tables Sup #1'!G152*(1+'Other Assumptions'!K$57)</f>
        <v>1.606429659191686</v>
      </c>
      <c r="H152" s="4">
        <f ca="1">H163*'Total Distance Tables Sup #1'!H152*(1+'Other Assumptions'!L$57)</f>
        <v>1.6247739021850423</v>
      </c>
      <c r="I152" s="1">
        <f ca="1">I163*'Total Distance Tables Sup #1'!I152*(1+'Other Assumptions'!M$57)</f>
        <v>1.599711763707804</v>
      </c>
      <c r="J152" s="1">
        <f ca="1">J163*'Total Distance Tables Sup #1'!J152*(1+'Other Assumptions'!N$57)</f>
        <v>1.5700131330286484</v>
      </c>
      <c r="K152" s="1">
        <f ca="1">K163*'Total Distance Tables Sup #1'!K152*(1+'Other Assumptions'!O$57)</f>
        <v>1.5375471386377526</v>
      </c>
    </row>
    <row r="153" spans="1:11" x14ac:dyDescent="0.25">
      <c r="A153" t="str">
        <f ca="1">OFFSET(Southland_Reference,35,2)</f>
        <v>Motorcyclist</v>
      </c>
      <c r="B153" s="4">
        <f ca="1">B164*'Total Distance Tables Sup #1'!B153*(1+'Other Assumptions'!D$57)</f>
        <v>18.926640866</v>
      </c>
      <c r="C153" s="4">
        <f ca="1">C164*'Total Distance Tables Sup #1'!C153*(1+'Other Assumptions'!G$57)</f>
        <v>19.910011831918592</v>
      </c>
      <c r="D153" s="4">
        <f ca="1">D164*'Total Distance Tables Sup #1'!D153*(1+'Other Assumptions'!H$57)</f>
        <v>20.110120879542311</v>
      </c>
      <c r="E153" s="4">
        <f ca="1">E164*'Total Distance Tables Sup #1'!E153*(1+'Other Assumptions'!I$57)</f>
        <v>19.983334849904633</v>
      </c>
      <c r="F153" s="4">
        <f ca="1">F164*'Total Distance Tables Sup #1'!F153*(1+'Other Assumptions'!J$57)</f>
        <v>19.652741195337317</v>
      </c>
      <c r="G153" s="4">
        <f ca="1">G164*'Total Distance Tables Sup #1'!G153*(1+'Other Assumptions'!K$57)</f>
        <v>18.973852741894468</v>
      </c>
      <c r="H153" s="4">
        <f ca="1">H164*'Total Distance Tables Sup #1'!H153*(1+'Other Assumptions'!L$57)</f>
        <v>18.221578855933302</v>
      </c>
      <c r="I153" s="1">
        <f ca="1">I164*'Total Distance Tables Sup #1'!I153*(1+'Other Assumptions'!M$57)</f>
        <v>18.102160065035214</v>
      </c>
      <c r="J153" s="1">
        <f ca="1">J164*'Total Distance Tables Sup #1'!J153*(1+'Other Assumptions'!N$57)</f>
        <v>17.926968921169593</v>
      </c>
      <c r="K153" s="1">
        <f ca="1">K164*'Total Distance Tables Sup #1'!K153*(1+'Other Assumptions'!O$57)</f>
        <v>17.715946796993233</v>
      </c>
    </row>
    <row r="154" spans="1:11" x14ac:dyDescent="0.25">
      <c r="A154" t="str">
        <f ca="1">OFFSET(Canterbury_Reference,42,2)</f>
        <v>Local Train</v>
      </c>
      <c r="B154" s="4">
        <f ca="1">B165*'Total Distance Tables Sup #1'!B154*(1+'Other Assumptions'!D$57)</f>
        <v>0</v>
      </c>
      <c r="C154" s="4">
        <f ca="1">C165*'Total Distance Tables Sup #1'!C154*(1+'Other Assumptions'!G$57)</f>
        <v>0</v>
      </c>
      <c r="D154" s="4">
        <f ca="1">D165*'Total Distance Tables Sup #1'!D154*(1+'Other Assumptions'!H$57)</f>
        <v>0</v>
      </c>
      <c r="E154" s="4">
        <f ca="1">E165*'Total Distance Tables Sup #1'!E154*(1+'Other Assumptions'!I$57)</f>
        <v>0</v>
      </c>
      <c r="F154" s="4">
        <f ca="1">F165*'Total Distance Tables Sup #1'!F154*(1+'Other Assumptions'!J$57)</f>
        <v>0</v>
      </c>
      <c r="G154" s="4">
        <f ca="1">G165*'Total Distance Tables Sup #1'!G154*(1+'Other Assumptions'!K$57)</f>
        <v>0</v>
      </c>
      <c r="H154" s="4">
        <f ca="1">H165*'Total Distance Tables Sup #1'!H154*(1+'Other Assumptions'!L$57)</f>
        <v>0</v>
      </c>
      <c r="I154" s="1">
        <f ca="1">I165*'Total Distance Tables Sup #1'!I154*(1+'Other Assumptions'!M$57)</f>
        <v>0</v>
      </c>
      <c r="J154" s="1">
        <f ca="1">J165*'Total Distance Tables Sup #1'!J154*(1+'Other Assumptions'!N$57)</f>
        <v>0</v>
      </c>
      <c r="K154" s="1">
        <f ca="1">K165*'Total Distance Tables Sup #1'!K154*(1+'Other Assumptions'!O$57)</f>
        <v>0</v>
      </c>
    </row>
    <row r="155" spans="1:11" x14ac:dyDescent="0.25">
      <c r="A155" t="str">
        <f ca="1">OFFSET(Southland_Reference,42,2)</f>
        <v>Local Bus</v>
      </c>
      <c r="B155" s="4">
        <f ca="1">B166*'Total Distance Tables Sup #1'!B155*(1+'Other Assumptions'!D$57)</f>
        <v>30.182609224</v>
      </c>
      <c r="C155" s="4">
        <f ca="1">C166*'Total Distance Tables Sup #1'!C155*(1+'Other Assumptions'!G$57)</f>
        <v>28.289474308517686</v>
      </c>
      <c r="D155" s="4">
        <f ca="1">D166*'Total Distance Tables Sup #1'!D155*(1+'Other Assumptions'!H$57)</f>
        <v>26.697225937052178</v>
      </c>
      <c r="E155" s="4">
        <f ca="1">E166*'Total Distance Tables Sup #1'!E155*(1+'Other Assumptions'!I$57)</f>
        <v>25.537557981164589</v>
      </c>
      <c r="F155" s="4">
        <f ca="1">F166*'Total Distance Tables Sup #1'!F155*(1+'Other Assumptions'!J$57)</f>
        <v>24.039618611301517</v>
      </c>
      <c r="G155" s="4">
        <f ca="1">G166*'Total Distance Tables Sup #1'!G155*(1+'Other Assumptions'!K$57)</f>
        <v>22.885156444317875</v>
      </c>
      <c r="H155" s="4">
        <f ca="1">H166*'Total Distance Tables Sup #1'!H155*(1+'Other Assumptions'!L$57)</f>
        <v>21.710579362788</v>
      </c>
      <c r="I155" s="1">
        <f ca="1">I166*'Total Distance Tables Sup #1'!I155*(1+'Other Assumptions'!M$57)</f>
        <v>21.461718097426509</v>
      </c>
      <c r="J155" s="1">
        <f ca="1">J166*'Total Distance Tables Sup #1'!J155*(1+'Other Assumptions'!N$57)</f>
        <v>21.148146676229977</v>
      </c>
      <c r="K155" s="1">
        <f ca="1">K166*'Total Distance Tables Sup #1'!K155*(1+'Other Assumptions'!O$57)</f>
        <v>20.794336042112015</v>
      </c>
    </row>
    <row r="156" spans="1:11" x14ac:dyDescent="0.25">
      <c r="A156" t="str">
        <f ca="1">OFFSET(Wellington_Reference,56,2)</f>
        <v>Local Ferry</v>
      </c>
      <c r="B156" s="4">
        <f>B167*'Total Distance Tables Sup #1'!B156*(1+'Other Assumptions'!D$57)</f>
        <v>0</v>
      </c>
      <c r="C156" s="4">
        <f ca="1">C167*'Total Distance Tables Sup #1'!C156*(1+'Other Assumptions'!G$57)</f>
        <v>0</v>
      </c>
      <c r="D156" s="4">
        <f ca="1">D167*'Total Distance Tables Sup #1'!D156*(1+'Other Assumptions'!H$57)</f>
        <v>0</v>
      </c>
      <c r="E156" s="4">
        <f ca="1">E167*'Total Distance Tables Sup #1'!E156*(1+'Other Assumptions'!I$57)</f>
        <v>0</v>
      </c>
      <c r="F156" s="4">
        <f ca="1">F167*'Total Distance Tables Sup #1'!F156*(1+'Other Assumptions'!J$57)</f>
        <v>0</v>
      </c>
      <c r="G156" s="4">
        <f ca="1">G167*'Total Distance Tables Sup #1'!G156*(1+'Other Assumptions'!K$57)</f>
        <v>0</v>
      </c>
      <c r="H156" s="4">
        <f ca="1">H167*'Total Distance Tables Sup #1'!H156*(1+'Other Assumptions'!L$57)</f>
        <v>0</v>
      </c>
      <c r="I156" s="1">
        <f ca="1">I167*'Total Distance Tables Sup #1'!I156*(1+'Other Assumptions'!M$57)</f>
        <v>0</v>
      </c>
      <c r="J156" s="1">
        <f ca="1">J167*'Total Distance Tables Sup #1'!J156*(1+'Other Assumptions'!N$57)</f>
        <v>0</v>
      </c>
      <c r="K156" s="1">
        <f ca="1">K167*'Total Distance Tables Sup #1'!K156*(1+'Other Assumptions'!O$57)</f>
        <v>0</v>
      </c>
    </row>
    <row r="157" spans="1:11" x14ac:dyDescent="0.25">
      <c r="A157" t="str">
        <f ca="1">OFFSET(Southland_Reference,49,2)</f>
        <v>Other Household Travel</v>
      </c>
      <c r="B157" s="4">
        <f ca="1">B168*'Total Distance Tables Sup #1'!B157*(1+'Other Assumptions'!D$57)</f>
        <v>0</v>
      </c>
      <c r="C157" s="4">
        <f ca="1">C168*'Total Distance Tables Sup #1'!C157*(1+'Other Assumptions'!G$57)</f>
        <v>0</v>
      </c>
      <c r="D157" s="4">
        <f ca="1">D168*'Total Distance Tables Sup #1'!D157*(1+'Other Assumptions'!H$57)</f>
        <v>0</v>
      </c>
      <c r="E157" s="4">
        <f ca="1">E168*'Total Distance Tables Sup #1'!E157*(1+'Other Assumptions'!I$57)</f>
        <v>0</v>
      </c>
      <c r="F157" s="4">
        <f ca="1">F168*'Total Distance Tables Sup #1'!F157*(1+'Other Assumptions'!J$57)</f>
        <v>0</v>
      </c>
      <c r="G157" s="4">
        <f ca="1">G168*'Total Distance Tables Sup #1'!G157*(1+'Other Assumptions'!K$57)</f>
        <v>0</v>
      </c>
      <c r="H157" s="4">
        <f ca="1">H168*'Total Distance Tables Sup #1'!H157*(1+'Other Assumptions'!L$57)</f>
        <v>0</v>
      </c>
      <c r="I157" s="1">
        <f ca="1">I168*'Total Distance Tables Sup #1'!I157*(1+'Other Assumptions'!M$57)</f>
        <v>0</v>
      </c>
      <c r="J157" s="1">
        <f ca="1">J168*'Total Distance Tables Sup #1'!J157*(1+'Other Assumptions'!N$57)</f>
        <v>0</v>
      </c>
      <c r="K157" s="1">
        <f ca="1">K168*'Total Distance Tables Sup #1'!K157*(1+'Other Assumptions'!O$57)</f>
        <v>0</v>
      </c>
    </row>
    <row r="158" spans="1:11" x14ac:dyDescent="0.25">
      <c r="A158" t="s">
        <v>18</v>
      </c>
    </row>
    <row r="159" spans="1:11" x14ac:dyDescent="0.25">
      <c r="A159" t="str">
        <f ca="1">'Total Distance Tables'!A16</f>
        <v>Pedestrian</v>
      </c>
      <c r="B159" s="58">
        <f ca="1">('Total Distance Tables Sup #1'!B170*'Updated Population'!B$158)/('Total Distance Tables Sup #1'!B159*1000000)</f>
        <v>1</v>
      </c>
      <c r="C159" s="58">
        <f ca="1">('Total Distance Tables Sup #1'!C170*'Updated Population'!C$158)/('Total Distance Tables Sup #1'!C159*1000000)</f>
        <v>0.99812776489164712</v>
      </c>
      <c r="D159" s="58">
        <f ca="1">('Total Distance Tables Sup #1'!D170*'Updated Population'!D$158)/('Total Distance Tables Sup #1'!D159*1000000)</f>
        <v>0.99642109772174803</v>
      </c>
      <c r="E159" s="58">
        <f ca="1">('Total Distance Tables Sup #1'!E170*'Updated Population'!E$158)/('Total Distance Tables Sup #1'!E159*1000000)</f>
        <v>0.99516108553650751</v>
      </c>
      <c r="F159" s="58">
        <f ca="1">('Total Distance Tables Sup #1'!F170*'Updated Population'!F$158)/('Total Distance Tables Sup #1'!F159*1000000)</f>
        <v>0.99387856791886575</v>
      </c>
      <c r="G159" s="58">
        <f ca="1">('Total Distance Tables Sup #1'!G170*'Updated Population'!G$158)/('Total Distance Tables Sup #1'!G159*1000000)</f>
        <v>0.99261699755625943</v>
      </c>
      <c r="H159" s="58">
        <f ca="1">('Total Distance Tables Sup #1'!H170*'Updated Population'!H$158)/('Total Distance Tables Sup #1'!H159*1000000)</f>
        <v>0.99142382210105939</v>
      </c>
      <c r="I159" s="58">
        <f ca="1">('Total Distance Tables Sup #1'!I170*'Updated Population'!I$158)/('Total Distance Tables Sup #1'!I159*1000000)</f>
        <v>0.99024606745298316</v>
      </c>
      <c r="J159" s="58">
        <f ca="1">('Total Distance Tables Sup #1'!J170*'Updated Population'!J$158)/('Total Distance Tables Sup #1'!J159*1000000)</f>
        <v>0.98908367266096497</v>
      </c>
      <c r="K159" s="58">
        <f ca="1">('Total Distance Tables Sup #1'!K170*'Updated Population'!K$158)/('Total Distance Tables Sup #1'!K159*1000000)</f>
        <v>0.98793657271149804</v>
      </c>
    </row>
    <row r="160" spans="1:11" x14ac:dyDescent="0.25">
      <c r="A160" t="str">
        <f ca="1">'Total Distance Tables'!A17</f>
        <v>Cyclist</v>
      </c>
      <c r="B160" s="58">
        <f ca="1">('Total Distance Tables Sup #1'!B171*'Updated Population'!B$158)/('Total Distance Tables Sup #1'!B160*1000000)</f>
        <v>1</v>
      </c>
      <c r="C160" s="58">
        <f ca="1">('Total Distance Tables Sup #1'!C171*'Updated Population'!C$158)/('Total Distance Tables Sup #1'!C160*1000000)</f>
        <v>1.0055613670358448</v>
      </c>
      <c r="D160" s="58">
        <f ca="1">('Total Distance Tables Sup #1'!D171*'Updated Population'!D$158)/('Total Distance Tables Sup #1'!D160*1000000)</f>
        <v>1.0105677586510022</v>
      </c>
      <c r="E160" s="58">
        <f ca="1">('Total Distance Tables Sup #1'!E171*'Updated Population'!E$158)/('Total Distance Tables Sup #1'!E160*1000000)</f>
        <v>1.0152096817040834</v>
      </c>
      <c r="F160" s="58">
        <f ca="1">('Total Distance Tables Sup #1'!F171*'Updated Population'!F$158)/('Total Distance Tables Sup #1'!F160*1000000)</f>
        <v>1.0192883471140508</v>
      </c>
      <c r="G160" s="58">
        <f ca="1">('Total Distance Tables Sup #1'!G171*'Updated Population'!G$158)/('Total Distance Tables Sup #1'!G160*1000000)</f>
        <v>1.0229294494098571</v>
      </c>
      <c r="H160" s="58">
        <f ca="1">('Total Distance Tables Sup #1'!H171*'Updated Population'!H$158)/('Total Distance Tables Sup #1'!H160*1000000)</f>
        <v>1.0264521122266694</v>
      </c>
      <c r="I160" s="58">
        <f ca="1">('Total Distance Tables Sup #1'!I171*'Updated Population'!I$158)/('Total Distance Tables Sup #1'!I160*1000000)</f>
        <v>1.0300495048728842</v>
      </c>
      <c r="J160" s="58">
        <f ca="1">('Total Distance Tables Sup #1'!J171*'Updated Population'!J$158)/('Total Distance Tables Sup #1'!J160*1000000)</f>
        <v>1.0337211560112449</v>
      </c>
      <c r="K160" s="58">
        <f ca="1">('Total Distance Tables Sup #1'!K171*'Updated Population'!K$158)/('Total Distance Tables Sup #1'!K160*1000000)</f>
        <v>1.0374665328707255</v>
      </c>
    </row>
    <row r="161" spans="1:11" x14ac:dyDescent="0.25">
      <c r="A161" t="str">
        <f ca="1">'Total Distance Tables'!A18</f>
        <v>Light Vehicle Driver</v>
      </c>
      <c r="B161" s="58">
        <f ca="1">('Total Distance Tables Sup #1'!B172*'Updated Population'!B$158)/('Total Distance Tables Sup #1'!B161*1000000)</f>
        <v>1</v>
      </c>
      <c r="C161" s="58">
        <f ca="1">('Total Distance Tables Sup #1'!C172*'Updated Population'!C$158)/('Total Distance Tables Sup #1'!C161*1000000)</f>
        <v>1.0013168773216528</v>
      </c>
      <c r="D161" s="58">
        <f ca="1">('Total Distance Tables Sup #1'!D172*'Updated Population'!D$158)/('Total Distance Tables Sup #1'!D161*1000000)</f>
        <v>1.0025574462363438</v>
      </c>
      <c r="E161" s="58">
        <f ca="1">('Total Distance Tables Sup #1'!E172*'Updated Population'!E$158)/('Total Distance Tables Sup #1'!E161*1000000)</f>
        <v>1.0034372475879862</v>
      </c>
      <c r="F161" s="58">
        <f ca="1">('Total Distance Tables Sup #1'!F172*'Updated Population'!F$158)/('Total Distance Tables Sup #1'!F161*1000000)</f>
        <v>1.0042712092750679</v>
      </c>
      <c r="G161" s="58">
        <f ca="1">('Total Distance Tables Sup #1'!G172*'Updated Population'!G$158)/('Total Distance Tables Sup #1'!G161*1000000)</f>
        <v>1.005052654493543</v>
      </c>
      <c r="H161" s="58">
        <f ca="1">('Total Distance Tables Sup #1'!H172*'Updated Population'!H$158)/('Total Distance Tables Sup #1'!H161*1000000)</f>
        <v>1.0057987135235575</v>
      </c>
      <c r="I161" s="58">
        <f ca="1">('Total Distance Tables Sup #1'!I172*'Updated Population'!I$158)/('Total Distance Tables Sup #1'!I161*1000000)</f>
        <v>1.0065536886977655</v>
      </c>
      <c r="J161" s="58">
        <f ca="1">('Total Distance Tables Sup #1'!J172*'Updated Population'!J$158)/('Total Distance Tables Sup #1'!J161*1000000)</f>
        <v>1.007317181713393</v>
      </c>
      <c r="K161" s="58">
        <f ca="1">('Total Distance Tables Sup #1'!K172*'Updated Population'!K$158)/('Total Distance Tables Sup #1'!K161*1000000)</f>
        <v>1.0080887860570977</v>
      </c>
    </row>
    <row r="162" spans="1:11" x14ac:dyDescent="0.25">
      <c r="A162" t="str">
        <f ca="1">'Total Distance Tables'!A19</f>
        <v>Light Vehicle Passenger</v>
      </c>
      <c r="B162" s="58">
        <f ca="1">('Total Distance Tables Sup #1'!B173*'Updated Population'!B$158)/('Total Distance Tables Sup #1'!B162*1000000)</f>
        <v>1</v>
      </c>
      <c r="C162" s="58">
        <f ca="1">('Total Distance Tables Sup #1'!C173*'Updated Population'!C$158)/('Total Distance Tables Sup #1'!C162*1000000)</f>
        <v>1.0033646790372444</v>
      </c>
      <c r="D162" s="58">
        <f ca="1">('Total Distance Tables Sup #1'!D173*'Updated Population'!D$158)/('Total Distance Tables Sup #1'!D162*1000000)</f>
        <v>1.0061852296677503</v>
      </c>
      <c r="E162" s="58">
        <f ca="1">('Total Distance Tables Sup #1'!E173*'Updated Population'!E$158)/('Total Distance Tables Sup #1'!E162*1000000)</f>
        <v>1.0083340111866661</v>
      </c>
      <c r="F162" s="58">
        <f ca="1">('Total Distance Tables Sup #1'!F173*'Updated Population'!F$158)/('Total Distance Tables Sup #1'!F162*1000000)</f>
        <v>1.0103812159988854</v>
      </c>
      <c r="G162" s="58">
        <f ca="1">('Total Distance Tables Sup #1'!G173*'Updated Population'!G$158)/('Total Distance Tables Sup #1'!G162*1000000)</f>
        <v>1.0123203604201794</v>
      </c>
      <c r="H162" s="58">
        <f ca="1">('Total Distance Tables Sup #1'!H173*'Updated Population'!H$158)/('Total Distance Tables Sup #1'!H162*1000000)</f>
        <v>1.0141842040852287</v>
      </c>
      <c r="I162" s="58">
        <f ca="1">('Total Distance Tables Sup #1'!I173*'Updated Population'!I$158)/('Total Distance Tables Sup #1'!I162*1000000)</f>
        <v>1.0160641891855422</v>
      </c>
      <c r="J162" s="58">
        <f ca="1">('Total Distance Tables Sup #1'!J173*'Updated Population'!J$158)/('Total Distance Tables Sup #1'!J162*1000000)</f>
        <v>1.0179593676788672</v>
      </c>
      <c r="K162" s="58">
        <f ca="1">('Total Distance Tables Sup #1'!K173*'Updated Population'!K$158)/('Total Distance Tables Sup #1'!K162*1000000)</f>
        <v>1.0198687751414879</v>
      </c>
    </row>
    <row r="163" spans="1:11" x14ac:dyDescent="0.25">
      <c r="A163" t="str">
        <f ca="1">'Total Distance Tables'!A20</f>
        <v>Taxi/Vehicle Share</v>
      </c>
      <c r="B163" s="58">
        <f ca="1">('Total Distance Tables Sup #1'!B174*'Updated Population'!B$158)/('Total Distance Tables Sup #1'!B163*1000000)</f>
        <v>1</v>
      </c>
      <c r="C163" s="58">
        <f ca="1">('Total Distance Tables Sup #1'!C174*'Updated Population'!C$158)/('Total Distance Tables Sup #1'!C163*1000000)</f>
        <v>0.99725478136156154</v>
      </c>
      <c r="D163" s="58">
        <f ca="1">('Total Distance Tables Sup #1'!D174*'Updated Population'!D$158)/('Total Distance Tables Sup #1'!D163*1000000)</f>
        <v>0.99438917476159239</v>
      </c>
      <c r="E163" s="58">
        <f ca="1">('Total Distance Tables Sup #1'!E174*'Updated Population'!E$158)/('Total Distance Tables Sup #1'!E163*1000000)</f>
        <v>0.99237911625530539</v>
      </c>
      <c r="F163" s="58">
        <f ca="1">('Total Distance Tables Sup #1'!F174*'Updated Population'!F$158)/('Total Distance Tables Sup #1'!F163*1000000)</f>
        <v>0.99027472452475462</v>
      </c>
      <c r="G163" s="58">
        <f ca="1">('Total Distance Tables Sup #1'!G174*'Updated Population'!G$158)/('Total Distance Tables Sup #1'!G163*1000000)</f>
        <v>0.98816042023001882</v>
      </c>
      <c r="H163" s="58">
        <f ca="1">('Total Distance Tables Sup #1'!H174*'Updated Population'!H$158)/('Total Distance Tables Sup #1'!H163*1000000)</f>
        <v>0.9861350457409962</v>
      </c>
      <c r="I163" s="58">
        <f ca="1">('Total Distance Tables Sup #1'!I174*'Updated Population'!I$158)/('Total Distance Tables Sup #1'!I163*1000000)</f>
        <v>0.98410661031364421</v>
      </c>
      <c r="J163" s="58">
        <f ca="1">('Total Distance Tables Sup #1'!J174*'Updated Population'!J$158)/('Total Distance Tables Sup #1'!J163*1000000)</f>
        <v>0.98207642731328593</v>
      </c>
      <c r="K163" s="58">
        <f ca="1">('Total Distance Tables Sup #1'!K174*'Updated Population'!K$158)/('Total Distance Tables Sup #1'!K163*1000000)</f>
        <v>0.98004578057868463</v>
      </c>
    </row>
    <row r="164" spans="1:11" x14ac:dyDescent="0.25">
      <c r="A164" t="str">
        <f ca="1">'Total Distance Tables'!A21</f>
        <v>Motorcyclist</v>
      </c>
      <c r="B164" s="58">
        <f ca="1">('Total Distance Tables Sup #1'!B175*'Updated Population'!B$158)/('Total Distance Tables Sup #1'!B164*1000000)</f>
        <v>1</v>
      </c>
      <c r="C164" s="58">
        <f ca="1">('Total Distance Tables Sup #1'!C175*'Updated Population'!C$158)/('Total Distance Tables Sup #1'!C164*1000000)</f>
        <v>1.0113469303530207</v>
      </c>
      <c r="D164" s="58">
        <f ca="1">('Total Distance Tables Sup #1'!D175*'Updated Population'!D$158)/('Total Distance Tables Sup #1'!D164*1000000)</f>
        <v>1.0210773386974268</v>
      </c>
      <c r="E164" s="58">
        <f ca="1">('Total Distance Tables Sup #1'!E175*'Updated Population'!E$158)/('Total Distance Tables Sup #1'!E164*1000000)</f>
        <v>1.0286104438527268</v>
      </c>
      <c r="F164" s="58">
        <f ca="1">('Total Distance Tables Sup #1'!F175*'Updated Population'!F$158)/('Total Distance Tables Sup #1'!F164*1000000)</f>
        <v>1.0359261169282263</v>
      </c>
      <c r="G164" s="58">
        <f ca="1">('Total Distance Tables Sup #1'!G175*'Updated Population'!G$158)/('Total Distance Tables Sup #1'!G164*1000000)</f>
        <v>1.0431059548251935</v>
      </c>
      <c r="H164" s="58">
        <f ca="1">('Total Distance Tables Sup #1'!H175*'Updated Population'!H$158)/('Total Distance Tables Sup #1'!H164*1000000)</f>
        <v>1.0502960740527976</v>
      </c>
      <c r="I164" s="58">
        <f ca="1">('Total Distance Tables Sup #1'!I175*'Updated Population'!I$158)/('Total Distance Tables Sup #1'!I164*1000000)</f>
        <v>1.0575796608295565</v>
      </c>
      <c r="J164" s="58">
        <f ca="1">('Total Distance Tables Sup #1'!J175*'Updated Population'!J$158)/('Total Distance Tables Sup #1'!J164*1000000)</f>
        <v>1.0649547275771498</v>
      </c>
      <c r="K164" s="58">
        <f ca="1">('Total Distance Tables Sup #1'!K175*'Updated Population'!K$158)/('Total Distance Tables Sup #1'!K164*1000000)</f>
        <v>1.0724191731635229</v>
      </c>
    </row>
    <row r="165" spans="1:11" x14ac:dyDescent="0.25">
      <c r="A165" t="str">
        <f ca="1">'Total Distance Tables'!A22</f>
        <v>Local Train</v>
      </c>
      <c r="B165" s="58">
        <f ca="1">('Total Distance Tables Sup #1'!B176*'Updated Population'!B$158)/('Total Distance Tables Sup #1'!B165*1000000)</f>
        <v>1</v>
      </c>
      <c r="C165" s="58">
        <f ca="1">('Total Distance Tables Sup #1'!C176*'Updated Population'!C$158)/('Total Distance Tables Sup #1'!C165*1000000)</f>
        <v>1.0265940606597859</v>
      </c>
      <c r="D165" s="58">
        <f ca="1">('Total Distance Tables Sup #1'!D176*'Updated Population'!D$158)/('Total Distance Tables Sup #1'!D165*1000000)</f>
        <v>1.0422788545098118</v>
      </c>
      <c r="E165" s="58">
        <f ca="1">('Total Distance Tables Sup #1'!E176*'Updated Population'!E$158)/('Total Distance Tables Sup #1'!E165*1000000)</f>
        <v>1.0459194565744785</v>
      </c>
      <c r="F165" s="58">
        <f ca="1">('Total Distance Tables Sup #1'!F176*'Updated Population'!F$158)/('Total Distance Tables Sup #1'!F165*1000000)</f>
        <v>1.0480526049570056</v>
      </c>
      <c r="G165" s="58">
        <f ca="1">('Total Distance Tables Sup #1'!G176*'Updated Population'!G$158)/('Total Distance Tables Sup #1'!G165*1000000)</f>
        <v>1.0492125268250101</v>
      </c>
      <c r="H165" s="58">
        <f ca="1">('Total Distance Tables Sup #1'!H176*'Updated Population'!H$158)/('Total Distance Tables Sup #1'!H165*1000000)</f>
        <v>1.0503121231467689</v>
      </c>
      <c r="I165" s="58">
        <f ca="1">('Total Distance Tables Sup #1'!I176*'Updated Population'!I$158)/('Total Distance Tables Sup #1'!I165*1000000)</f>
        <v>1.0533852977900833</v>
      </c>
      <c r="J165" s="58">
        <f ca="1">('Total Distance Tables Sup #1'!J176*'Updated Population'!J$158)/('Total Distance Tables Sup #1'!J165*1000000)</f>
        <v>1.0564943349881242</v>
      </c>
      <c r="K165" s="58">
        <f ca="1">('Total Distance Tables Sup #1'!K176*'Updated Population'!K$158)/('Total Distance Tables Sup #1'!K165*1000000)</f>
        <v>1.0596344030853955</v>
      </c>
    </row>
    <row r="166" spans="1:11" x14ac:dyDescent="0.25">
      <c r="A166" t="str">
        <f ca="1">'Total Distance Tables'!A23</f>
        <v>Local Bus</v>
      </c>
      <c r="B166" s="58">
        <f ca="1">('Total Distance Tables Sup #1'!B177*'Updated Population'!B$169)/('Total Distance Tables Sup #1'!B166*1000000)</f>
        <v>1</v>
      </c>
      <c r="C166" s="58">
        <f ca="1">('Total Distance Tables Sup #1'!C177*'Updated Population'!C$169)/('Total Distance Tables Sup #1'!C166*1000000)</f>
        <v>1.0033152188508556</v>
      </c>
      <c r="D166" s="58">
        <f ca="1">('Total Distance Tables Sup #1'!D177*'Updated Population'!D$169)/('Total Distance Tables Sup #1'!D166*1000000)</f>
        <v>1.005593820293994</v>
      </c>
      <c r="E166" s="58">
        <f ca="1">('Total Distance Tables Sup #1'!E177*'Updated Population'!E$169)/('Total Distance Tables Sup #1'!E166*1000000)</f>
        <v>1.0073933056572943</v>
      </c>
      <c r="F166" s="58">
        <f ca="1">('Total Distance Tables Sup #1'!F177*'Updated Population'!F$169)/('Total Distance Tables Sup #1'!F166*1000000)</f>
        <v>1.0092662349184798</v>
      </c>
      <c r="G166" s="58">
        <f ca="1">('Total Distance Tables Sup #1'!G177*'Updated Population'!G$169)/('Total Distance Tables Sup #1'!G166*1000000)</f>
        <v>1.011193972320245</v>
      </c>
      <c r="H166" s="58">
        <f ca="1">('Total Distance Tables Sup #1'!H177*'Updated Population'!H$169)/('Total Distance Tables Sup #1'!H166*1000000)</f>
        <v>1.0131761430802355</v>
      </c>
      <c r="I166" s="58">
        <f ca="1">('Total Distance Tables Sup #1'!I177*'Updated Population'!I$169)/('Total Distance Tables Sup #1'!I166*1000000)</f>
        <v>1.0151611287466948</v>
      </c>
      <c r="J166" s="58">
        <f ca="1">('Total Distance Tables Sup #1'!J177*'Updated Population'!J$169)/('Total Distance Tables Sup #1'!J166*1000000)</f>
        <v>1.0171485839045866</v>
      </c>
      <c r="K166" s="58">
        <f ca="1">('Total Distance Tables Sup #1'!K177*'Updated Population'!K$169)/('Total Distance Tables Sup #1'!K166*1000000)</f>
        <v>1.0191381643369812</v>
      </c>
    </row>
    <row r="167" spans="1:11" x14ac:dyDescent="0.25">
      <c r="A167" t="str">
        <f ca="1">'Total Distance Tables'!A24</f>
        <v>Local Ferry</v>
      </c>
      <c r="B167" s="58">
        <v>1</v>
      </c>
      <c r="C167" s="58">
        <v>1</v>
      </c>
      <c r="D167" s="58">
        <v>1</v>
      </c>
      <c r="E167" s="58">
        <v>1</v>
      </c>
      <c r="F167" s="58">
        <v>1</v>
      </c>
      <c r="G167" s="58">
        <v>1</v>
      </c>
      <c r="H167" s="58">
        <v>1</v>
      </c>
      <c r="I167" s="58">
        <v>1</v>
      </c>
      <c r="J167" s="58">
        <v>1</v>
      </c>
      <c r="K167" s="58">
        <v>1</v>
      </c>
    </row>
    <row r="168" spans="1:11" x14ac:dyDescent="0.25">
      <c r="A168" t="str">
        <f ca="1">'Total Distance Tables'!A25</f>
        <v>Other Household Travel</v>
      </c>
      <c r="B168" s="58">
        <f ca="1">('Total Distance Tables Sup #1'!B179*'Updated Population'!B$158)/('Total Distance Tables Sup #1'!B168*1000000)</f>
        <v>1</v>
      </c>
      <c r="C168" s="58">
        <f ca="1">('Total Distance Tables Sup #1'!C179*'Updated Population'!C$158)/('Total Distance Tables Sup #1'!C168*1000000)</f>
        <v>0.96192187330734669</v>
      </c>
      <c r="D168" s="58">
        <f ca="1">('Total Distance Tables Sup #1'!D179*'Updated Population'!D$158)/('Total Distance Tables Sup #1'!D168*1000000)</f>
        <v>0.9325056300432859</v>
      </c>
      <c r="E168" s="58">
        <f ca="1">('Total Distance Tables Sup #1'!E179*'Updated Population'!E$158)/('Total Distance Tables Sup #1'!E168*1000000)</f>
        <v>0.91037407048897812</v>
      </c>
      <c r="F168" s="58">
        <f ca="1">('Total Distance Tables Sup #1'!F179*'Updated Population'!F$158)/('Total Distance Tables Sup #1'!F168*1000000)</f>
        <v>0.89050864143961228</v>
      </c>
      <c r="G168" s="58">
        <f ca="1">('Total Distance Tables Sup #1'!G179*'Updated Population'!G$158)/('Total Distance Tables Sup #1'!G168*1000000)</f>
        <v>0.87259612922414787</v>
      </c>
      <c r="H168" s="58">
        <f ca="1">('Total Distance Tables Sup #1'!H179*'Updated Population'!H$158)/('Total Distance Tables Sup #1'!H168*1000000)</f>
        <v>0.85592666203455603</v>
      </c>
      <c r="I168" s="58">
        <f ca="1">('Total Distance Tables Sup #1'!I179*'Updated Population'!I$158)/('Total Distance Tables Sup #1'!I168*1000000)</f>
        <v>0.83984997586564392</v>
      </c>
      <c r="J168" s="58">
        <f ca="1">('Total Distance Tables Sup #1'!J179*'Updated Population'!J$158)/('Total Distance Tables Sup #1'!J168*1000000)</f>
        <v>0.82434255079401697</v>
      </c>
      <c r="K168" s="58">
        <f ca="1">('Total Distance Tables Sup #1'!K179*'Updated Population'!K$158)/('Total Distance Tables Sup #1'!K168*1000000)</f>
        <v>0.80938188150748847</v>
      </c>
    </row>
    <row r="169" spans="1:11" x14ac:dyDescent="0.25">
      <c r="A169" t="s">
        <v>67</v>
      </c>
    </row>
    <row r="170" spans="1:11" x14ac:dyDescent="0.25">
      <c r="A170" t="s">
        <v>34</v>
      </c>
      <c r="B170" s="4">
        <f>'[1]Transition '!B$39</f>
        <v>0</v>
      </c>
      <c r="C170" s="4">
        <f>'[1]Transition '!C$39</f>
        <v>149.6667176390672</v>
      </c>
      <c r="D170" s="4">
        <f>'[1]Transition '!D$39</f>
        <v>479.09040598299362</v>
      </c>
      <c r="E170" s="56">
        <f>'[1]Transition '!E$39</f>
        <v>809.17631438213607</v>
      </c>
      <c r="F170" s="4">
        <f>'[1]Transition '!F$39</f>
        <v>970.39278933689013</v>
      </c>
      <c r="G170" s="4">
        <f>'[1]Transition '!G$39</f>
        <v>1134.7104900301629</v>
      </c>
      <c r="H170" s="4">
        <f>'[1]Transition '!H$39</f>
        <v>1300.4296097457241</v>
      </c>
      <c r="I170" s="1">
        <f>'[1]Transition '!I$39</f>
        <v>1464.9089669298294</v>
      </c>
      <c r="J170" s="1">
        <f>'[1]Transition '!J$39</f>
        <v>1640.9940580316547</v>
      </c>
      <c r="K170" s="1">
        <f>'[1]Transition '!K$39</f>
        <v>1837.4276023704674</v>
      </c>
    </row>
    <row r="171" spans="1:11" x14ac:dyDescent="0.25">
      <c r="A171" t="s">
        <v>41</v>
      </c>
      <c r="B171" s="4">
        <f>'[2]Transition '!B$39</f>
        <v>0</v>
      </c>
      <c r="C171" s="4">
        <f>'[2]Transition '!C$39</f>
        <v>1.8125443048732564</v>
      </c>
      <c r="D171" s="4">
        <f>'[2]Transition '!D$39</f>
        <v>24.583470168114673</v>
      </c>
      <c r="E171" s="4">
        <f>'[2]Transition '!E$39</f>
        <v>44.380066406277251</v>
      </c>
      <c r="F171" s="4">
        <f>'[2]Transition '!F$39</f>
        <v>64.240700271677611</v>
      </c>
      <c r="G171" s="4">
        <f>'[2]Transition '!G$39</f>
        <v>83.430739683517118</v>
      </c>
      <c r="H171" s="4">
        <f>'[2]Transition '!H$39</f>
        <v>104.39882007406368</v>
      </c>
      <c r="I171" s="1">
        <f>'[2]Transition '!I$39</f>
        <v>129.18791421694652</v>
      </c>
      <c r="J171" s="1">
        <f>'[2]Transition '!J$39</f>
        <v>156.51792000892442</v>
      </c>
      <c r="K171" s="1">
        <f>'[2]Transition '!K$39</f>
        <v>186.28048406112038</v>
      </c>
    </row>
    <row r="172" spans="1:11" x14ac:dyDescent="0.25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5">
      <c r="A173" t="s">
        <v>34</v>
      </c>
      <c r="B173" s="4">
        <f>'[1]Transition '!B$42</f>
        <v>0</v>
      </c>
      <c r="C173" s="4">
        <f>'[1]Transition '!C$42</f>
        <v>2.7920897337303359</v>
      </c>
      <c r="D173" s="4">
        <f>'[1]Transition '!D$42</f>
        <v>149.0547866152898</v>
      </c>
      <c r="E173" s="56">
        <f>'[1]Transition '!E$42</f>
        <v>291.99274191995642</v>
      </c>
      <c r="F173" s="4">
        <f>'[1]Transition '!F$42</f>
        <v>378.25025298041726</v>
      </c>
      <c r="G173" s="4">
        <f>'[1]Transition '!G$42</f>
        <v>464.60412008258197</v>
      </c>
      <c r="H173" s="4">
        <f>'[1]Transition '!H$42</f>
        <v>554.574613999897</v>
      </c>
      <c r="I173" s="1">
        <f>'[1]Transition '!I$42</f>
        <v>635.10085314243668</v>
      </c>
      <c r="J173" s="1">
        <f>'[1]Transition '!J$42</f>
        <v>722.18756261278156</v>
      </c>
      <c r="K173" s="1">
        <f>'[1]Transition '!K$42</f>
        <v>819.67549985521759</v>
      </c>
    </row>
    <row r="174" spans="1:11" x14ac:dyDescent="0.25">
      <c r="A174" t="s">
        <v>41</v>
      </c>
      <c r="B174" s="4">
        <f>'[2]Transition '!B$42</f>
        <v>0</v>
      </c>
      <c r="C174" s="4">
        <f>'[2]Transition '!C$42</f>
        <v>-0.45467703292075612</v>
      </c>
      <c r="D174" s="4">
        <f>'[2]Transition '!D$42</f>
        <v>17.199542166879439</v>
      </c>
      <c r="E174" s="4">
        <f>'[2]Transition '!E$42</f>
        <v>29.460659222508326</v>
      </c>
      <c r="F174" s="4">
        <f>'[2]Transition '!F$42</f>
        <v>34.226017684354559</v>
      </c>
      <c r="G174" s="4">
        <f>'[2]Transition '!G$42</f>
        <v>39.776190632410533</v>
      </c>
      <c r="H174" s="4">
        <f>'[2]Transition '!H$42</f>
        <v>46.279323381775384</v>
      </c>
      <c r="I174" s="1">
        <f>'[2]Transition '!I$42</f>
        <v>50.816708145982744</v>
      </c>
      <c r="J174" s="1">
        <f>'[2]Transition '!J$42</f>
        <v>56.04924435355656</v>
      </c>
      <c r="K174" s="1">
        <f>'[2]Transition '!K$42</f>
        <v>61.816529624469467</v>
      </c>
    </row>
    <row r="175" spans="1:11" x14ac:dyDescent="0.25">
      <c r="B175" s="4"/>
      <c r="C175" s="4"/>
      <c r="D175" s="4"/>
      <c r="E175" s="4"/>
      <c r="F175" s="4"/>
      <c r="G175" s="4"/>
      <c r="H175" s="4"/>
    </row>
    <row r="176" spans="1:11" x14ac:dyDescent="0.25">
      <c r="B176" s="4"/>
      <c r="C176" s="4"/>
      <c r="D176" s="4"/>
      <c r="E176" s="4"/>
      <c r="F176" s="4"/>
      <c r="G176" s="4"/>
      <c r="H176" s="4"/>
    </row>
    <row r="177" spans="2:8" x14ac:dyDescent="0.25">
      <c r="B177" s="4"/>
      <c r="C177" s="4"/>
      <c r="D177" s="4"/>
      <c r="E177" s="4"/>
      <c r="F177" s="4"/>
      <c r="G177" s="4"/>
      <c r="H177" s="4"/>
    </row>
    <row r="178" spans="2:8" x14ac:dyDescent="0.25">
      <c r="B178" s="4"/>
      <c r="C178" s="4"/>
      <c r="D178" s="4"/>
      <c r="E178" s="4"/>
      <c r="F178" s="4"/>
      <c r="G178" s="4"/>
      <c r="H178" s="4"/>
    </row>
    <row r="179" spans="2:8" x14ac:dyDescent="0.25">
      <c r="B179" s="4"/>
      <c r="C179" s="4"/>
      <c r="D179" s="4"/>
      <c r="E179" s="4"/>
      <c r="F179" s="4"/>
      <c r="G179" s="4"/>
      <c r="H179" s="4"/>
    </row>
    <row r="180" spans="2:8" x14ac:dyDescent="0.25">
      <c r="B180" s="4"/>
      <c r="C180" s="4"/>
      <c r="D180" s="4"/>
      <c r="E180" s="4"/>
      <c r="F180" s="4"/>
      <c r="G180" s="4"/>
      <c r="H180" s="4"/>
    </row>
    <row r="182" spans="2:8" x14ac:dyDescent="0.25">
      <c r="B182" s="4"/>
      <c r="C182" s="4"/>
      <c r="D182" s="4"/>
      <c r="E182" s="4"/>
      <c r="F182" s="4"/>
      <c r="G182" s="4"/>
      <c r="H182" s="4"/>
    </row>
    <row r="183" spans="2:8" x14ac:dyDescent="0.25">
      <c r="B183" s="4"/>
      <c r="C183" s="4"/>
      <c r="D183" s="4"/>
      <c r="E183" s="4"/>
      <c r="F183" s="4"/>
      <c r="G183" s="4"/>
      <c r="H183" s="4"/>
    </row>
    <row r="184" spans="2:8" x14ac:dyDescent="0.25">
      <c r="B184" s="4"/>
      <c r="C184" s="4"/>
      <c r="D184" s="4"/>
      <c r="E184" s="4"/>
      <c r="F184" s="4"/>
      <c r="G184" s="4"/>
      <c r="H184" s="4"/>
    </row>
    <row r="185" spans="2:8" x14ac:dyDescent="0.25">
      <c r="B185" s="4"/>
      <c r="C185" s="4"/>
      <c r="D185" s="4"/>
      <c r="E185" s="4"/>
      <c r="F185" s="4"/>
      <c r="G185" s="4"/>
      <c r="H185" s="4"/>
    </row>
    <row r="186" spans="2:8" x14ac:dyDescent="0.25">
      <c r="B186" s="4"/>
      <c r="C186" s="4"/>
      <c r="D186" s="4"/>
      <c r="E186" s="4"/>
      <c r="F186" s="4"/>
      <c r="G186" s="4"/>
      <c r="H186" s="4"/>
    </row>
    <row r="187" spans="2:8" x14ac:dyDescent="0.25">
      <c r="B187" s="4"/>
      <c r="C187" s="4"/>
      <c r="D187" s="4"/>
      <c r="E187" s="4"/>
      <c r="F187" s="4"/>
      <c r="G187" s="4"/>
      <c r="H187" s="4"/>
    </row>
    <row r="188" spans="2:8" x14ac:dyDescent="0.25">
      <c r="B188" s="4"/>
      <c r="C188" s="4"/>
      <c r="D188" s="4"/>
      <c r="E188" s="4"/>
      <c r="F188" s="4"/>
      <c r="G188" s="4"/>
      <c r="H188" s="4"/>
    </row>
    <row r="189" spans="2:8" x14ac:dyDescent="0.25">
      <c r="B189" s="4"/>
      <c r="C189" s="4"/>
      <c r="D189" s="4"/>
      <c r="E189" s="4"/>
      <c r="F189" s="4"/>
      <c r="G189" s="4"/>
      <c r="H189" s="4"/>
    </row>
    <row r="190" spans="2:8" x14ac:dyDescent="0.25">
      <c r="B190" s="4"/>
      <c r="C190" s="4"/>
      <c r="D190" s="4"/>
      <c r="E190" s="4"/>
      <c r="F190" s="4"/>
      <c r="G190" s="4"/>
      <c r="H190" s="4"/>
    </row>
    <row r="191" spans="2:8" x14ac:dyDescent="0.25">
      <c r="B191" s="4"/>
      <c r="C191" s="4"/>
      <c r="D191" s="4"/>
      <c r="E191" s="4"/>
      <c r="F191" s="4"/>
      <c r="G191" s="4"/>
      <c r="H191" s="4"/>
    </row>
    <row r="193" spans="2:8" x14ac:dyDescent="0.25">
      <c r="B193" s="4"/>
      <c r="C193" s="4"/>
      <c r="D193" s="4"/>
      <c r="E193" s="4"/>
      <c r="F193" s="4"/>
      <c r="G193" s="4"/>
      <c r="H193" s="4"/>
    </row>
    <row r="194" spans="2:8" x14ac:dyDescent="0.25">
      <c r="B194" s="4"/>
      <c r="C194" s="4"/>
      <c r="D194" s="4"/>
      <c r="E194" s="4"/>
      <c r="F194" s="4"/>
      <c r="G194" s="4"/>
      <c r="H194" s="4"/>
    </row>
    <row r="195" spans="2:8" x14ac:dyDescent="0.25">
      <c r="B195" s="4"/>
      <c r="C195" s="4"/>
      <c r="D195" s="4"/>
      <c r="E195" s="4"/>
      <c r="F195" s="4"/>
      <c r="G195" s="4"/>
      <c r="H195" s="4"/>
    </row>
    <row r="196" spans="2:8" x14ac:dyDescent="0.25">
      <c r="B196" s="4"/>
      <c r="C196" s="4"/>
      <c r="D196" s="4"/>
      <c r="E196" s="4"/>
      <c r="F196" s="4"/>
      <c r="G196" s="4"/>
      <c r="H196" s="4"/>
    </row>
    <row r="197" spans="2:8" x14ac:dyDescent="0.25">
      <c r="B197" s="4"/>
      <c r="C197" s="4"/>
      <c r="D197" s="4"/>
      <c r="E197" s="4"/>
      <c r="F197" s="4"/>
      <c r="G197" s="4"/>
      <c r="H197" s="4"/>
    </row>
    <row r="198" spans="2:8" x14ac:dyDescent="0.25">
      <c r="B198" s="4"/>
      <c r="C198" s="4"/>
      <c r="D198" s="4"/>
      <c r="E198" s="4"/>
      <c r="F198" s="4"/>
      <c r="G198" s="4"/>
      <c r="H198" s="4"/>
    </row>
    <row r="199" spans="2:8" x14ac:dyDescent="0.25">
      <c r="B199" s="4"/>
      <c r="C199" s="4"/>
      <c r="D199" s="4"/>
      <c r="E199" s="4"/>
      <c r="F199" s="4"/>
      <c r="G199" s="4"/>
      <c r="H199" s="4"/>
    </row>
    <row r="200" spans="2:8" x14ac:dyDescent="0.25">
      <c r="B200" s="4"/>
      <c r="C200" s="4"/>
      <c r="D200" s="4"/>
      <c r="E200" s="4"/>
      <c r="F200" s="4"/>
      <c r="G200" s="4"/>
      <c r="H200" s="4"/>
    </row>
    <row r="201" spans="2:8" x14ac:dyDescent="0.25">
      <c r="B201" s="4"/>
      <c r="C201" s="4"/>
      <c r="D201" s="4"/>
      <c r="E201" s="4"/>
      <c r="F201" s="4"/>
      <c r="G201" s="4"/>
      <c r="H201" s="4"/>
    </row>
    <row r="202" spans="2:8" x14ac:dyDescent="0.25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5" x14ac:dyDescent="0.25"/>
  <cols>
    <col min="1" max="1" width="26.1796875" customWidth="1"/>
  </cols>
  <sheetData>
    <row r="2" spans="1:11" ht="13" x14ac:dyDescent="0.3">
      <c r="A2" s="3" t="s">
        <v>70</v>
      </c>
    </row>
    <row r="3" spans="1:11" x14ac:dyDescent="0.25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5">
      <c r="A4" t="str">
        <f ca="1">OFFSET(Northland_Reference,0,0)</f>
        <v>01 NORTHLAND</v>
      </c>
    </row>
    <row r="5" spans="1:11" x14ac:dyDescent="0.25">
      <c r="A5" t="str">
        <f ca="1">OFFSET(Northland_Reference,0,2)</f>
        <v>Pedestrian</v>
      </c>
      <c r="B5" s="4">
        <f ca="1">OFFSET(Northland_Reference,0,6)</f>
        <v>17.849116999</v>
      </c>
      <c r="C5" s="4">
        <f ca="1">$B5*('Updated Population'!C$4/'Updated Population'!$B$4)*('Total Distance Tables Sup #1'!C170/'Total Distance Tables Sup #1'!$B170)</f>
        <v>18.802428803442574</v>
      </c>
      <c r="D5" s="4">
        <f ca="1">$B5*('Updated Population'!D$4/'Updated Population'!$B$4)*('Total Distance Tables Sup #1'!D170/'Total Distance Tables Sup #1'!$B170)</f>
        <v>19.211755001582947</v>
      </c>
      <c r="E5" s="4">
        <f ca="1">$B5*('Updated Population'!E$4/'Updated Population'!$B$4)*('Total Distance Tables Sup #1'!E170/'Total Distance Tables Sup #1'!$B170)</f>
        <v>19.27540018212267</v>
      </c>
      <c r="F5" s="4">
        <f ca="1">$B5*('Updated Population'!F$4/'Updated Population'!$B$4)*('Total Distance Tables Sup #1'!F170/'Total Distance Tables Sup #1'!$B170)</f>
        <v>19.105134685059227</v>
      </c>
      <c r="G5" s="4">
        <f ca="1">$B5*('Updated Population'!G$4/'Updated Population'!$B$4)*('Total Distance Tables Sup #1'!G170/'Total Distance Tables Sup #1'!$B170)</f>
        <v>18.868855263570335</v>
      </c>
      <c r="H5" s="4">
        <f ca="1">$B5*('Updated Population'!H$4/'Updated Population'!$B$4)*('Total Distance Tables Sup #1'!H170/'Total Distance Tables Sup #1'!$B170)</f>
        <v>18.550225477646496</v>
      </c>
      <c r="I5" s="1">
        <f ca="1">$B5*('Updated Population'!I$4/'Updated Population'!$B$4)*('Total Distance Tables Sup #1'!I170/'Total Distance Tables Sup #1'!$B170)</f>
        <v>18.638207258825052</v>
      </c>
      <c r="J5" s="1">
        <f ca="1">$B5*('Updated Population'!J$4/'Updated Population'!$B$4)*('Total Distance Tables Sup #1'!J170/'Total Distance Tables Sup #1'!$B170)</f>
        <v>18.666996313779535</v>
      </c>
      <c r="K5" s="1">
        <f ca="1">$B5*('Updated Population'!K$4/'Updated Population'!$B$4)*('Total Distance Tables Sup #1'!K170/'Total Distance Tables Sup #1'!$B170)</f>
        <v>18.655651291282492</v>
      </c>
    </row>
    <row r="6" spans="1:11" x14ac:dyDescent="0.25">
      <c r="A6" t="str">
        <f ca="1">OFFSET(Northland_Reference,7,2)</f>
        <v>Cyclist</v>
      </c>
      <c r="B6" s="4">
        <f ca="1">OFFSET(Northland_Reference,7,6)</f>
        <v>1.0072239942000001</v>
      </c>
      <c r="C6" s="4">
        <f ca="1">$B6*('Updated Population'!C$4/'Updated Population'!$B$4)*('Total Distance Tables Sup #1'!C171/'Total Distance Tables Sup #1'!$B171)</f>
        <v>1.0900648801490456</v>
      </c>
      <c r="D6" s="4">
        <f ca="1">$B6*('Updated Population'!D$4/'Updated Population'!$B$4)*('Total Distance Tables Sup #1'!D171/'Total Distance Tables Sup #1'!$B171)</f>
        <v>1.1226294490106798</v>
      </c>
      <c r="E6" s="4">
        <f ca="1">$B6*('Updated Population'!E$4/'Updated Population'!$B$4)*('Total Distance Tables Sup #1'!E171/'Total Distance Tables Sup #1'!$B171)</f>
        <v>1.129323674029348</v>
      </c>
      <c r="F6" s="4">
        <f ca="1">$B6*('Updated Population'!F$4/'Updated Population'!$B$4)*('Total Distance Tables Sup #1'!F171/'Total Distance Tables Sup #1'!$B171)</f>
        <v>1.1471412836324335</v>
      </c>
      <c r="G6" s="4">
        <f ca="1">$B6*('Updated Population'!G$4/'Updated Population'!$B$4)*('Total Distance Tables Sup #1'!G171/'Total Distance Tables Sup #1'!$B171)</f>
        <v>1.1801437393921708</v>
      </c>
      <c r="H6" s="4">
        <f ca="1">$B6*('Updated Population'!H$4/'Updated Population'!$B$4)*('Total Distance Tables Sup #1'!H171/'Total Distance Tables Sup #1'!$B171)</f>
        <v>1.2120189073056875</v>
      </c>
      <c r="I6" s="1">
        <f ca="1">$B6*('Updated Population'!I$4/'Updated Population'!$B$4)*('Total Distance Tables Sup #1'!I171/'Total Distance Tables Sup #1'!$B171)</f>
        <v>1.217767386342524</v>
      </c>
      <c r="J6" s="1">
        <f ca="1">$B6*('Updated Population'!J$4/'Updated Population'!$B$4)*('Total Distance Tables Sup #1'!J171/'Total Distance Tables Sup #1'!$B171)</f>
        <v>1.2196483812107721</v>
      </c>
      <c r="K6" s="1">
        <f ca="1">$B6*('Updated Population'!K$4/'Updated Population'!$B$4)*('Total Distance Tables Sup #1'!K171/'Total Distance Tables Sup #1'!$B171)</f>
        <v>1.2189071297479912</v>
      </c>
    </row>
    <row r="7" spans="1:11" x14ac:dyDescent="0.25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$B7*('Updated Population'!C$4/'Updated Population'!$B$4)*('Total Distance Tables Sup #1'!C172/'Total Distance Tables Sup #1'!$B172)</f>
        <v>1099.2741141369283</v>
      </c>
      <c r="D7" s="4">
        <f ca="1">$B7*('Updated Population'!D$4/'Updated Population'!$B$4)*('Total Distance Tables Sup #1'!D172/'Total Distance Tables Sup #1'!$B172)</f>
        <v>1145.1824621936269</v>
      </c>
      <c r="E7" s="4">
        <f ca="1">$B7*('Updated Population'!E$4/'Updated Population'!$B$4)*('Total Distance Tables Sup #1'!E172/'Total Distance Tables Sup #1'!$B172)</f>
        <v>1184.5435615256943</v>
      </c>
      <c r="F7" s="4">
        <f ca="1">$B7*('Updated Population'!F$4/'Updated Population'!$B$4)*('Total Distance Tables Sup #1'!F172/'Total Distance Tables Sup #1'!$B172)</f>
        <v>1215.0455567109541</v>
      </c>
      <c r="G7" s="4">
        <f ca="1">$B7*('Updated Population'!G$4/'Updated Population'!$B$4)*('Total Distance Tables Sup #1'!G172/'Total Distance Tables Sup #1'!$B172)</f>
        <v>1230.8810108014995</v>
      </c>
      <c r="H7" s="4">
        <f ca="1">$B7*('Updated Population'!H$4/'Updated Population'!$B$4)*('Total Distance Tables Sup #1'!H172/'Total Distance Tables Sup #1'!$B172)</f>
        <v>1239.6802466138352</v>
      </c>
      <c r="I7" s="1">
        <f ca="1">$B7*('Updated Population'!I$4/'Updated Population'!$B$4)*('Total Distance Tables Sup #1'!I172/'Total Distance Tables Sup #1'!$B172)</f>
        <v>1245.559920492753</v>
      </c>
      <c r="J7" s="1">
        <f ca="1">$B7*('Updated Population'!J$4/'Updated Population'!$B$4)*('Total Distance Tables Sup #1'!J172/'Total Distance Tables Sup #1'!$B172)</f>
        <v>1247.4838444250395</v>
      </c>
      <c r="K7" s="1">
        <f ca="1">$B7*('Updated Population'!K$4/'Updated Population'!$B$4)*('Total Distance Tables Sup #1'!K172/'Total Distance Tables Sup #1'!$B172)</f>
        <v>1246.7256757276336</v>
      </c>
    </row>
    <row r="8" spans="1:11" x14ac:dyDescent="0.25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$B8*('Updated Population'!C$4/'Updated Population'!$B$4)*('Total Distance Tables Sup #1'!C173/'Total Distance Tables Sup #1'!$B173)</f>
        <v>695.20360278463977</v>
      </c>
      <c r="D8" s="4">
        <f ca="1">$B8*('Updated Population'!D$4/'Updated Population'!$B$4)*('Total Distance Tables Sup #1'!D173/'Total Distance Tables Sup #1'!$B173)</f>
        <v>707.74076658787067</v>
      </c>
      <c r="E8" s="4">
        <f ca="1">$B8*('Updated Population'!E$4/'Updated Population'!$B$4)*('Total Distance Tables Sup #1'!E173/'Total Distance Tables Sup #1'!$B173)</f>
        <v>716.28944659287629</v>
      </c>
      <c r="F8" s="4">
        <f ca="1">$B8*('Updated Population'!F$4/'Updated Population'!$B$4)*('Total Distance Tables Sup #1'!F173/'Total Distance Tables Sup #1'!$B173)</f>
        <v>717.84366856323072</v>
      </c>
      <c r="G8" s="4">
        <f ca="1">$B8*('Updated Population'!G$4/'Updated Population'!$B$4)*('Total Distance Tables Sup #1'!G173/'Total Distance Tables Sup #1'!$B173)</f>
        <v>713.72184819988422</v>
      </c>
      <c r="H8" s="4">
        <f ca="1">$B8*('Updated Population'!H$4/'Updated Population'!$B$4)*('Total Distance Tables Sup #1'!H173/'Total Distance Tables Sup #1'!$B173)</f>
        <v>705.48835260087913</v>
      </c>
      <c r="I8" s="1">
        <f ca="1">$B8*('Updated Population'!I$4/'Updated Population'!$B$4)*('Total Distance Tables Sup #1'!I173/'Total Distance Tables Sup #1'!$B173)</f>
        <v>708.83441014273194</v>
      </c>
      <c r="J8" s="1">
        <f ca="1">$B8*('Updated Population'!J$4/'Updated Population'!$B$4)*('Total Distance Tables Sup #1'!J173/'Total Distance Tables Sup #1'!$B173)</f>
        <v>709.92929402849654</v>
      </c>
      <c r="K8" s="1">
        <f ca="1">$B8*('Updated Population'!K$4/'Updated Population'!$B$4)*('Total Distance Tables Sup #1'!K173/'Total Distance Tables Sup #1'!$B173)</f>
        <v>709.49782858667197</v>
      </c>
    </row>
    <row r="9" spans="1:11" x14ac:dyDescent="0.25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$B9*('Updated Population'!C$4/'Updated Population'!$B$4)*('Total Distance Tables Sup #1'!C174/'Total Distance Tables Sup #1'!$B174)</f>
        <v>0.86411318008074689</v>
      </c>
      <c r="D9" s="4">
        <f ca="1">$B9*('Updated Population'!D$4/'Updated Population'!$B$4)*('Total Distance Tables Sup #1'!D174/'Total Distance Tables Sup #1'!$B174)</f>
        <v>0.95014396951979141</v>
      </c>
      <c r="E9" s="4">
        <f ca="1">$B9*('Updated Population'!E$4/'Updated Population'!$B$4)*('Total Distance Tables Sup #1'!E174/'Total Distance Tables Sup #1'!$B174)</f>
        <v>1.0261647564289416</v>
      </c>
      <c r="F9" s="4">
        <f ca="1">$B9*('Updated Population'!F$4/'Updated Population'!$B$4)*('Total Distance Tables Sup #1'!F174/'Total Distance Tables Sup #1'!$B174)</f>
        <v>1.0878196435316139</v>
      </c>
      <c r="G9" s="4">
        <f ca="1">$B9*('Updated Population'!G$4/'Updated Population'!$B$4)*('Total Distance Tables Sup #1'!G174/'Total Distance Tables Sup #1'!$B174)</f>
        <v>1.1299796376810605</v>
      </c>
      <c r="H9" s="4">
        <f ca="1">$B9*('Updated Population'!H$4/'Updated Population'!$B$4)*('Total Distance Tables Sup #1'!H174/'Total Distance Tables Sup #1'!$B174)</f>
        <v>1.1662852837003752</v>
      </c>
      <c r="I9" s="1">
        <f ca="1">$B9*('Updated Population'!I$4/'Updated Population'!$B$4)*('Total Distance Tables Sup #1'!I174/'Total Distance Tables Sup #1'!$B174)</f>
        <v>1.1718168529390318</v>
      </c>
      <c r="J9" s="1">
        <f ca="1">$B9*('Updated Population'!J$4/'Updated Population'!$B$4)*('Total Distance Tables Sup #1'!J174/'Total Distance Tables Sup #1'!$B174)</f>
        <v>1.17362687142994</v>
      </c>
      <c r="K9" s="1">
        <f ca="1">$B9*('Updated Population'!K$4/'Updated Population'!$B$4)*('Total Distance Tables Sup #1'!K174/'Total Distance Tables Sup #1'!$B174)</f>
        <v>1.172913589923066</v>
      </c>
    </row>
    <row r="10" spans="1:11" x14ac:dyDescent="0.25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$B10*('Updated Population'!C$4/'Updated Population'!$B$4)*('Total Distance Tables Sup #1'!C175/'Total Distance Tables Sup #1'!$B175)</f>
        <v>9.9473516164903479</v>
      </c>
      <c r="D10" s="4">
        <f ca="1">$B10*('Updated Population'!D$4/'Updated Population'!$B$4)*('Total Distance Tables Sup #1'!D175/'Total Distance Tables Sup #1'!$B175)</f>
        <v>10.265328672448382</v>
      </c>
      <c r="E10" s="4">
        <f ca="1">$B10*('Updated Population'!E$4/'Updated Population'!$B$4)*('Total Distance Tables Sup #1'!E175/'Total Distance Tables Sup #1'!$B175)</f>
        <v>10.366906271556406</v>
      </c>
      <c r="F10" s="4">
        <f ca="1">$B10*('Updated Population'!F$4/'Updated Population'!$B$4)*('Total Distance Tables Sup #1'!F175/'Total Distance Tables Sup #1'!$B175)</f>
        <v>10.33274077581615</v>
      </c>
      <c r="G10" s="4">
        <f ca="1">$B10*('Updated Population'!G$4/'Updated Population'!$B$4)*('Total Distance Tables Sup #1'!G175/'Total Distance Tables Sup #1'!$B175)</f>
        <v>10.10119601209788</v>
      </c>
      <c r="H10" s="4">
        <f ca="1">$B10*('Updated Population'!H$4/'Updated Population'!$B$4)*('Total Distance Tables Sup #1'!H175/'Total Distance Tables Sup #1'!$B175)</f>
        <v>9.8114197564135779</v>
      </c>
      <c r="I10" s="1">
        <f ca="1">$B10*('Updated Population'!I$4/'Updated Population'!$B$4)*('Total Distance Tables Sup #1'!I175/'Total Distance Tables Sup #1'!$B175)</f>
        <v>9.8579542951500443</v>
      </c>
      <c r="J10" s="1">
        <f ca="1">$B10*('Updated Population'!J$4/'Updated Population'!$B$4)*('Total Distance Tables Sup #1'!J175/'Total Distance Tables Sup #1'!$B175)</f>
        <v>9.8731811452435529</v>
      </c>
      <c r="K10" s="1">
        <f ca="1">$B10*('Updated Population'!K$4/'Updated Population'!$B$4)*('Total Distance Tables Sup #1'!K175/'Total Distance Tables Sup #1'!$B175)</f>
        <v>9.8671806371635533</v>
      </c>
    </row>
    <row r="11" spans="1:11" x14ac:dyDescent="0.25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Distance Tables Sup #1'!C176/'Total Distance Tables Sup #1'!$B176)</f>
        <v>0</v>
      </c>
      <c r="D11" s="4">
        <f ca="1">$B11*('Updated Population'!D$4/'Updated Population'!$B$4)*('Total Distance Tables Sup #1'!D176/'Total Distance Tables Sup #1'!$B176)</f>
        <v>0</v>
      </c>
      <c r="E11" s="4">
        <f ca="1">$B11*('Updated Population'!E$4/'Updated Population'!$B$4)*('Total Distance Tables Sup #1'!E176/'Total Distance Tables Sup #1'!$B176)</f>
        <v>0</v>
      </c>
      <c r="F11" s="4">
        <f ca="1">$B11*('Updated Population'!F$4/'Updated Population'!$B$4)*('Total Distance Tables Sup #1'!F176/'Total Distance Tables Sup #1'!$B176)</f>
        <v>0</v>
      </c>
      <c r="G11" s="4">
        <f ca="1">$B11*('Updated Population'!G$4/'Updated Population'!$B$4)*('Total Distance Tables Sup #1'!G176/'Total Distance Tables Sup #1'!$B176)</f>
        <v>0</v>
      </c>
      <c r="H11" s="4">
        <f ca="1">$B11*('Updated Population'!H$4/'Updated Population'!$B$4)*('Total Distance Tables Sup #1'!H176/'Total Distance Tables Sup #1'!$B176)</f>
        <v>0</v>
      </c>
      <c r="I11" s="1">
        <f ca="1">$B11*('Updated Population'!I$4/'Updated Population'!$B$4)*('Total Distance Tables Sup #1'!I176/'Total Distance Tables Sup #1'!$B176)</f>
        <v>0</v>
      </c>
      <c r="J11" s="1">
        <f ca="1">$B11*('Updated Population'!J$4/'Updated Population'!$B$4)*('Total Distance Tables Sup #1'!J176/'Total Distance Tables Sup #1'!$B176)</f>
        <v>0</v>
      </c>
      <c r="K11" s="1">
        <f ca="1">$B11*('Updated Population'!K$4/'Updated Population'!$B$4)*('Total Distance Tables Sup #1'!K176/'Total Distance Tables Sup #1'!$B176)</f>
        <v>0</v>
      </c>
    </row>
    <row r="12" spans="1:11" x14ac:dyDescent="0.25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$B12*('Updated Population'!C$4/'Updated Population'!$B$4)*('Total Distance Tables Sup #1'!C177/'Total Distance Tables Sup #1'!$B177)</f>
        <v>43.241376944285022</v>
      </c>
      <c r="D12" s="4">
        <f ca="1">$B12*('Updated Population'!D$4/'Updated Population'!$B$4)*('Total Distance Tables Sup #1'!D177/'Total Distance Tables Sup #1'!$B177)</f>
        <v>41.99874202560585</v>
      </c>
      <c r="E12" s="4">
        <f ca="1">$B12*('Updated Population'!E$4/'Updated Population'!$B$4)*('Total Distance Tables Sup #1'!E177/'Total Distance Tables Sup #1'!$B177)</f>
        <v>41.057109082752966</v>
      </c>
      <c r="F12" s="4">
        <f ca="1">$B12*('Updated Population'!F$4/'Updated Population'!$B$4)*('Total Distance Tables Sup #1'!F177/'Total Distance Tables Sup #1'!$B177)</f>
        <v>39.374852145638336</v>
      </c>
      <c r="G12" s="4">
        <f ca="1">$B12*('Updated Population'!G$4/'Updated Population'!$B$4)*('Total Distance Tables Sup #1'!G177/'Total Distance Tables Sup #1'!$B177)</f>
        <v>38.14530015713251</v>
      </c>
      <c r="H12" s="4">
        <f ca="1">$B12*('Updated Population'!H$4/'Updated Population'!$B$4)*('Total Distance Tables Sup #1'!H177/'Total Distance Tables Sup #1'!$B177)</f>
        <v>36.780698874868136</v>
      </c>
      <c r="I12" s="1">
        <f ca="1">$B12*('Updated Population'!I$4/'Updated Population'!$B$4)*('Total Distance Tables Sup #1'!I177/'Total Distance Tables Sup #1'!$B177)</f>
        <v>36.955145886517805</v>
      </c>
      <c r="J12" s="1">
        <f ca="1">$B12*('Updated Population'!J$4/'Updated Population'!$B$4)*('Total Distance Tables Sup #1'!J177/'Total Distance Tables Sup #1'!$B177)</f>
        <v>37.012227756624931</v>
      </c>
      <c r="K12" s="1">
        <f ca="1">$B12*('Updated Population'!K$4/'Updated Population'!$B$4)*('Total Distance Tables Sup #1'!K177/'Total Distance Tables Sup #1'!$B177)</f>
        <v>36.989733266911308</v>
      </c>
    </row>
    <row r="13" spans="1:11" x14ac:dyDescent="0.25">
      <c r="A13" t="str">
        <f ca="1">OFFSET(Northland_Reference,49,2)</f>
        <v>Local Ferry</v>
      </c>
      <c r="B13" s="4">
        <f ca="1">OFFSET(Northland_Reference,49,6)</f>
        <v>0</v>
      </c>
      <c r="C13" s="4">
        <f ca="1">$B13*('Updated Population'!C$4/'Updated Population'!$B$4)*('Total Distance Tables Sup #1'!C178/'Total Distance Tables Sup #1'!$B178)</f>
        <v>0</v>
      </c>
      <c r="D13" s="4">
        <f ca="1">$B13*('Updated Population'!D$4/'Updated Population'!$B$4)*('Total Distance Tables Sup #1'!D178/'Total Distance Tables Sup #1'!$B178)</f>
        <v>0</v>
      </c>
      <c r="E13" s="4">
        <f ca="1">$B13*('Updated Population'!E$4/'Updated Population'!$B$4)*('Total Distance Tables Sup #1'!E178/'Total Distance Tables Sup #1'!$B178)</f>
        <v>0</v>
      </c>
      <c r="F13" s="4">
        <f ca="1">$B13*('Updated Population'!F$4/'Updated Population'!$B$4)*('Total Distance Tables Sup #1'!F178/'Total Distance Tables Sup #1'!$B178)</f>
        <v>0</v>
      </c>
      <c r="G13" s="4">
        <f ca="1">$B13*('Updated Population'!G$4/'Updated Population'!$B$4)*('Total Distance Tables Sup #1'!G178/'Total Distance Tables Sup #1'!$B178)</f>
        <v>0</v>
      </c>
      <c r="H13" s="4">
        <f ca="1">$B13*('Updated Population'!H$4/'Updated Population'!$B$4)*('Total Distance Tables Sup #1'!H178/'Total Distance Tables Sup #1'!$B178)</f>
        <v>0</v>
      </c>
      <c r="I13" s="1">
        <f ca="1">$B13*('Updated Population'!I$4/'Updated Population'!$B$4)*('Total Distance Tables Sup #1'!I178/'Total Distance Tables Sup #1'!$B178)</f>
        <v>0</v>
      </c>
      <c r="J13" s="1">
        <f ca="1">$B13*('Updated Population'!J$4/'Updated Population'!$B$4)*('Total Distance Tables Sup #1'!J178/'Total Distance Tables Sup #1'!$B178)</f>
        <v>0</v>
      </c>
      <c r="K13" s="1">
        <f ca="1">$B13*('Updated Population'!K$4/'Updated Population'!$B$4)*('Total Distance Tables Sup #1'!K178/'Total Distance Tables Sup #1'!$B178)</f>
        <v>0</v>
      </c>
    </row>
    <row r="14" spans="1:11" x14ac:dyDescent="0.25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$B14*('Updated Population'!C$4/'Updated Population'!$B$4)*('Total Distance Tables Sup #1'!C179/'Total Distance Tables Sup #1'!$B179)</f>
        <v>0</v>
      </c>
      <c r="D14" s="4">
        <f ca="1">$B14*('Updated Population'!D$4/'Updated Population'!$B$4)*('Total Distance Tables Sup #1'!D179/'Total Distance Tables Sup #1'!$B179)</f>
        <v>0</v>
      </c>
      <c r="E14" s="4">
        <f ca="1">$B14*('Updated Population'!E$4/'Updated Population'!$B$4)*('Total Distance Tables Sup #1'!E179/'Total Distance Tables Sup #1'!$B179)</f>
        <v>0</v>
      </c>
      <c r="F14" s="4">
        <f ca="1">$B14*('Updated Population'!F$4/'Updated Population'!$B$4)*('Total Distance Tables Sup #1'!F179/'Total Distance Tables Sup #1'!$B179)</f>
        <v>0</v>
      </c>
      <c r="G14" s="4">
        <f ca="1">$B14*('Updated Population'!G$4/'Updated Population'!$B$4)*('Total Distance Tables Sup #1'!G179/'Total Distance Tables Sup #1'!$B179)</f>
        <v>0</v>
      </c>
      <c r="H14" s="4">
        <f ca="1">$B14*('Updated Population'!H$4/'Updated Population'!$B$4)*('Total Distance Tables Sup #1'!H179/'Total Distance Tables Sup #1'!$B179)</f>
        <v>0</v>
      </c>
      <c r="I14" s="1">
        <f ca="1">$B14*('Updated Population'!I$4/'Updated Population'!$B$4)*('Total Distance Tables Sup #1'!I179/'Total Distance Tables Sup #1'!$B179)</f>
        <v>0</v>
      </c>
      <c r="J14" s="1">
        <f ca="1">$B14*('Updated Population'!J$4/'Updated Population'!$B$4)*('Total Distance Tables Sup #1'!J179/'Total Distance Tables Sup #1'!$B179)</f>
        <v>0</v>
      </c>
      <c r="K14" s="1">
        <f ca="1">$B14*('Updated Population'!K$4/'Updated Population'!$B$4)*('Total Distance Tables Sup #1'!K179/'Total Distance Tables Sup #1'!$B179)</f>
        <v>0</v>
      </c>
    </row>
    <row r="15" spans="1:11" x14ac:dyDescent="0.25">
      <c r="A15" t="str">
        <f ca="1">OFFSET(Auckland_Reference,0,0)</f>
        <v>02 AUCKLAND</v>
      </c>
      <c r="I15" s="1"/>
      <c r="J15" s="1"/>
      <c r="K15" s="1"/>
    </row>
    <row r="16" spans="1:11" x14ac:dyDescent="0.25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$B16*('Updated Population'!C$15/'Updated Population'!$B$15)*('Total Distance Tables Sup #1'!C170/'Total Distance Tables Sup #1'!$B170)</f>
        <v>330.37694270177843</v>
      </c>
      <c r="D16" s="4">
        <f ca="1">$B16*('Updated Population'!D$15/'Updated Population'!$B$15)*('Total Distance Tables Sup #1'!D170/'Total Distance Tables Sup #1'!$B170)</f>
        <v>354.72010399799848</v>
      </c>
      <c r="E16" s="4">
        <f ca="1">$B16*('Updated Population'!E$15/'Updated Population'!$B$15)*('Total Distance Tables Sup #1'!E170/'Total Distance Tables Sup #1'!$B170)</f>
        <v>370.22724367963428</v>
      </c>
      <c r="F16" s="4">
        <f ca="1">$B16*('Updated Population'!F$15/'Updated Population'!$B$15)*('Total Distance Tables Sup #1'!F170/'Total Distance Tables Sup #1'!$B170)</f>
        <v>381.54436405923303</v>
      </c>
      <c r="G16" s="4">
        <f ca="1">$B16*('Updated Population'!G$15/'Updated Population'!$B$15)*('Total Distance Tables Sup #1'!G170/'Total Distance Tables Sup #1'!$B170)</f>
        <v>391.29193115694505</v>
      </c>
      <c r="H16" s="4">
        <f ca="1">$B16*('Updated Population'!H$15/'Updated Population'!$B$15)*('Total Distance Tables Sup #1'!H170/'Total Distance Tables Sup #1'!$B170)</f>
        <v>399.32237312753409</v>
      </c>
      <c r="I16" s="1">
        <f ca="1">$B16*('Updated Population'!I$15/'Updated Population'!$B$15)*('Total Distance Tables Sup #1'!I170/'Total Distance Tables Sup #1'!$B170)</f>
        <v>416.48340248727834</v>
      </c>
      <c r="J16" s="1">
        <f ca="1">$B16*('Updated Population'!J$15/'Updated Population'!$B$15)*('Total Distance Tables Sup #1'!J170/'Total Distance Tables Sup #1'!$B170)</f>
        <v>432.99922100578317</v>
      </c>
      <c r="K16" s="1">
        <f ca="1">$B16*('Updated Population'!K$15/'Updated Population'!$B$15)*('Total Distance Tables Sup #1'!K170/'Total Distance Tables Sup #1'!$B170)</f>
        <v>449.2025366541647</v>
      </c>
    </row>
    <row r="17" spans="1:11" x14ac:dyDescent="0.25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$B17*('Updated Population'!C$15/'Updated Population'!$B$15)*('Total Distance Tables Sup #1'!C171/'Total Distance Tables Sup #1'!$B171)</f>
        <v>64.347951433667134</v>
      </c>
      <c r="D17" s="4">
        <f ca="1">$B17*('Updated Population'!D$15/'Updated Population'!$B$15)*('Total Distance Tables Sup #1'!D171/'Total Distance Tables Sup #1'!$B171)</f>
        <v>69.637279221284018</v>
      </c>
      <c r="E17" s="4">
        <f ca="1">$B17*('Updated Population'!E$15/'Updated Population'!$B$15)*('Total Distance Tables Sup #1'!E171/'Total Distance Tables Sup #1'!$B171)</f>
        <v>72.87356290333544</v>
      </c>
      <c r="F17" s="4">
        <f ca="1">$B17*('Updated Population'!F$15/'Updated Population'!$B$15)*('Total Distance Tables Sup #1'!F171/'Total Distance Tables Sup #1'!$B171)</f>
        <v>76.96591721421855</v>
      </c>
      <c r="G17" s="4">
        <f ca="1">$B17*('Updated Population'!G$15/'Updated Population'!$B$15)*('Total Distance Tables Sup #1'!G171/'Total Distance Tables Sup #1'!$B171)</f>
        <v>82.219881525435127</v>
      </c>
      <c r="H17" s="4">
        <f ca="1">$B17*('Updated Population'!H$15/'Updated Population'!$B$15)*('Total Distance Tables Sup #1'!H171/'Total Distance Tables Sup #1'!$B171)</f>
        <v>87.653738940671772</v>
      </c>
      <c r="I17" s="1">
        <f ca="1">$B17*('Updated Population'!I$15/'Updated Population'!$B$15)*('Total Distance Tables Sup #1'!I171/'Total Distance Tables Sup #1'!$B171)</f>
        <v>91.420691379802463</v>
      </c>
      <c r="J17" s="1">
        <f ca="1">$B17*('Updated Population'!J$15/'Updated Population'!$B$15)*('Total Distance Tables Sup #1'!J171/'Total Distance Tables Sup #1'!$B171)</f>
        <v>95.04601603535383</v>
      </c>
      <c r="K17" s="1">
        <f ca="1">$B17*('Updated Population'!K$15/'Updated Population'!$B$15)*('Total Distance Tables Sup #1'!K171/'Total Distance Tables Sup #1'!$B171)</f>
        <v>98.602744371642004</v>
      </c>
    </row>
    <row r="18" spans="1:11" x14ac:dyDescent="0.25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$B18*('Updated Population'!C$15/'Updated Population'!$B$15)*('Total Distance Tables Sup #1'!C172/'Total Distance Tables Sup #1'!$B172)</f>
        <v>10848.203987755929</v>
      </c>
      <c r="D18" s="4">
        <f ca="1">$B18*('Updated Population'!D$15/'Updated Population'!$B$15)*('Total Distance Tables Sup #1'!D172/'Total Distance Tables Sup #1'!$B172)</f>
        <v>11875.434717739912</v>
      </c>
      <c r="E18" s="4">
        <f ca="1">$B18*('Updated Population'!E$15/'Updated Population'!$B$15)*('Total Distance Tables Sup #1'!E172/'Total Distance Tables Sup #1'!$B172)</f>
        <v>12778.27033108083</v>
      </c>
      <c r="F18" s="4">
        <f ca="1">$B18*('Updated Population'!F$15/'Updated Population'!$B$15)*('Total Distance Tables Sup #1'!F172/'Total Distance Tables Sup #1'!$B172)</f>
        <v>13628.359004494714</v>
      </c>
      <c r="G18" s="4">
        <f ca="1">$B18*('Updated Population'!G$15/'Updated Population'!$B$15)*('Total Distance Tables Sup #1'!G172/'Total Distance Tables Sup #1'!$B172)</f>
        <v>14335.982945065176</v>
      </c>
      <c r="H18" s="4">
        <f ca="1">$B18*('Updated Population'!H$15/'Updated Population'!$B$15)*('Total Distance Tables Sup #1'!H172/'Total Distance Tables Sup #1'!$B172)</f>
        <v>14987.87962421565</v>
      </c>
      <c r="I18" s="1">
        <f ca="1">$B18*('Updated Population'!I$15/'Updated Population'!$B$15)*('Total Distance Tables Sup #1'!I172/'Total Distance Tables Sup #1'!$B172)</f>
        <v>15631.989395118293</v>
      </c>
      <c r="J18" s="1">
        <f ca="1">$B18*('Updated Population'!J$15/'Updated Population'!$B$15)*('Total Distance Tables Sup #1'!J172/'Total Distance Tables Sup #1'!$B172)</f>
        <v>16251.882284945643</v>
      </c>
      <c r="K18" s="1">
        <f ca="1">$B18*('Updated Population'!K$15/'Updated Population'!$B$15)*('Total Distance Tables Sup #1'!K172/'Total Distance Tables Sup #1'!$B172)</f>
        <v>16860.045916121777</v>
      </c>
    </row>
    <row r="19" spans="1:11" x14ac:dyDescent="0.25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$B19*('Updated Population'!C$15/'Updated Population'!$B$15)*('Total Distance Tables Sup #1'!C173/'Total Distance Tables Sup #1'!$B173)</f>
        <v>5349.1711272399316</v>
      </c>
      <c r="D19" s="4">
        <f ca="1">$B19*('Updated Population'!D$15/'Updated Population'!$B$15)*('Total Distance Tables Sup #1'!D173/'Total Distance Tables Sup #1'!$B173)</f>
        <v>5722.3138825991591</v>
      </c>
      <c r="E19" s="4">
        <f ca="1">$B19*('Updated Population'!E$15/'Updated Population'!$B$15)*('Total Distance Tables Sup #1'!E173/'Total Distance Tables Sup #1'!$B173)</f>
        <v>6024.6555741588172</v>
      </c>
      <c r="F19" s="4">
        <f ca="1">$B19*('Updated Population'!F$15/'Updated Population'!$B$15)*('Total Distance Tables Sup #1'!F173/'Total Distance Tables Sup #1'!$B173)</f>
        <v>6277.7427330771498</v>
      </c>
      <c r="G19" s="4">
        <f ca="1">$B19*('Updated Population'!G$15/'Updated Population'!$B$15)*('Total Distance Tables Sup #1'!G173/'Total Distance Tables Sup #1'!$B173)</f>
        <v>6481.3135384812722</v>
      </c>
      <c r="H19" s="4">
        <f ca="1">$B19*('Updated Population'!H$15/'Updated Population'!$B$15)*('Total Distance Tables Sup #1'!H173/'Total Distance Tables Sup #1'!$B173)</f>
        <v>6650.3269845455352</v>
      </c>
      <c r="I19" s="1">
        <f ca="1">$B19*('Updated Population'!I$15/'Updated Population'!$B$15)*('Total Distance Tables Sup #1'!I173/'Total Distance Tables Sup #1'!$B173)</f>
        <v>6936.1272910493626</v>
      </c>
      <c r="J19" s="1">
        <f ca="1">$B19*('Updated Population'!J$15/'Updated Population'!$B$15)*('Total Distance Tables Sup #1'!J173/'Total Distance Tables Sup #1'!$B173)</f>
        <v>7211.1822365191738</v>
      </c>
      <c r="K19" s="1">
        <f ca="1">$B19*('Updated Population'!K$15/'Updated Population'!$B$15)*('Total Distance Tables Sup #1'!K173/'Total Distance Tables Sup #1'!$B173)</f>
        <v>7481.0327496561513</v>
      </c>
    </row>
    <row r="20" spans="1:11" x14ac:dyDescent="0.25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$B20*('Updated Population'!C$15/'Updated Population'!$B$15)*('Total Distance Tables Sup #1'!C174/'Total Distance Tables Sup #1'!$B174)</f>
        <v>49.840108466183544</v>
      </c>
      <c r="D20" s="4">
        <f ca="1">$B20*('Updated Population'!D$15/'Updated Population'!$B$15)*('Total Distance Tables Sup #1'!D174/'Total Distance Tables Sup #1'!$B174)</f>
        <v>57.586509068573875</v>
      </c>
      <c r="E20" s="4">
        <f ca="1">$B20*('Updated Population'!E$15/'Updated Population'!$B$15)*('Total Distance Tables Sup #1'!E174/'Total Distance Tables Sup #1'!$B174)</f>
        <v>64.698563414112058</v>
      </c>
      <c r="F20" s="4">
        <f ca="1">$B20*('Updated Population'!F$15/'Updated Population'!$B$15)*('Total Distance Tables Sup #1'!F174/'Total Distance Tables Sup #1'!$B174)</f>
        <v>71.312294201779224</v>
      </c>
      <c r="G20" s="4">
        <f ca="1">$B20*('Updated Population'!G$15/'Updated Population'!$B$15)*('Total Distance Tables Sup #1'!G174/'Total Distance Tables Sup #1'!$B174)</f>
        <v>76.919867799798936</v>
      </c>
      <c r="H20" s="4">
        <f ca="1">$B20*('Updated Population'!H$15/'Updated Population'!$B$15)*('Total Distance Tables Sup #1'!H174/'Total Distance Tables Sup #1'!$B174)</f>
        <v>82.412258988662813</v>
      </c>
      <c r="I20" s="1">
        <f ca="1">$B20*('Updated Population'!I$15/'Updated Population'!$B$15)*('Total Distance Tables Sup #1'!I174/'Total Distance Tables Sup #1'!$B174)</f>
        <v>85.95395685304868</v>
      </c>
      <c r="J20" s="1">
        <f ca="1">$B20*('Updated Population'!J$15/'Updated Population'!$B$15)*('Total Distance Tables Sup #1'!J174/'Total Distance Tables Sup #1'!$B174)</f>
        <v>89.362495930126812</v>
      </c>
      <c r="K20" s="1">
        <f ca="1">$B20*('Updated Population'!K$15/'Updated Population'!$B$15)*('Total Distance Tables Sup #1'!K174/'Total Distance Tables Sup #1'!$B174)</f>
        <v>92.706540580645282</v>
      </c>
    </row>
    <row r="21" spans="1:11" x14ac:dyDescent="0.25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$B21*('Updated Population'!C$15/'Updated Population'!$B$15)*('Total Distance Tables Sup #1'!C175/'Total Distance Tables Sup #1'!$B175)</f>
        <v>49.928920826884415</v>
      </c>
      <c r="D21" s="4">
        <f ca="1">$B21*('Updated Population'!D$15/'Updated Population'!$B$15)*('Total Distance Tables Sup #1'!D175/'Total Distance Tables Sup #1'!$B175)</f>
        <v>54.142780495585242</v>
      </c>
      <c r="E21" s="4">
        <f ca="1">$B21*('Updated Population'!E$15/'Updated Population'!$B$15)*('Total Distance Tables Sup #1'!E175/'Total Distance Tables Sup #1'!$B175)</f>
        <v>56.880456748824415</v>
      </c>
      <c r="F21" s="4">
        <f ca="1">$B21*('Updated Population'!F$15/'Updated Population'!$B$15)*('Total Distance Tables Sup #1'!F175/'Total Distance Tables Sup #1'!$B175)</f>
        <v>58.946687618433288</v>
      </c>
      <c r="G21" s="4">
        <f ca="1">$B21*('Updated Population'!G$15/'Updated Population'!$B$15)*('Total Distance Tables Sup #1'!G175/'Total Distance Tables Sup #1'!$B175)</f>
        <v>59.838000144828406</v>
      </c>
      <c r="H21" s="4">
        <f ca="1">$B21*('Updated Population'!H$15/'Updated Population'!$B$15)*('Total Distance Tables Sup #1'!H175/'Total Distance Tables Sup #1'!$B175)</f>
        <v>60.333044287451152</v>
      </c>
      <c r="I21" s="1">
        <f ca="1">$B21*('Updated Population'!I$15/'Updated Population'!$B$15)*('Total Distance Tables Sup #1'!I175/'Total Distance Tables Sup #1'!$B175)</f>
        <v>62.925879585585129</v>
      </c>
      <c r="J21" s="1">
        <f ca="1">$B21*('Updated Population'!J$15/'Updated Population'!$B$15)*('Total Distance Tables Sup #1'!J175/'Total Distance Tables Sup #1'!$B175)</f>
        <v>65.421230903659705</v>
      </c>
      <c r="K21" s="1">
        <f ca="1">$B21*('Updated Population'!K$15/'Updated Population'!$B$15)*('Total Distance Tables Sup #1'!K175/'Total Distance Tables Sup #1'!$B175)</f>
        <v>67.869366611560878</v>
      </c>
    </row>
    <row r="22" spans="1:11" x14ac:dyDescent="0.25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142.28315175</v>
      </c>
      <c r="D22" s="4">
        <f ca="1">OFFSET(Auckland_Reference,44,6)</f>
        <v>151.9895195</v>
      </c>
      <c r="E22" s="4">
        <f ca="1">OFFSET(Auckland_Reference,45,6)</f>
        <v>159.40260860999999</v>
      </c>
      <c r="F22" s="4">
        <f ca="1">OFFSET(Auckland_Reference,46,6)</f>
        <v>165.52680409000001</v>
      </c>
      <c r="G22" s="4">
        <f ca="1">OFFSET(Auckland_Reference,47,6)</f>
        <v>169.11231931</v>
      </c>
      <c r="H22" s="4">
        <f ca="1">OFFSET(Auckland_Reference,48,6)</f>
        <v>171.32241389000001</v>
      </c>
      <c r="I22" s="1">
        <f ca="1">OFFSET(Auckland_Reference,48,6)*('Updated Population'!I15/'Updated Population'!H15)</f>
        <v>178.68505914256025</v>
      </c>
      <c r="J22" s="1">
        <f ca="1">OFFSET(Auckland_Reference,48,6)*('Updated Population'!J15/'Updated Population'!H15)</f>
        <v>185.77088775215768</v>
      </c>
      <c r="K22" s="1">
        <f ca="1">OFFSET(Auckland_Reference,48,6)*('Updated Population'!K15/'Updated Population'!H15)</f>
        <v>192.72264236625679</v>
      </c>
    </row>
    <row r="23" spans="1:11" x14ac:dyDescent="0.25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478.77990081000002</v>
      </c>
      <c r="D23" s="4">
        <f ca="1">OFFSET(Auckland_Reference,51,6)</f>
        <v>499.04930562999999</v>
      </c>
      <c r="E23" s="4">
        <f ca="1">OFFSET(Auckland_Reference,52,6)</f>
        <v>509.52359158000002</v>
      </c>
      <c r="F23" s="4">
        <f ca="1">OFFSET(Auckland_Reference,53,6)</f>
        <v>508.78029996999999</v>
      </c>
      <c r="G23" s="4">
        <f ca="1">OFFSET(Auckland_Reference,54,6)</f>
        <v>506.05434568999999</v>
      </c>
      <c r="H23" s="4">
        <f ca="1">OFFSET(Auckland_Reference,55,6)</f>
        <v>498.97802371</v>
      </c>
      <c r="I23" s="1">
        <f ca="1">OFFSET(Auckland_Reference,55,6)*('Updated Population'!I15/'Updated Population'!H15)</f>
        <v>520.42179218129377</v>
      </c>
      <c r="J23" s="1">
        <f ca="1">OFFSET(Auckland_Reference,55,6)*('Updated Population'!J15/'Updated Population'!H15)</f>
        <v>541.05932976720953</v>
      </c>
      <c r="K23" s="1">
        <f ca="1">OFFSET(Auckland_Reference,55,6)*('Updated Population'!K15/'Updated Population'!H15)</f>
        <v>561.30637567264034</v>
      </c>
    </row>
    <row r="24" spans="1:11" x14ac:dyDescent="0.25">
      <c r="A24" t="str">
        <f ca="1">OFFSET(Auckland_Reference,56,2)</f>
        <v>Local Ferry</v>
      </c>
      <c r="B24" s="4">
        <f ca="1">OFFSET(Auckland_Reference,56,6)</f>
        <v>0</v>
      </c>
      <c r="C24" s="4">
        <f ca="1">$B24*('Updated Population'!C$15/'Updated Population'!$B$15)*('Total Distance Tables Sup #1'!C178/'Total Distance Tables Sup #1'!$B178)</f>
        <v>0</v>
      </c>
      <c r="D24" s="4">
        <f ca="1">$B24*('Updated Population'!D$15/'Updated Population'!$B$15)*('Total Distance Tables Sup #1'!D178/'Total Distance Tables Sup #1'!$B178)</f>
        <v>0</v>
      </c>
      <c r="E24" s="4">
        <f ca="1">$B24*('Updated Population'!E$15/'Updated Population'!$B$15)*('Total Distance Tables Sup #1'!E178/'Total Distance Tables Sup #1'!$B178)</f>
        <v>0</v>
      </c>
      <c r="F24" s="4">
        <f ca="1">$B24*('Updated Population'!F$15/'Updated Population'!$B$15)*('Total Distance Tables Sup #1'!F178/'Total Distance Tables Sup #1'!$B178)</f>
        <v>0</v>
      </c>
      <c r="G24" s="4">
        <f ca="1">$B24*('Updated Population'!G$15/'Updated Population'!$B$15)*('Total Distance Tables Sup #1'!G178/'Total Distance Tables Sup #1'!$B178)</f>
        <v>0</v>
      </c>
      <c r="H24" s="4">
        <f ca="1">$B24*('Updated Population'!H$15/'Updated Population'!$B$15)*('Total Distance Tables Sup #1'!H178/'Total Distance Tables Sup #1'!$B178)</f>
        <v>0</v>
      </c>
      <c r="I24" s="1">
        <f ca="1">$B24*('Updated Population'!I$15/'Updated Population'!$B$15)*('Total Distance Tables Sup #1'!I178/'Total Distance Tables Sup #1'!$B178)</f>
        <v>0</v>
      </c>
      <c r="J24" s="1">
        <f ca="1">$B24*('Updated Population'!J$15/'Updated Population'!$B$15)*('Total Distance Tables Sup #1'!J178/'Total Distance Tables Sup #1'!$B178)</f>
        <v>0</v>
      </c>
      <c r="K24" s="1">
        <f ca="1">$B24*('Updated Population'!K$15/'Updated Population'!$B$15)*('Total Distance Tables Sup #1'!K178/'Total Distance Tables Sup #1'!$B178)</f>
        <v>0</v>
      </c>
    </row>
    <row r="25" spans="1:11" x14ac:dyDescent="0.25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$B25*('Updated Population'!C$15/'Updated Population'!$B$15)*('Total Distance Tables Sup #1'!C179/'Total Distance Tables Sup #1'!$B179)</f>
        <v>1.9362794160716728</v>
      </c>
      <c r="D25" s="4">
        <f ca="1">$B25*('Updated Population'!D$15/'Updated Population'!$B$15)*('Total Distance Tables Sup #1'!D179/'Total Distance Tables Sup #1'!$B179)</f>
        <v>1.9388680381132992</v>
      </c>
      <c r="E25" s="4">
        <f ca="1">$B25*('Updated Population'!E$15/'Updated Population'!$B$15)*('Total Distance Tables Sup #1'!E179/'Total Distance Tables Sup #1'!$B179)</f>
        <v>2.308375721308991</v>
      </c>
      <c r="F25" s="4">
        <f ca="1">$B25*('Updated Population'!F$15/'Updated Population'!$B$15)*('Total Distance Tables Sup #1'!F179/'Total Distance Tables Sup #1'!$B179)</f>
        <v>2.5468442059193324</v>
      </c>
      <c r="G25" s="4">
        <f ca="1">$B25*('Updated Population'!G$15/'Updated Population'!$B$15)*('Total Distance Tables Sup #1'!G179/'Total Distance Tables Sup #1'!$B179)</f>
        <v>2.6150570016446664</v>
      </c>
      <c r="H25" s="4">
        <f ca="1">$B25*('Updated Population'!H$15/'Updated Population'!$B$15)*('Total Distance Tables Sup #1'!H179/'Total Distance Tables Sup #1'!$B179)</f>
        <v>2.6212843218927548</v>
      </c>
      <c r="I25" s="1">
        <f ca="1">$B25*('Updated Population'!I$15/'Updated Population'!$B$15)*('Total Distance Tables Sup #1'!I179/'Total Distance Tables Sup #1'!$B179)</f>
        <v>2.7339350027347016</v>
      </c>
      <c r="J25" s="1">
        <f ca="1">$B25*('Updated Population'!J$15/'Updated Population'!$B$15)*('Total Distance Tables Sup #1'!J179/'Total Distance Tables Sup #1'!$B179)</f>
        <v>2.8423503059061974</v>
      </c>
      <c r="K25" s="1">
        <f ca="1">$B25*('Updated Population'!K$15/'Updated Population'!$B$15)*('Total Distance Tables Sup #1'!K179/'Total Distance Tables Sup #1'!$B179)</f>
        <v>2.9487142367301207</v>
      </c>
    </row>
    <row r="26" spans="1:11" x14ac:dyDescent="0.25">
      <c r="A26" t="str">
        <f ca="1">OFFSET(Waikato_Reference,0,0)</f>
        <v>03 WAIKATO</v>
      </c>
      <c r="I26" s="1"/>
      <c r="J26" s="1"/>
      <c r="K26" s="1"/>
    </row>
    <row r="27" spans="1:11" x14ac:dyDescent="0.25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$B27*('Updated Population'!C$26/'Updated Population'!$B$26)*('Total Distance Tables Sup #1'!C170/'Total Distance Tables Sup #1'!$B170)</f>
        <v>57.103787265783119</v>
      </c>
      <c r="D27" s="4">
        <f ca="1">$B27*('Updated Population'!D$26/'Updated Population'!$B$26)*('Total Distance Tables Sup #1'!D170/'Total Distance Tables Sup #1'!$B170)</f>
        <v>59.210566110970603</v>
      </c>
      <c r="E27" s="4">
        <f ca="1">$B27*('Updated Population'!E$26/'Updated Population'!$B$26)*('Total Distance Tables Sup #1'!E170/'Total Distance Tables Sup #1'!$B170)</f>
        <v>60.20588968231872</v>
      </c>
      <c r="F27" s="4">
        <f ca="1">$B27*('Updated Population'!F$26/'Updated Population'!$B$26)*('Total Distance Tables Sup #1'!F170/'Total Distance Tables Sup #1'!$B170)</f>
        <v>60.55556499594914</v>
      </c>
      <c r="G27" s="4">
        <f ca="1">$B27*('Updated Population'!G$26/'Updated Population'!$B$26)*('Total Distance Tables Sup #1'!G170/'Total Distance Tables Sup #1'!$B170)</f>
        <v>60.725681494004156</v>
      </c>
      <c r="H27" s="4">
        <f ca="1">$B27*('Updated Population'!H$26/'Updated Population'!$B$26)*('Total Distance Tables Sup #1'!H170/'Total Distance Tables Sup #1'!$B170)</f>
        <v>60.682840280312526</v>
      </c>
      <c r="I27" s="1">
        <f ca="1">$B27*('Updated Population'!I$26/'Updated Population'!$B$26)*('Total Distance Tables Sup #1'!I170/'Total Distance Tables Sup #1'!$B170)</f>
        <v>61.974168234900176</v>
      </c>
      <c r="J27" s="1">
        <f ca="1">$B27*('Updated Population'!J$26/'Updated Population'!$B$26)*('Total Distance Tables Sup #1'!J170/'Total Distance Tables Sup #1'!$B170)</f>
        <v>63.09150313998628</v>
      </c>
      <c r="K27" s="1">
        <f ca="1">$B27*('Updated Population'!K$26/'Updated Population'!$B$26)*('Total Distance Tables Sup #1'!K170/'Total Distance Tables Sup #1'!$B170)</f>
        <v>64.090950291826474</v>
      </c>
    </row>
    <row r="28" spans="1:11" x14ac:dyDescent="0.25">
      <c r="A28" t="str">
        <f ca="1">OFFSET(Waikato_Reference,7,2)</f>
        <v>Cyclist</v>
      </c>
      <c r="B28" s="4">
        <f ca="1">OFFSET(Waikato_Reference,7,6)</f>
        <v>21.829422874999999</v>
      </c>
      <c r="C28" s="4">
        <f ca="1">$B28*('Updated Population'!C$26/'Updated Population'!$B$26)*('Total Distance Tables Sup #1'!C171/'Total Distance Tables Sup #1'!$B171)</f>
        <v>24.312276494242067</v>
      </c>
      <c r="D28" s="4">
        <f ca="1">$B28*('Updated Population'!D$26/'Updated Population'!$B$26)*('Total Distance Tables Sup #1'!D171/'Total Distance Tables Sup #1'!$B171)</f>
        <v>25.4091959763646</v>
      </c>
      <c r="E28" s="4">
        <f ca="1">$B28*('Updated Population'!E$26/'Updated Population'!$B$26)*('Total Distance Tables Sup #1'!E171/'Total Distance Tables Sup #1'!$B171)</f>
        <v>25.904566330809143</v>
      </c>
      <c r="F28" s="4">
        <f ca="1">$B28*('Updated Population'!F$26/'Updated Population'!$B$26)*('Total Distance Tables Sup #1'!F171/'Total Distance Tables Sup #1'!$B171)</f>
        <v>26.701962709033168</v>
      </c>
      <c r="G28" s="4">
        <f ca="1">$B28*('Updated Population'!G$26/'Updated Population'!$B$26)*('Total Distance Tables Sup #1'!G171/'Total Distance Tables Sup #1'!$B171)</f>
        <v>27.892283428066399</v>
      </c>
      <c r="H28" s="4">
        <f ca="1">$B28*('Updated Population'!H$26/'Updated Population'!$B$26)*('Total Distance Tables Sup #1'!H171/'Total Distance Tables Sup #1'!$B171)</f>
        <v>29.117120280416305</v>
      </c>
      <c r="I28" s="1">
        <f ca="1">$B28*('Updated Population'!I$26/'Updated Population'!$B$26)*('Total Distance Tables Sup #1'!I171/'Total Distance Tables Sup #1'!$B171)</f>
        <v>29.736731214932686</v>
      </c>
      <c r="J28" s="1">
        <f ca="1">$B28*('Updated Population'!J$26/'Updated Population'!$B$26)*('Total Distance Tables Sup #1'!J171/'Total Distance Tables Sup #1'!$B171)</f>
        <v>30.272856002016102</v>
      </c>
      <c r="K28" s="1">
        <f ca="1">$B28*('Updated Population'!K$26/'Updated Population'!$B$26)*('Total Distance Tables Sup #1'!K171/'Total Distance Tables Sup #1'!$B171)</f>
        <v>30.752415343662342</v>
      </c>
    </row>
    <row r="29" spans="1:11" x14ac:dyDescent="0.25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$B29*('Updated Population'!C$26/'Updated Population'!$B$26)*('Total Distance Tables Sup #1'!C172/'Total Distance Tables Sup #1'!$B172)</f>
        <v>4149.545137173538</v>
      </c>
      <c r="D29" s="4">
        <f ca="1">$B29*('Updated Population'!D$26/'Updated Population'!$B$26)*('Total Distance Tables Sup #1'!D172/'Total Distance Tables Sup #1'!$B172)</f>
        <v>4386.8258516969017</v>
      </c>
      <c r="E29" s="4">
        <f ca="1">$B29*('Updated Population'!E$26/'Updated Population'!$B$26)*('Total Distance Tables Sup #1'!E172/'Total Distance Tables Sup #1'!$B172)</f>
        <v>4598.6477407381544</v>
      </c>
      <c r="F29" s="4">
        <f ca="1">$B29*('Updated Population'!F$26/'Updated Population'!$B$26)*('Total Distance Tables Sup #1'!F172/'Total Distance Tables Sup #1'!$B172)</f>
        <v>4786.7423339170145</v>
      </c>
      <c r="G29" s="4">
        <f ca="1">$B29*('Updated Population'!G$26/'Updated Population'!$B$26)*('Total Distance Tables Sup #1'!G172/'Total Distance Tables Sup #1'!$B172)</f>
        <v>4923.6417756831725</v>
      </c>
      <c r="H29" s="4">
        <f ca="1">$B29*('Updated Population'!H$26/'Updated Population'!$B$26)*('Total Distance Tables Sup #1'!H172/'Total Distance Tables Sup #1'!$B172)</f>
        <v>5040.45706931941</v>
      </c>
      <c r="I29" s="1">
        <f ca="1">$B29*('Updated Population'!I$26/'Updated Population'!$B$26)*('Total Distance Tables Sup #1'!I172/'Total Distance Tables Sup #1'!$B172)</f>
        <v>5147.7177559887314</v>
      </c>
      <c r="J29" s="1">
        <f ca="1">$B29*('Updated Population'!J$26/'Updated Population'!$B$26)*('Total Distance Tables Sup #1'!J172/'Total Distance Tables Sup #1'!$B172)</f>
        <v>5240.5261775313493</v>
      </c>
      <c r="K29" s="1">
        <f ca="1">$B29*('Updated Population'!K$26/'Updated Population'!$B$26)*('Total Distance Tables Sup #1'!K172/'Total Distance Tables Sup #1'!$B172)</f>
        <v>5323.5425696223183</v>
      </c>
    </row>
    <row r="30" spans="1:11" x14ac:dyDescent="0.25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$B30*('Updated Population'!C$26/'Updated Population'!$B$26)*('Total Distance Tables Sup #1'!C173/'Total Distance Tables Sup #1'!$B173)</f>
        <v>2099.4300023851902</v>
      </c>
      <c r="D30" s="4">
        <f ca="1">$B30*('Updated Population'!D$26/'Updated Population'!$B$26)*('Total Distance Tables Sup #1'!D173/'Total Distance Tables Sup #1'!$B173)</f>
        <v>2168.9263812040617</v>
      </c>
      <c r="E30" s="4">
        <f ca="1">$B30*('Updated Population'!E$26/'Updated Population'!$B$26)*('Total Distance Tables Sup #1'!E173/'Total Distance Tables Sup #1'!$B173)</f>
        <v>2224.6544007925554</v>
      </c>
      <c r="F30" s="4">
        <f ca="1">$B30*('Updated Population'!F$26/'Updated Population'!$B$26)*('Total Distance Tables Sup #1'!F173/'Total Distance Tables Sup #1'!$B173)</f>
        <v>2262.4149214428121</v>
      </c>
      <c r="G30" s="4">
        <f ca="1">$B30*('Updated Population'!G$26/'Updated Population'!$B$26)*('Total Distance Tables Sup #1'!G173/'Total Distance Tables Sup #1'!$B173)</f>
        <v>2283.9903307353948</v>
      </c>
      <c r="H30" s="4">
        <f ca="1">$B30*('Updated Population'!H$26/'Updated Population'!$B$26)*('Total Distance Tables Sup #1'!H173/'Total Distance Tables Sup #1'!$B173)</f>
        <v>2294.8007360088409</v>
      </c>
      <c r="I30" s="1">
        <f ca="1">$B30*('Updated Population'!I$26/'Updated Population'!$B$26)*('Total Distance Tables Sup #1'!I173/'Total Distance Tables Sup #1'!$B173)</f>
        <v>2343.6339865114201</v>
      </c>
      <c r="J30" s="1">
        <f ca="1">$B30*('Updated Population'!J$26/'Updated Population'!$B$26)*('Total Distance Tables Sup #1'!J173/'Total Distance Tables Sup #1'!$B173)</f>
        <v>2385.8874629590582</v>
      </c>
      <c r="K30" s="1">
        <f ca="1">$B30*('Updated Population'!K$26/'Updated Population'!$B$26)*('Total Distance Tables Sup #1'!K173/'Total Distance Tables Sup #1'!$B173)</f>
        <v>2423.6828602913242</v>
      </c>
    </row>
    <row r="31" spans="1:11" x14ac:dyDescent="0.25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$B31*('Updated Population'!C$26/'Updated Population'!$B$26)*('Total Distance Tables Sup #1'!C174/'Total Distance Tables Sup #1'!$B174)</f>
        <v>2.8589498139611322</v>
      </c>
      <c r="D31" s="4">
        <f ca="1">$B31*('Updated Population'!D$26/'Updated Population'!$B$26)*('Total Distance Tables Sup #1'!D174/'Total Distance Tables Sup #1'!$B174)</f>
        <v>3.1901164211374073</v>
      </c>
      <c r="E31" s="4">
        <f ca="1">$B31*('Updated Population'!E$26/'Updated Population'!$B$26)*('Total Distance Tables Sup #1'!E174/'Total Distance Tables Sup #1'!$B174)</f>
        <v>3.4917055446490108</v>
      </c>
      <c r="F31" s="4">
        <f ca="1">$B31*('Updated Population'!F$26/'Updated Population'!$B$26)*('Total Distance Tables Sup #1'!F174/'Total Distance Tables Sup #1'!$B174)</f>
        <v>3.7561748148272782</v>
      </c>
      <c r="G31" s="4">
        <f ca="1">$B31*('Updated Population'!G$26/'Updated Population'!$B$26)*('Total Distance Tables Sup #1'!G174/'Total Distance Tables Sup #1'!$B174)</f>
        <v>3.9617074701289985</v>
      </c>
      <c r="H31" s="4">
        <f ca="1">$B31*('Updated Population'!H$26/'Updated Population'!$B$26)*('Total Distance Tables Sup #1'!H174/'Total Distance Tables Sup #1'!$B174)</f>
        <v>4.1562957715930118</v>
      </c>
      <c r="I31" s="1">
        <f ca="1">$B31*('Updated Population'!I$26/'Updated Population'!$B$26)*('Total Distance Tables Sup #1'!I174/'Total Distance Tables Sup #1'!$B174)</f>
        <v>4.2447415479047343</v>
      </c>
      <c r="J31" s="1">
        <f ca="1">$B31*('Updated Population'!J$26/'Updated Population'!$B$26)*('Total Distance Tables Sup #1'!J174/'Total Distance Tables Sup #1'!$B174)</f>
        <v>4.321270173130757</v>
      </c>
      <c r="K31" s="1">
        <f ca="1">$B31*('Updated Population'!K$26/'Updated Population'!$B$26)*('Total Distance Tables Sup #1'!K174/'Total Distance Tables Sup #1'!$B174)</f>
        <v>4.3897244173938059</v>
      </c>
    </row>
    <row r="32" spans="1:11" x14ac:dyDescent="0.25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$B32*('Updated Population'!C$26/'Updated Population'!$B$26)*('Total Distance Tables Sup #1'!C175/'Total Distance Tables Sup #1'!$B175)</f>
        <v>42.122138742914572</v>
      </c>
      <c r="D32" s="4">
        <f ca="1">$B32*('Updated Population'!D$26/'Updated Population'!$B$26)*('Total Distance Tables Sup #1'!D175/'Total Distance Tables Sup #1'!$B175)</f>
        <v>44.112027316163605</v>
      </c>
      <c r="E32" s="4">
        <f ca="1">$B32*('Updated Population'!E$26/'Updated Population'!$B$26)*('Total Distance Tables Sup #1'!E175/'Total Distance Tables Sup #1'!$B175)</f>
        <v>45.147814514764178</v>
      </c>
      <c r="F32" s="4">
        <f ca="1">$B32*('Updated Population'!F$26/'Updated Population'!$B$26)*('Total Distance Tables Sup #1'!F175/'Total Distance Tables Sup #1'!$B175)</f>
        <v>45.663739708325167</v>
      </c>
      <c r="G32" s="4">
        <f ca="1">$B32*('Updated Population'!G$26/'Updated Population'!$B$26)*('Total Distance Tables Sup #1'!G175/'Total Distance Tables Sup #1'!$B175)</f>
        <v>45.326441816342566</v>
      </c>
      <c r="H32" s="4">
        <f ca="1">$B32*('Updated Population'!H$26/'Updated Population'!$B$26)*('Total Distance Tables Sup #1'!H175/'Total Distance Tables Sup #1'!$B175)</f>
        <v>44.750773699051443</v>
      </c>
      <c r="I32" s="1">
        <f ca="1">$B32*('Updated Population'!I$26/'Updated Population'!$B$26)*('Total Distance Tables Sup #1'!I175/'Total Distance Tables Sup #1'!$B175)</f>
        <v>45.703068034650613</v>
      </c>
      <c r="J32" s="1">
        <f ca="1">$B32*('Updated Population'!J$26/'Updated Population'!$B$26)*('Total Distance Tables Sup #1'!J175/'Total Distance Tables Sup #1'!$B175)</f>
        <v>46.527050584784831</v>
      </c>
      <c r="K32" s="1">
        <f ca="1">$B32*('Updated Population'!K$26/'Updated Population'!$B$26)*('Total Distance Tables Sup #1'!K175/'Total Distance Tables Sup #1'!$B175)</f>
        <v>47.264096397234596</v>
      </c>
    </row>
    <row r="33" spans="1:11" x14ac:dyDescent="0.25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Distance Tables Sup #1'!C176/'Total Distance Tables Sup #1'!$B176)</f>
        <v>0</v>
      </c>
      <c r="D33" s="4">
        <f ca="1">$B33*('Updated Population'!D$26/'Updated Population'!$B$26)*('Total Distance Tables Sup #1'!D176/'Total Distance Tables Sup #1'!$B176)</f>
        <v>0</v>
      </c>
      <c r="E33" s="4">
        <f ca="1">$B33*('Updated Population'!E$26/'Updated Population'!$B$26)*('Total Distance Tables Sup #1'!E176/'Total Distance Tables Sup #1'!$B176)</f>
        <v>0</v>
      </c>
      <c r="F33" s="4">
        <f ca="1">$B33*('Updated Population'!F$26/'Updated Population'!$B$26)*('Total Distance Tables Sup #1'!F176/'Total Distance Tables Sup #1'!$B176)</f>
        <v>0</v>
      </c>
      <c r="G33" s="4">
        <f ca="1">$B33*('Updated Population'!G$26/'Updated Population'!$B$26)*('Total Distance Tables Sup #1'!G176/'Total Distance Tables Sup #1'!$B176)</f>
        <v>0</v>
      </c>
      <c r="H33" s="4">
        <f ca="1">$B33*('Updated Population'!H$26/'Updated Population'!$B$26)*('Total Distance Tables Sup #1'!H176/'Total Distance Tables Sup #1'!$B176)</f>
        <v>0</v>
      </c>
      <c r="I33" s="1">
        <f ca="1">$B33*('Updated Population'!I$26/'Updated Population'!$B$26)*('Total Distance Tables Sup #1'!I176/'Total Distance Tables Sup #1'!$B176)</f>
        <v>0</v>
      </c>
      <c r="J33" s="1">
        <f ca="1">$B33*('Updated Population'!J$26/'Updated Population'!$B$26)*('Total Distance Tables Sup #1'!J176/'Total Distance Tables Sup #1'!$B176)</f>
        <v>0</v>
      </c>
      <c r="K33" s="1">
        <f ca="1">$B33*('Updated Population'!K$26/'Updated Population'!$B$26)*('Total Distance Tables Sup #1'!K176/'Total Distance Tables Sup #1'!$B176)</f>
        <v>0</v>
      </c>
    </row>
    <row r="34" spans="1:11" x14ac:dyDescent="0.25">
      <c r="A34" t="str">
        <f ca="1">OFFSET(Waikato_Reference,49,2)</f>
        <v>Local Bus</v>
      </c>
      <c r="B34" s="4">
        <f ca="1">OFFSET(Waikato_Reference,49,6)</f>
        <v>54.303948532</v>
      </c>
      <c r="C34" s="4">
        <f ca="1">$B34*('Updated Population'!C$26/'Updated Population'!$B$26)*('Total Distance Tables Sup #1'!C177/'Total Distance Tables Sup #1'!$B177)</f>
        <v>54.018747539502733</v>
      </c>
      <c r="D34" s="4">
        <f ca="1">$B34*('Updated Population'!D$26/'Updated Population'!$B$26)*('Total Distance Tables Sup #1'!D177/'Total Distance Tables Sup #1'!$B177)</f>
        <v>53.242996806008072</v>
      </c>
      <c r="E34" s="4">
        <f ca="1">$B34*('Updated Population'!E$26/'Updated Population'!$B$26)*('Total Distance Tables Sup #1'!E177/'Total Distance Tables Sup #1'!$B177)</f>
        <v>52.749455081145399</v>
      </c>
      <c r="F34" s="4">
        <f ca="1">$B34*('Updated Population'!F$26/'Updated Population'!$B$26)*('Total Distance Tables Sup #1'!F177/'Total Distance Tables Sup #1'!$B177)</f>
        <v>51.335397450636542</v>
      </c>
      <c r="G34" s="4">
        <f ca="1">$B34*('Updated Population'!G$26/'Updated Population'!$B$26)*('Total Distance Tables Sup #1'!G177/'Total Distance Tables Sup #1'!$B177)</f>
        <v>50.496574329075848</v>
      </c>
      <c r="H34" s="4">
        <f ca="1">$B34*('Updated Population'!H$26/'Updated Population'!$B$26)*('Total Distance Tables Sup #1'!H177/'Total Distance Tables Sup #1'!$B177)</f>
        <v>49.491511774609165</v>
      </c>
      <c r="I34" s="1">
        <f ca="1">$B34*('Updated Population'!I$26/'Updated Population'!$B$26)*('Total Distance Tables Sup #1'!I177/'Total Distance Tables Sup #1'!$B177)</f>
        <v>50.544688790947525</v>
      </c>
      <c r="J34" s="1">
        <f ca="1">$B34*('Updated Population'!J$26/'Updated Population'!$B$26)*('Total Distance Tables Sup #1'!J177/'Total Distance Tables Sup #1'!$B177)</f>
        <v>51.45596112684693</v>
      </c>
      <c r="K34" s="1">
        <f ca="1">$B34*('Updated Population'!K$26/'Updated Population'!$B$26)*('Total Distance Tables Sup #1'!K177/'Total Distance Tables Sup #1'!$B177)</f>
        <v>52.271086955745325</v>
      </c>
    </row>
    <row r="35" spans="1:11" x14ac:dyDescent="0.25">
      <c r="A35" t="str">
        <f ca="1">OFFSET(Waikato_Reference,56,2)</f>
        <v>Local Ferry</v>
      </c>
      <c r="B35" s="4">
        <f ca="1">OFFSET(Waikato_Reference,56,6)</f>
        <v>0</v>
      </c>
      <c r="C35" s="4">
        <f ca="1">$B35*('Updated Population'!C$26/'Updated Population'!$B$26)*('Total Distance Tables Sup #1'!C178/'Total Distance Tables Sup #1'!$B178)</f>
        <v>0</v>
      </c>
      <c r="D35" s="4">
        <f ca="1">$B35*('Updated Population'!D$26/'Updated Population'!$B$26)*('Total Distance Tables Sup #1'!D178/'Total Distance Tables Sup #1'!$B178)</f>
        <v>0</v>
      </c>
      <c r="E35" s="4">
        <f ca="1">$B35*('Updated Population'!E$26/'Updated Population'!$B$26)*('Total Distance Tables Sup #1'!E178/'Total Distance Tables Sup #1'!$B178)</f>
        <v>0</v>
      </c>
      <c r="F35" s="4">
        <f ca="1">$B35*('Updated Population'!F$26/'Updated Population'!$B$26)*('Total Distance Tables Sup #1'!F178/'Total Distance Tables Sup #1'!$B178)</f>
        <v>0</v>
      </c>
      <c r="G35" s="4">
        <f ca="1">$B35*('Updated Population'!G$26/'Updated Population'!$B$26)*('Total Distance Tables Sup #1'!G178/'Total Distance Tables Sup #1'!$B178)</f>
        <v>0</v>
      </c>
      <c r="H35" s="4">
        <f ca="1">$B35*('Updated Population'!H$26/'Updated Population'!$B$26)*('Total Distance Tables Sup #1'!H178/'Total Distance Tables Sup #1'!$B178)</f>
        <v>0</v>
      </c>
      <c r="I35" s="1">
        <f ca="1">$B35*('Updated Population'!I$26/'Updated Population'!$B$26)*('Total Distance Tables Sup #1'!I178/'Total Distance Tables Sup #1'!$B178)</f>
        <v>0</v>
      </c>
      <c r="J35" s="1">
        <f ca="1">$B35*('Updated Population'!J$26/'Updated Population'!$B$26)*('Total Distance Tables Sup #1'!J178/'Total Distance Tables Sup #1'!$B178)</f>
        <v>0</v>
      </c>
      <c r="K35" s="1">
        <f ca="1">$B35*('Updated Population'!K$26/'Updated Population'!$B$26)*('Total Distance Tables Sup #1'!K178/'Total Distance Tables Sup #1'!$B178)</f>
        <v>0</v>
      </c>
    </row>
    <row r="36" spans="1:11" x14ac:dyDescent="0.25">
      <c r="A36" t="str">
        <f ca="1">OFFSET(Waikato_Reference,63,2)</f>
        <v>Other Household Travel</v>
      </c>
      <c r="B36" s="4">
        <f ca="1">OFFSET(Waikato_Reference,63,6)</f>
        <v>0</v>
      </c>
      <c r="C36" s="4">
        <f ca="1">$B36*('Updated Population'!C$26/'Updated Population'!$B$26)*('Total Distance Tables Sup #1'!C179/'Total Distance Tables Sup #1'!$B179)</f>
        <v>0</v>
      </c>
      <c r="D36" s="4">
        <f ca="1">$B36*('Updated Population'!D$26/'Updated Population'!$B$26)*('Total Distance Tables Sup #1'!D179/'Total Distance Tables Sup #1'!$B179)</f>
        <v>0</v>
      </c>
      <c r="E36" s="4">
        <f ca="1">$B36*('Updated Population'!E$26/'Updated Population'!$B$26)*('Total Distance Tables Sup #1'!E179/'Total Distance Tables Sup #1'!$B179)</f>
        <v>0</v>
      </c>
      <c r="F36" s="4">
        <f ca="1">$B36*('Updated Population'!F$26/'Updated Population'!$B$26)*('Total Distance Tables Sup #1'!F179/'Total Distance Tables Sup #1'!$B179)</f>
        <v>0</v>
      </c>
      <c r="G36" s="4">
        <f ca="1">$B36*('Updated Population'!G$26/'Updated Population'!$B$26)*('Total Distance Tables Sup #1'!G179/'Total Distance Tables Sup #1'!$B179)</f>
        <v>0</v>
      </c>
      <c r="H36" s="4">
        <f ca="1">$B36*('Updated Population'!H$26/'Updated Population'!$B$26)*('Total Distance Tables Sup #1'!H179/'Total Distance Tables Sup #1'!$B179)</f>
        <v>0</v>
      </c>
      <c r="I36" s="1">
        <f ca="1">$B36*('Updated Population'!I$26/'Updated Population'!$B$26)*('Total Distance Tables Sup #1'!I179/'Total Distance Tables Sup #1'!$B179)</f>
        <v>0</v>
      </c>
      <c r="J36" s="1">
        <f ca="1">$B36*('Updated Population'!J$26/'Updated Population'!$B$26)*('Total Distance Tables Sup #1'!J179/'Total Distance Tables Sup #1'!$B179)</f>
        <v>0</v>
      </c>
      <c r="K36" s="1">
        <f ca="1">$B36*('Updated Population'!K$26/'Updated Population'!$B$26)*('Total Distance Tables Sup #1'!K179/'Total Distance Tables Sup #1'!$B179)</f>
        <v>0</v>
      </c>
    </row>
    <row r="37" spans="1:11" x14ac:dyDescent="0.25">
      <c r="A37" t="str">
        <f ca="1">OFFSET(BOP_Reference,0,0)</f>
        <v>04 BAY OF PLENTY</v>
      </c>
      <c r="I37" s="1"/>
      <c r="J37" s="1"/>
      <c r="K37" s="1"/>
    </row>
    <row r="38" spans="1:11" x14ac:dyDescent="0.25">
      <c r="A38" t="str">
        <f ca="1">OFFSET(BOP_Reference,0,2)</f>
        <v>Pedestrian</v>
      </c>
      <c r="B38" s="4">
        <f ca="1">OFFSET(BOP_Reference,0,6)</f>
        <v>35.579183637</v>
      </c>
      <c r="C38" s="4">
        <f ca="1">$B38*('Updated Population'!C$37/'Updated Population'!$B$37)*('Total Distance Tables Sup #1'!C170/'Total Distance Tables Sup #1'!$B170)</f>
        <v>38.035897449003322</v>
      </c>
      <c r="D38" s="4">
        <f ca="1">$B38*('Updated Population'!D$37/'Updated Population'!$B$37)*('Total Distance Tables Sup #1'!D170/'Total Distance Tables Sup #1'!$B170)</f>
        <v>39.17040024738111</v>
      </c>
      <c r="E38" s="4">
        <f ca="1">$B38*('Updated Population'!E$37/'Updated Population'!$B$37)*('Total Distance Tables Sup #1'!E170/'Total Distance Tables Sup #1'!$B170)</f>
        <v>39.563321180834834</v>
      </c>
      <c r="F38" s="4">
        <f ca="1">$B38*('Updated Population'!F$37/'Updated Population'!$B$37)*('Total Distance Tables Sup #1'!F170/'Total Distance Tables Sup #1'!$B170)</f>
        <v>39.537716523717009</v>
      </c>
      <c r="G38" s="4">
        <f ca="1">$B38*('Updated Population'!G$37/'Updated Population'!$B$37)*('Total Distance Tables Sup #1'!G170/'Total Distance Tables Sup #1'!$B170)</f>
        <v>39.379750397528824</v>
      </c>
      <c r="H38" s="4">
        <f ca="1">$B38*('Updated Population'!H$37/'Updated Population'!$B$37)*('Total Distance Tables Sup #1'!H170/'Total Distance Tables Sup #1'!$B170)</f>
        <v>39.086152842049948</v>
      </c>
      <c r="I38" s="1">
        <f ca="1">$B38*('Updated Population'!I$37/'Updated Population'!$B$37)*('Total Distance Tables Sup #1'!I170/'Total Distance Tables Sup #1'!$B170)</f>
        <v>39.64826588719442</v>
      </c>
      <c r="J38" s="1">
        <f ca="1">$B38*('Updated Population'!J$37/'Updated Population'!$B$37)*('Total Distance Tables Sup #1'!J170/'Total Distance Tables Sup #1'!$B170)</f>
        <v>40.090440599711094</v>
      </c>
      <c r="K38" s="1">
        <f ca="1">$B38*('Updated Population'!K$37/'Updated Population'!$B$37)*('Total Distance Tables Sup #1'!K170/'Total Distance Tables Sup #1'!$B170)</f>
        <v>40.450428831225103</v>
      </c>
    </row>
    <row r="39" spans="1:11" x14ac:dyDescent="0.25">
      <c r="A39" t="str">
        <f ca="1">OFFSET(BOP_Reference,7,2)</f>
        <v>Cyclist</v>
      </c>
      <c r="B39" s="4">
        <f ca="1">OFFSET(BOP_Reference,7,6)</f>
        <v>8.5028812633000008</v>
      </c>
      <c r="C39" s="4">
        <f ca="1">$B39*('Updated Population'!C$37/'Updated Population'!$B$37)*('Total Distance Tables Sup #1'!C171/'Total Distance Tables Sup #1'!$B171)</f>
        <v>9.3388386370884042</v>
      </c>
      <c r="D39" s="4">
        <f ca="1">$B39*('Updated Population'!D$37/'Updated Population'!$B$37)*('Total Distance Tables Sup #1'!D171/'Total Distance Tables Sup #1'!$B171)</f>
        <v>9.693669506065115</v>
      </c>
      <c r="E39" s="4">
        <f ca="1">$B39*('Updated Population'!E$37/'Updated Population'!$B$37)*('Total Distance Tables Sup #1'!E171/'Total Distance Tables Sup #1'!$B171)</f>
        <v>9.8167691779881299</v>
      </c>
      <c r="F39" s="4">
        <f ca="1">$B39*('Updated Population'!F$37/'Updated Population'!$B$37)*('Total Distance Tables Sup #1'!F171/'Total Distance Tables Sup #1'!$B171)</f>
        <v>10.054007340149889</v>
      </c>
      <c r="G39" s="4">
        <f ca="1">$B39*('Updated Population'!G$37/'Updated Population'!$B$37)*('Total Distance Tables Sup #1'!G171/'Total Distance Tables Sup #1'!$B171)</f>
        <v>10.430932175791321</v>
      </c>
      <c r="H39" s="4">
        <f ca="1">$B39*('Updated Population'!H$37/'Updated Population'!$B$37)*('Total Distance Tables Sup #1'!H171/'Total Distance Tables Sup #1'!$B171)</f>
        <v>10.815433633877177</v>
      </c>
      <c r="I39" s="1">
        <f ca="1">$B39*('Updated Population'!I$37/'Updated Population'!$B$37)*('Total Distance Tables Sup #1'!I171/'Total Distance Tables Sup #1'!$B171)</f>
        <v>10.970974558026565</v>
      </c>
      <c r="J39" s="1">
        <f ca="1">$B39*('Updated Population'!J$37/'Updated Population'!$B$37)*('Total Distance Tables Sup #1'!J171/'Total Distance Tables Sup #1'!$B171)</f>
        <v>11.093327639874463</v>
      </c>
      <c r="K39" s="1">
        <f ca="1">$B39*('Updated Population'!K$37/'Updated Population'!$B$37)*('Total Distance Tables Sup #1'!K171/'Total Distance Tables Sup #1'!$B171)</f>
        <v>11.192939101832621</v>
      </c>
    </row>
    <row r="40" spans="1:11" x14ac:dyDescent="0.25">
      <c r="A40" t="str">
        <f ca="1">OFFSET(BOP_Reference,14,2)</f>
        <v>Light Vehicle Driver</v>
      </c>
      <c r="B40" s="4">
        <f ca="1">OFFSET(BOP_Reference,14,6)</f>
        <v>1972.0747595</v>
      </c>
      <c r="C40" s="4">
        <f ca="1">$B40*('Updated Population'!C$37/'Updated Population'!$B$37)*('Total Distance Tables Sup #1'!C172/'Total Distance Tables Sup #1'!$B172)</f>
        <v>2175.1798612568882</v>
      </c>
      <c r="D40" s="4">
        <f ca="1">$B40*('Updated Population'!D$37/'Updated Population'!$B$37)*('Total Distance Tables Sup #1'!D172/'Total Distance Tables Sup #1'!$B172)</f>
        <v>2283.8896454641608</v>
      </c>
      <c r="E40" s="4">
        <f ca="1">$B40*('Updated Population'!E$37/'Updated Population'!$B$37)*('Total Distance Tables Sup #1'!E172/'Total Distance Tables Sup #1'!$B172)</f>
        <v>2378.2079821112247</v>
      </c>
      <c r="F40" s="4">
        <f ca="1">$B40*('Updated Population'!F$37/'Updated Population'!$B$37)*('Total Distance Tables Sup #1'!F172/'Total Distance Tables Sup #1'!$B172)</f>
        <v>2459.5944179864723</v>
      </c>
      <c r="G40" s="4">
        <f ca="1">$B40*('Updated Population'!G$37/'Updated Population'!$B$37)*('Total Distance Tables Sup #1'!G172/'Total Distance Tables Sup #1'!$B172)</f>
        <v>2512.7711387780887</v>
      </c>
      <c r="H40" s="4">
        <f ca="1">$B40*('Updated Population'!H$37/'Updated Population'!$B$37)*('Total Distance Tables Sup #1'!H172/'Total Distance Tables Sup #1'!$B172)</f>
        <v>2555.0115737436763</v>
      </c>
      <c r="I40" s="1">
        <f ca="1">$B40*('Updated Population'!I$37/'Updated Population'!$B$37)*('Total Distance Tables Sup #1'!I172/'Total Distance Tables Sup #1'!$B172)</f>
        <v>2591.7561810193074</v>
      </c>
      <c r="J40" s="1">
        <f ca="1">$B40*('Updated Population'!J$37/'Updated Population'!$B$37)*('Total Distance Tables Sup #1'!J172/'Total Distance Tables Sup #1'!$B172)</f>
        <v>2620.6605736481329</v>
      </c>
      <c r="K40" s="1">
        <f ca="1">$B40*('Updated Population'!K$37/'Updated Population'!$B$37)*('Total Distance Tables Sup #1'!K172/'Total Distance Tables Sup #1'!$B172)</f>
        <v>2644.1925416483268</v>
      </c>
    </row>
    <row r="41" spans="1:11" x14ac:dyDescent="0.25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$B41*('Updated Population'!C$37/'Updated Population'!$B$37)*('Total Distance Tables Sup #1'!C173/'Total Distance Tables Sup #1'!$B173)</f>
        <v>1466.9185813566212</v>
      </c>
      <c r="D41" s="4">
        <f ca="1">$B41*('Updated Population'!D$37/'Updated Population'!$B$37)*('Total Distance Tables Sup #1'!D173/'Total Distance Tables Sup #1'!$B173)</f>
        <v>1505.1488893353539</v>
      </c>
      <c r="E41" s="4">
        <f ca="1">$B41*('Updated Population'!E$37/'Updated Population'!$B$37)*('Total Distance Tables Sup #1'!E173/'Total Distance Tables Sup #1'!$B173)</f>
        <v>1533.5296303583664</v>
      </c>
      <c r="F41" s="4">
        <f ca="1">$B41*('Updated Population'!F$37/'Updated Population'!$B$37)*('Total Distance Tables Sup #1'!F173/'Total Distance Tables Sup #1'!$B173)</f>
        <v>1549.5501435270403</v>
      </c>
      <c r="G41" s="4">
        <f ca="1">$B41*('Updated Population'!G$37/'Updated Population'!$B$37)*('Total Distance Tables Sup #1'!G173/'Total Distance Tables Sup #1'!$B173)</f>
        <v>1553.7125656582225</v>
      </c>
      <c r="H41" s="4">
        <f ca="1">$B41*('Updated Population'!H$37/'Updated Population'!$B$37)*('Total Distance Tables Sup #1'!H173/'Total Distance Tables Sup #1'!$B173)</f>
        <v>1550.5217473556877</v>
      </c>
      <c r="I41" s="1">
        <f ca="1">$B41*('Updated Population'!I$37/'Updated Population'!$B$37)*('Total Distance Tables Sup #1'!I173/'Total Distance Tables Sup #1'!$B173)</f>
        <v>1572.8203988625503</v>
      </c>
      <c r="J41" s="1">
        <f ca="1">$B41*('Updated Population'!J$37/'Updated Population'!$B$37)*('Total Distance Tables Sup #1'!J173/'Total Distance Tables Sup #1'!$B173)</f>
        <v>1590.3611762999824</v>
      </c>
      <c r="K41" s="1">
        <f ca="1">$B41*('Updated Population'!K$37/'Updated Population'!$B$37)*('Total Distance Tables Sup #1'!K173/'Total Distance Tables Sup #1'!$B173)</f>
        <v>1604.6416705714494</v>
      </c>
    </row>
    <row r="42" spans="1:11" x14ac:dyDescent="0.25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$B42*('Updated Population'!C$37/'Updated Population'!$B$37)*('Total Distance Tables Sup #1'!C174/'Total Distance Tables Sup #1'!$B174)</f>
        <v>1.1354207582488123</v>
      </c>
      <c r="D42" s="4">
        <f ca="1">$B42*('Updated Population'!D$37/'Updated Population'!$B$37)*('Total Distance Tables Sup #1'!D174/'Total Distance Tables Sup #1'!$B174)</f>
        <v>1.2583077500800748</v>
      </c>
      <c r="E42" s="4">
        <f ca="1">$B42*('Updated Population'!E$37/'Updated Population'!$B$37)*('Total Distance Tables Sup #1'!E174/'Total Distance Tables Sup #1'!$B174)</f>
        <v>1.3680844882963301</v>
      </c>
      <c r="F42" s="4">
        <f ca="1">$B42*('Updated Population'!F$37/'Updated Population'!$B$37)*('Total Distance Tables Sup #1'!F174/'Total Distance Tables Sup #1'!$B174)</f>
        <v>1.4622608824809882</v>
      </c>
      <c r="G42" s="4">
        <f ca="1">$B42*('Updated Population'!G$37/'Updated Population'!$B$37)*('Total Distance Tables Sup #1'!G174/'Total Distance Tables Sup #1'!$B174)</f>
        <v>1.5318086199377368</v>
      </c>
      <c r="H42" s="4">
        <f ca="1">$B42*('Updated Population'!H$37/'Updated Population'!$B$37)*('Total Distance Tables Sup #1'!H174/'Total Distance Tables Sup #1'!$B174)</f>
        <v>1.596191575955719</v>
      </c>
      <c r="I42" s="1">
        <f ca="1">$B42*('Updated Population'!I$37/'Updated Population'!$B$37)*('Total Distance Tables Sup #1'!I174/'Total Distance Tables Sup #1'!$B174)</f>
        <v>1.6191470228890676</v>
      </c>
      <c r="J42" s="1">
        <f ca="1">$B42*('Updated Population'!J$37/'Updated Population'!$B$37)*('Total Distance Tables Sup #1'!J174/'Total Distance Tables Sup #1'!$B174)</f>
        <v>1.6372044549948037</v>
      </c>
      <c r="K42" s="1">
        <f ca="1">$B42*('Updated Population'!K$37/'Updated Population'!$B$37)*('Total Distance Tables Sup #1'!K174/'Total Distance Tables Sup #1'!$B174)</f>
        <v>1.6519055739539377</v>
      </c>
    </row>
    <row r="43" spans="1:11" x14ac:dyDescent="0.25">
      <c r="A43" t="str">
        <f ca="1">OFFSET(BOP_Reference,35,2)</f>
        <v>Motorcyclist</v>
      </c>
      <c r="B43" s="4">
        <f ca="1">OFFSET(BOP_Reference,35,6)</f>
        <v>35.608960758999999</v>
      </c>
      <c r="C43" s="4">
        <f ca="1">$B43*('Updated Population'!C$37/'Updated Population'!$B$37)*('Total Distance Tables Sup #1'!C175/'Total Distance Tables Sup #1'!$B175)</f>
        <v>38.894026433588131</v>
      </c>
      <c r="D43" s="4">
        <f ca="1">$B43*('Updated Population'!D$37/'Updated Population'!$B$37)*('Total Distance Tables Sup #1'!D175/'Total Distance Tables Sup #1'!$B175)</f>
        <v>40.453821067188784</v>
      </c>
      <c r="E43" s="4">
        <f ca="1">$B43*('Updated Population'!E$37/'Updated Population'!$B$37)*('Total Distance Tables Sup #1'!E175/'Total Distance Tables Sup #1'!$B175)</f>
        <v>41.127681818864609</v>
      </c>
      <c r="F43" s="4">
        <f ca="1">$B43*('Updated Population'!F$37/'Updated Population'!$B$37)*('Total Distance Tables Sup #1'!F175/'Total Distance Tables Sup #1'!$B175)</f>
        <v>41.330697475173693</v>
      </c>
      <c r="G43" s="4">
        <f ca="1">$B43*('Updated Population'!G$37/'Updated Population'!$B$37)*('Total Distance Tables Sup #1'!G175/'Total Distance Tables Sup #1'!$B175)</f>
        <v>40.747026813569235</v>
      </c>
      <c r="H43" s="4">
        <f ca="1">$B43*('Updated Population'!H$37/'Updated Population'!$B$37)*('Total Distance Tables Sup #1'!H175/'Total Distance Tables Sup #1'!$B175)</f>
        <v>39.957776186434224</v>
      </c>
      <c r="I43" s="1">
        <f ca="1">$B43*('Updated Population'!I$37/'Updated Population'!$B$37)*('Total Distance Tables Sup #1'!I175/'Total Distance Tables Sup #1'!$B175)</f>
        <v>40.532424383204159</v>
      </c>
      <c r="J43" s="1">
        <f ca="1">$B43*('Updated Population'!J$37/'Updated Population'!$B$37)*('Total Distance Tables Sup #1'!J175/'Total Distance Tables Sup #1'!$B175)</f>
        <v>40.984459615974217</v>
      </c>
      <c r="K43" s="1">
        <f ca="1">$B43*('Updated Population'!K$37/'Updated Population'!$B$37)*('Total Distance Tables Sup #1'!K175/'Total Distance Tables Sup #1'!$B175)</f>
        <v>41.352475604723864</v>
      </c>
    </row>
    <row r="44" spans="1:11" x14ac:dyDescent="0.25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Distance Tables Sup #1'!C176/'Total Distance Tables Sup #1'!$B176)</f>
        <v>0</v>
      </c>
      <c r="D44" s="4">
        <f ca="1">$B44*('Updated Population'!D$37/'Updated Population'!$B$37)*('Total Distance Tables Sup #1'!D176/'Total Distance Tables Sup #1'!$B176)</f>
        <v>0</v>
      </c>
      <c r="E44" s="4">
        <f ca="1">$B44*('Updated Population'!E$37/'Updated Population'!$B$37)*('Total Distance Tables Sup #1'!E176/'Total Distance Tables Sup #1'!$B176)</f>
        <v>0</v>
      </c>
      <c r="F44" s="4">
        <f ca="1">$B44*('Updated Population'!F$37/'Updated Population'!$B$37)*('Total Distance Tables Sup #1'!F176/'Total Distance Tables Sup #1'!$B176)</f>
        <v>0</v>
      </c>
      <c r="G44" s="4">
        <f ca="1">$B44*('Updated Population'!G$37/'Updated Population'!$B$37)*('Total Distance Tables Sup #1'!G176/'Total Distance Tables Sup #1'!$B176)</f>
        <v>0</v>
      </c>
      <c r="H44" s="4">
        <f ca="1">$B44*('Updated Population'!H$37/'Updated Population'!$B$37)*('Total Distance Tables Sup #1'!H176/'Total Distance Tables Sup #1'!$B176)</f>
        <v>0</v>
      </c>
      <c r="I44" s="1">
        <f ca="1">$B44*('Updated Population'!I$37/'Updated Population'!$B$37)*('Total Distance Tables Sup #1'!I176/'Total Distance Tables Sup #1'!$B176)</f>
        <v>0</v>
      </c>
      <c r="J44" s="1">
        <f ca="1">$B44*('Updated Population'!J$37/'Updated Population'!$B$37)*('Total Distance Tables Sup #1'!J176/'Total Distance Tables Sup #1'!$B176)</f>
        <v>0</v>
      </c>
      <c r="K44" s="1">
        <f ca="1">$B44*('Updated Population'!K$37/'Updated Population'!$B$37)*('Total Distance Tables Sup #1'!K176/'Total Distance Tables Sup #1'!$B176)</f>
        <v>0</v>
      </c>
    </row>
    <row r="45" spans="1:11" x14ac:dyDescent="0.25">
      <c r="A45" t="str">
        <f ca="1">OFFSET(BOP_Reference,42,2)</f>
        <v>Local Bus</v>
      </c>
      <c r="B45" s="4">
        <f ca="1">OFFSET(BOP_Reference,42,6)</f>
        <v>52.669440211999998</v>
      </c>
      <c r="C45" s="4">
        <f ca="1">$B45*('Updated Population'!C$37/'Updated Population'!$B$37)*('Total Distance Tables Sup #1'!C177/'Total Distance Tables Sup #1'!$B177)</f>
        <v>51.667231216694489</v>
      </c>
      <c r="D45" s="4">
        <f ca="1">$B45*('Updated Population'!D$37/'Updated Population'!$B$37)*('Total Distance Tables Sup #1'!D177/'Total Distance Tables Sup #1'!$B177)</f>
        <v>50.578181551503619</v>
      </c>
      <c r="E45" s="4">
        <f ca="1">$B45*('Updated Population'!E$37/'Updated Population'!$B$37)*('Total Distance Tables Sup #1'!E177/'Total Distance Tables Sup #1'!$B177)</f>
        <v>49.775274531083021</v>
      </c>
      <c r="F45" s="4">
        <f ca="1">$B45*('Updated Population'!F$37/'Updated Population'!$B$37)*('Total Distance Tables Sup #1'!F177/'Total Distance Tables Sup #1'!$B177)</f>
        <v>48.130056858143867</v>
      </c>
      <c r="G45" s="4">
        <f ca="1">$B45*('Updated Population'!G$37/'Updated Population'!$B$37)*('Total Distance Tables Sup #1'!G177/'Total Distance Tables Sup #1'!$B177)</f>
        <v>47.022357786352501</v>
      </c>
      <c r="H45" s="4">
        <f ca="1">$B45*('Updated Population'!H$37/'Updated Population'!$B$37)*('Total Distance Tables Sup #1'!H177/'Total Distance Tables Sup #1'!$B177)</f>
        <v>45.77513874176686</v>
      </c>
      <c r="I45" s="1">
        <f ca="1">$B45*('Updated Population'!I$37/'Updated Population'!$B$37)*('Total Distance Tables Sup #1'!I177/'Total Distance Tables Sup #1'!$B177)</f>
        <v>46.43344867403431</v>
      </c>
      <c r="J45" s="1">
        <f ca="1">$B45*('Updated Population'!J$37/'Updated Population'!$B$37)*('Total Distance Tables Sup #1'!J177/'Total Distance Tables Sup #1'!$B177)</f>
        <v>46.951294697288262</v>
      </c>
      <c r="K45" s="1">
        <f ca="1">$B45*('Updated Population'!K$37/'Updated Population'!$B$37)*('Total Distance Tables Sup #1'!K177/'Total Distance Tables Sup #1'!$B177)</f>
        <v>47.372889304195425</v>
      </c>
    </row>
    <row r="46" spans="1:11" x14ac:dyDescent="0.25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Distance Tables Sup #1'!C178/'Total Distance Tables Sup #1'!$B178)</f>
        <v>0</v>
      </c>
      <c r="D46" s="4">
        <f ca="1">$B46*('Updated Population'!D$37/'Updated Population'!$B$37)*('Total Distance Tables Sup #1'!D178/'Total Distance Tables Sup #1'!$B178)</f>
        <v>0</v>
      </c>
      <c r="E46" s="4">
        <f ca="1">$B46*('Updated Population'!E$37/'Updated Population'!$B$37)*('Total Distance Tables Sup #1'!E178/'Total Distance Tables Sup #1'!$B178)</f>
        <v>0</v>
      </c>
      <c r="F46" s="4">
        <f ca="1">$B46*('Updated Population'!F$37/'Updated Population'!$B$37)*('Total Distance Tables Sup #1'!F178/'Total Distance Tables Sup #1'!$B178)</f>
        <v>0</v>
      </c>
      <c r="G46" s="4">
        <f ca="1">$B46*('Updated Population'!G$37/'Updated Population'!$B$37)*('Total Distance Tables Sup #1'!G178/'Total Distance Tables Sup #1'!$B178)</f>
        <v>0</v>
      </c>
      <c r="H46" s="4">
        <f ca="1">$B46*('Updated Population'!H$37/'Updated Population'!$B$37)*('Total Distance Tables Sup #1'!H178/'Total Distance Tables Sup #1'!$B178)</f>
        <v>0</v>
      </c>
      <c r="I46" s="1">
        <f ca="1">$B46*('Updated Population'!I$37/'Updated Population'!$B$37)*('Total Distance Tables Sup #1'!I178/'Total Distance Tables Sup #1'!$B178)</f>
        <v>0</v>
      </c>
      <c r="J46" s="1">
        <f ca="1">$B46*('Updated Population'!J$37/'Updated Population'!$B$37)*('Total Distance Tables Sup #1'!J178/'Total Distance Tables Sup #1'!$B178)</f>
        <v>0</v>
      </c>
      <c r="K46" s="1">
        <f ca="1">$B46*('Updated Population'!K$37/'Updated Population'!$B$37)*('Total Distance Tables Sup #1'!K178/'Total Distance Tables Sup #1'!$B178)</f>
        <v>0</v>
      </c>
    </row>
    <row r="47" spans="1:11" x14ac:dyDescent="0.25">
      <c r="A47" t="str">
        <f ca="1">OFFSET(BOP_Reference,49,2)</f>
        <v>Other Household Travel</v>
      </c>
      <c r="B47" s="4">
        <f ca="1">OFFSET(BOP_Reference,49,6)</f>
        <v>0</v>
      </c>
      <c r="C47" s="4">
        <f ca="1">$B47*('Updated Population'!C$37/'Updated Population'!$B$37)*('Total Distance Tables Sup #1'!C179/'Total Distance Tables Sup #1'!$B179)</f>
        <v>0</v>
      </c>
      <c r="D47" s="4">
        <f ca="1">$B47*('Updated Population'!D$37/'Updated Population'!$B$37)*('Total Distance Tables Sup #1'!D179/'Total Distance Tables Sup #1'!$B179)</f>
        <v>0</v>
      </c>
      <c r="E47" s="4">
        <f ca="1">$B47*('Updated Population'!E$37/'Updated Population'!$B$37)*('Total Distance Tables Sup #1'!E179/'Total Distance Tables Sup #1'!$B179)</f>
        <v>0</v>
      </c>
      <c r="F47" s="4">
        <f ca="1">$B47*('Updated Population'!F$37/'Updated Population'!$B$37)*('Total Distance Tables Sup #1'!F179/'Total Distance Tables Sup #1'!$B179)</f>
        <v>0</v>
      </c>
      <c r="G47" s="4">
        <f ca="1">$B47*('Updated Population'!G$37/'Updated Population'!$B$37)*('Total Distance Tables Sup #1'!G179/'Total Distance Tables Sup #1'!$B179)</f>
        <v>0</v>
      </c>
      <c r="H47" s="4">
        <f ca="1">$B47*('Updated Population'!H$37/'Updated Population'!$B$37)*('Total Distance Tables Sup #1'!H179/'Total Distance Tables Sup #1'!$B179)</f>
        <v>0</v>
      </c>
      <c r="I47" s="1">
        <f ca="1">$B47*('Updated Population'!I$37/'Updated Population'!$B$37)*('Total Distance Tables Sup #1'!I179/'Total Distance Tables Sup #1'!$B179)</f>
        <v>0</v>
      </c>
      <c r="J47" s="1">
        <f ca="1">$B47*('Updated Population'!J$37/'Updated Population'!$B$37)*('Total Distance Tables Sup #1'!J179/'Total Distance Tables Sup #1'!$B179)</f>
        <v>0</v>
      </c>
      <c r="K47" s="1">
        <f ca="1">$B47*('Updated Population'!K$37/'Updated Population'!$B$37)*('Total Distance Tables Sup #1'!K179/'Total Distance Tables Sup #1'!$B179)</f>
        <v>0</v>
      </c>
    </row>
    <row r="48" spans="1:11" x14ac:dyDescent="0.25">
      <c r="A48" t="str">
        <f ca="1">OFFSET(Gisborne_Reference,0,0)</f>
        <v>05 GISBORNE</v>
      </c>
      <c r="I48" s="1"/>
      <c r="J48" s="1"/>
      <c r="K48" s="1"/>
    </row>
    <row r="49" spans="1:11" x14ac:dyDescent="0.25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$B49*('Updated Population'!C$48/'Updated Population'!$B$48)*('Total Distance Tables Sup #1'!C170/'Total Distance Tables Sup #1'!$B170)</f>
        <v>7.6895248618726812</v>
      </c>
      <c r="D49" s="4">
        <f ca="1">$B49*('Updated Population'!D$48/'Updated Population'!$B$48)*('Total Distance Tables Sup #1'!D170/'Total Distance Tables Sup #1'!$B170)</f>
        <v>7.6883774020242743</v>
      </c>
      <c r="E49" s="4">
        <f ca="1">$B49*('Updated Population'!E$48/'Updated Population'!$B$48)*('Total Distance Tables Sup #1'!E170/'Total Distance Tables Sup #1'!$B170)</f>
        <v>7.5881322115756262</v>
      </c>
      <c r="F49" s="4">
        <f ca="1">$B49*('Updated Population'!F$48/'Updated Population'!$B$48)*('Total Distance Tables Sup #1'!F170/'Total Distance Tables Sup #1'!$B170)</f>
        <v>7.4129406800521398</v>
      </c>
      <c r="G49" s="4">
        <f ca="1">$B49*('Updated Population'!G$48/'Updated Population'!$B$48)*('Total Distance Tables Sup #1'!G170/'Total Distance Tables Sup #1'!$B170)</f>
        <v>7.2093344068798242</v>
      </c>
      <c r="H49" s="4">
        <f ca="1">$B49*('Updated Population'!H$48/'Updated Population'!$B$48)*('Total Distance Tables Sup #1'!H170/'Total Distance Tables Sup #1'!$B170)</f>
        <v>6.9879300414589434</v>
      </c>
      <c r="I49" s="1">
        <f ca="1">$B49*('Updated Population'!I$48/'Updated Population'!$B$48)*('Total Distance Tables Sup #1'!I170/'Total Distance Tables Sup #1'!$B170)</f>
        <v>6.9223448452185208</v>
      </c>
      <c r="J49" s="1">
        <f ca="1">$B49*('Updated Population'!J$48/'Updated Population'!$B$48)*('Total Distance Tables Sup #1'!J170/'Total Distance Tables Sup #1'!$B170)</f>
        <v>6.8355469918258613</v>
      </c>
      <c r="K49" s="1">
        <f ca="1">$B49*('Updated Population'!K$48/'Updated Population'!$B$48)*('Total Distance Tables Sup #1'!K170/'Total Distance Tables Sup #1'!$B170)</f>
        <v>6.7353316421317038</v>
      </c>
    </row>
    <row r="50" spans="1:11" x14ac:dyDescent="0.25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$B50*('Updated Population'!C$48/'Updated Population'!$B$48)*('Total Distance Tables Sup #1'!C171/'Total Distance Tables Sup #1'!$B171)</f>
        <v>3.9723922697351988</v>
      </c>
      <c r="D50" s="4">
        <f ca="1">$B50*('Updated Population'!D$48/'Updated Population'!$B$48)*('Total Distance Tables Sup #1'!D171/'Total Distance Tables Sup #1'!$B171)</f>
        <v>4.003301619197762</v>
      </c>
      <c r="E50" s="4">
        <f ca="1">$B50*('Updated Population'!E$48/'Updated Population'!$B$48)*('Total Distance Tables Sup #1'!E171/'Total Distance Tables Sup #1'!$B171)</f>
        <v>3.9615409179753276</v>
      </c>
      <c r="F50" s="4">
        <f ca="1">$B50*('Updated Population'!F$48/'Updated Population'!$B$48)*('Total Distance Tables Sup #1'!F171/'Total Distance Tables Sup #1'!$B171)</f>
        <v>3.9661721304079074</v>
      </c>
      <c r="G50" s="4">
        <f ca="1">$B50*('Updated Population'!G$48/'Updated Population'!$B$48)*('Total Distance Tables Sup #1'!G171/'Total Distance Tables Sup #1'!$B171)</f>
        <v>4.0178965653436292</v>
      </c>
      <c r="H50" s="4">
        <f ca="1">$B50*('Updated Population'!H$48/'Updated Population'!$B$48)*('Total Distance Tables Sup #1'!H171/'Total Distance Tables Sup #1'!$B171)</f>
        <v>4.0683937479887282</v>
      </c>
      <c r="I50" s="1">
        <f ca="1">$B50*('Updated Population'!I$48/'Updated Population'!$B$48)*('Total Distance Tables Sup #1'!I171/'Total Distance Tables Sup #1'!$B171)</f>
        <v>4.0302098507885438</v>
      </c>
      <c r="J50" s="1">
        <f ca="1">$B50*('Updated Population'!J$48/'Updated Population'!$B$48)*('Total Distance Tables Sup #1'!J171/'Total Distance Tables Sup #1'!$B171)</f>
        <v>3.9796758812172328</v>
      </c>
      <c r="K50" s="1">
        <f ca="1">$B50*('Updated Population'!K$48/'Updated Population'!$B$48)*('Total Distance Tables Sup #1'!K171/'Total Distance Tables Sup #1'!$B171)</f>
        <v>3.9213302052117109</v>
      </c>
    </row>
    <row r="51" spans="1:11" x14ac:dyDescent="0.25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$B51*('Updated Population'!C$48/'Updated Population'!$B$48)*('Total Distance Tables Sup #1'!C172/'Total Distance Tables Sup #1'!$B172)</f>
        <v>253.21493232463715</v>
      </c>
      <c r="D51" s="4">
        <f ca="1">$B51*('Updated Population'!D$48/'Updated Population'!$B$48)*('Total Distance Tables Sup #1'!D172/'Total Distance Tables Sup #1'!$B172)</f>
        <v>258.13096284642955</v>
      </c>
      <c r="E51" s="4">
        <f ca="1">$B51*('Updated Population'!E$48/'Updated Population'!$B$48)*('Total Distance Tables Sup #1'!E172/'Total Distance Tables Sup #1'!$B172)</f>
        <v>262.65173949620925</v>
      </c>
      <c r="F51" s="4">
        <f ca="1">$B51*('Updated Population'!F$48/'Updated Population'!$B$48)*('Total Distance Tables Sup #1'!F172/'Total Distance Tables Sup #1'!$B172)</f>
        <v>265.54048355221676</v>
      </c>
      <c r="G51" s="4">
        <f ca="1">$B51*('Updated Population'!G$48/'Updated Population'!$B$48)*('Total Distance Tables Sup #1'!G172/'Total Distance Tables Sup #1'!$B172)</f>
        <v>264.88871006986773</v>
      </c>
      <c r="H51" s="4">
        <f ca="1">$B51*('Updated Population'!H$48/'Updated Population'!$B$48)*('Total Distance Tables Sup #1'!H172/'Total Distance Tables Sup #1'!$B172)</f>
        <v>263.03091501897404</v>
      </c>
      <c r="I51" s="1">
        <f ca="1">$B51*('Updated Population'!I$48/'Updated Population'!$B$48)*('Total Distance Tables Sup #1'!I172/'Total Distance Tables Sup #1'!$B172)</f>
        <v>260.56223916268061</v>
      </c>
      <c r="J51" s="1">
        <f ca="1">$B51*('Updated Population'!J$48/'Updated Population'!$B$48)*('Total Distance Tables Sup #1'!J172/'Total Distance Tables Sup #1'!$B172)</f>
        <v>257.29510302020321</v>
      </c>
      <c r="K51" s="1">
        <f ca="1">$B51*('Updated Population'!K$48/'Updated Population'!$B$48)*('Total Distance Tables Sup #1'!K172/'Total Distance Tables Sup #1'!$B172)</f>
        <v>253.52292227817946</v>
      </c>
    </row>
    <row r="52" spans="1:11" x14ac:dyDescent="0.25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$B52*('Updated Population'!C$48/'Updated Population'!$B$48)*('Total Distance Tables Sup #1'!C173/'Total Distance Tables Sup #1'!$B173)</f>
        <v>175.9782680939322</v>
      </c>
      <c r="D52" s="4">
        <f ca="1">$B52*('Updated Population'!D$48/'Updated Population'!$B$48)*('Total Distance Tables Sup #1'!D173/'Total Distance Tables Sup #1'!$B173)</f>
        <v>175.30864725450456</v>
      </c>
      <c r="E52" s="4">
        <f ca="1">$B52*('Updated Population'!E$48/'Updated Population'!$B$48)*('Total Distance Tables Sup #1'!E173/'Total Distance Tables Sup #1'!$B173)</f>
        <v>174.53459034010305</v>
      </c>
      <c r="F52" s="4">
        <f ca="1">$B52*('Updated Population'!F$48/'Updated Population'!$B$48)*('Total Distance Tables Sup #1'!F173/'Total Distance Tables Sup #1'!$B173)</f>
        <v>172.39781925863718</v>
      </c>
      <c r="G52" s="4">
        <f ca="1">$B52*('Updated Population'!G$48/'Updated Population'!$B$48)*('Total Distance Tables Sup #1'!G173/'Total Distance Tables Sup #1'!$B173)</f>
        <v>168.78742266105127</v>
      </c>
      <c r="H52" s="4">
        <f ca="1">$B52*('Updated Population'!H$48/'Updated Population'!$B$48)*('Total Distance Tables Sup #1'!H173/'Total Distance Tables Sup #1'!$B173)</f>
        <v>164.49423286494721</v>
      </c>
      <c r="I52" s="1">
        <f ca="1">$B52*('Updated Population'!I$48/'Updated Population'!$B$48)*('Total Distance Tables Sup #1'!I173/'Total Distance Tables Sup #1'!$B173)</f>
        <v>162.95037274058154</v>
      </c>
      <c r="J52" s="1">
        <f ca="1">$B52*('Updated Population'!J$48/'Updated Population'!$B$48)*('Total Distance Tables Sup #1'!J173/'Total Distance Tables Sup #1'!$B173)</f>
        <v>160.90717164620301</v>
      </c>
      <c r="K52" s="1">
        <f ca="1">$B52*('Updated Population'!K$48/'Updated Population'!$B$48)*('Total Distance Tables Sup #1'!K173/'Total Distance Tables Sup #1'!$B173)</f>
        <v>158.54812583844173</v>
      </c>
    </row>
    <row r="53" spans="1:11" x14ac:dyDescent="0.25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$B53*('Updated Population'!C$48/'Updated Population'!$B$48)*('Total Distance Tables Sup #1'!C174/'Total Distance Tables Sup #1'!$B174)</f>
        <v>0.12892261130853444</v>
      </c>
      <c r="D53" s="4">
        <f ca="1">$B53*('Updated Population'!D$48/'Updated Population'!$B$48)*('Total Distance Tables Sup #1'!D174/'Total Distance Tables Sup #1'!$B174)</f>
        <v>0.13871709386957509</v>
      </c>
      <c r="E53" s="4">
        <f ca="1">$B53*('Updated Population'!E$48/'Updated Population'!$B$48)*('Total Distance Tables Sup #1'!E174/'Total Distance Tables Sup #1'!$B174)</f>
        <v>0.14737421072059986</v>
      </c>
      <c r="F53" s="4">
        <f ca="1">$B53*('Updated Population'!F$48/'Updated Population'!$B$48)*('Total Distance Tables Sup #1'!F174/'Total Distance Tables Sup #1'!$B174)</f>
        <v>0.15398209695474391</v>
      </c>
      <c r="G53" s="4">
        <f ca="1">$B53*('Updated Population'!G$48/'Updated Population'!$B$48)*('Total Distance Tables Sup #1'!G174/'Total Distance Tables Sup #1'!$B174)</f>
        <v>0.15750456543535077</v>
      </c>
      <c r="H53" s="4">
        <f ca="1">$B53*('Updated Population'!H$48/'Updated Population'!$B$48)*('Total Distance Tables Sup #1'!H174/'Total Distance Tables Sup #1'!$B174)</f>
        <v>0.16027916192219133</v>
      </c>
      <c r="I53" s="1">
        <f ca="1">$B53*('Updated Population'!I$48/'Updated Population'!$B$48)*('Total Distance Tables Sup #1'!I174/'Total Distance Tables Sup #1'!$B174)</f>
        <v>0.15877486233339311</v>
      </c>
      <c r="J53" s="1">
        <f ca="1">$B53*('Updated Population'!J$48/'Updated Population'!$B$48)*('Total Distance Tables Sup #1'!J174/'Total Distance Tables Sup #1'!$B174)</f>
        <v>0.15678401710227569</v>
      </c>
      <c r="K53" s="1">
        <f ca="1">$B53*('Updated Population'!K$48/'Updated Population'!$B$48)*('Total Distance Tables Sup #1'!K174/'Total Distance Tables Sup #1'!$B174)</f>
        <v>0.15448542049850011</v>
      </c>
    </row>
    <row r="54" spans="1:11" x14ac:dyDescent="0.25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$B54*('Updated Population'!C$48/'Updated Population'!$B$48)*('Total Distance Tables Sup #1'!C175/'Total Distance Tables Sup #1'!$B175)</f>
        <v>0.98872598025358982</v>
      </c>
      <c r="D54" s="4">
        <f ca="1">$B54*('Updated Population'!D$48/'Updated Population'!$B$48)*('Total Distance Tables Sup #1'!D175/'Total Distance Tables Sup #1'!$B175)</f>
        <v>0.99844336863987726</v>
      </c>
      <c r="E54" s="4">
        <f ca="1">$B54*('Updated Population'!E$48/'Updated Population'!$B$48)*('Total Distance Tables Sup #1'!E175/'Total Distance Tables Sup #1'!$B175)</f>
        <v>0.9918901599016916</v>
      </c>
      <c r="F54" s="4">
        <f ca="1">$B54*('Updated Population'!F$48/'Updated Population'!$B$48)*('Total Distance Tables Sup #1'!F175/'Total Distance Tables Sup #1'!$B175)</f>
        <v>0.97440359854113945</v>
      </c>
      <c r="G54" s="4">
        <f ca="1">$B54*('Updated Population'!G$48/'Updated Population'!$B$48)*('Total Distance Tables Sup #1'!G175/'Total Distance Tables Sup #1'!$B175)</f>
        <v>0.93800540354876227</v>
      </c>
      <c r="H54" s="4">
        <f ca="1">$B54*('Updated Population'!H$48/'Updated Population'!$B$48)*('Total Distance Tables Sup #1'!H175/'Total Distance Tables Sup #1'!$B175)</f>
        <v>0.8982849755329958</v>
      </c>
      <c r="I54" s="1">
        <f ca="1">$B54*('Updated Population'!I$48/'Updated Population'!$B$48)*('Total Distance Tables Sup #1'!I175/'Total Distance Tables Sup #1'!$B175)</f>
        <v>0.88985412461568247</v>
      </c>
      <c r="J54" s="1">
        <f ca="1">$B54*('Updated Population'!J$48/'Updated Population'!$B$48)*('Total Distance Tables Sup #1'!J175/'Total Distance Tables Sup #1'!$B175)</f>
        <v>0.87869642739367904</v>
      </c>
      <c r="K54" s="1">
        <f ca="1">$B54*('Updated Population'!K$48/'Updated Population'!$B$48)*('Total Distance Tables Sup #1'!K175/'Total Distance Tables Sup #1'!$B175)</f>
        <v>0.86581393681149632</v>
      </c>
    </row>
    <row r="55" spans="1:11" x14ac:dyDescent="0.25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Distance Tables Sup #1'!C176/'Total Distance Tables Sup #1'!$B176)</f>
        <v>0</v>
      </c>
      <c r="D55" s="4">
        <f ca="1">$B55*('Updated Population'!D$48/'Updated Population'!$B$48)*('Total Distance Tables Sup #1'!D176/'Total Distance Tables Sup #1'!$B176)</f>
        <v>0</v>
      </c>
      <c r="E55" s="4">
        <f ca="1">$B55*('Updated Population'!E$48/'Updated Population'!$B$48)*('Total Distance Tables Sup #1'!E176/'Total Distance Tables Sup #1'!$B176)</f>
        <v>0</v>
      </c>
      <c r="F55" s="4">
        <f ca="1">$B55*('Updated Population'!F$48/'Updated Population'!$B$48)*('Total Distance Tables Sup #1'!F176/'Total Distance Tables Sup #1'!$B176)</f>
        <v>0</v>
      </c>
      <c r="G55" s="4">
        <f ca="1">$B55*('Updated Population'!G$48/'Updated Population'!$B$48)*('Total Distance Tables Sup #1'!G176/'Total Distance Tables Sup #1'!$B176)</f>
        <v>0</v>
      </c>
      <c r="H55" s="4">
        <f ca="1">$B55*('Updated Population'!H$48/'Updated Population'!$B$48)*('Total Distance Tables Sup #1'!H176/'Total Distance Tables Sup #1'!$B176)</f>
        <v>0</v>
      </c>
      <c r="I55" s="1">
        <f ca="1">$B55*('Updated Population'!I$48/'Updated Population'!$B$48)*('Total Distance Tables Sup #1'!I176/'Total Distance Tables Sup #1'!$B176)</f>
        <v>0</v>
      </c>
      <c r="J55" s="1">
        <f ca="1">$B55*('Updated Population'!J$48/'Updated Population'!$B$48)*('Total Distance Tables Sup #1'!J176/'Total Distance Tables Sup #1'!$B176)</f>
        <v>0</v>
      </c>
      <c r="K55" s="1">
        <f ca="1">$B55*('Updated Population'!K$48/'Updated Population'!$B$48)*('Total Distance Tables Sup #1'!K176/'Total Distance Tables Sup #1'!$B176)</f>
        <v>0</v>
      </c>
    </row>
    <row r="56" spans="1:11" x14ac:dyDescent="0.25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$B56*('Updated Population'!C$48/'Updated Population'!$B$48)*('Total Distance Tables Sup #1'!C177/'Total Distance Tables Sup #1'!$B177)</f>
        <v>4.5505257415451368</v>
      </c>
      <c r="D56" s="4">
        <f ca="1">$B56*('Updated Population'!D$48/'Updated Population'!$B$48)*('Total Distance Tables Sup #1'!D177/'Total Distance Tables Sup #1'!$B177)</f>
        <v>4.3249435590222758</v>
      </c>
      <c r="E56" s="4">
        <f ca="1">$B56*('Updated Population'!E$48/'Updated Population'!$B$48)*('Total Distance Tables Sup #1'!E177/'Total Distance Tables Sup #1'!$B177)</f>
        <v>4.1590712500534099</v>
      </c>
      <c r="F56" s="4">
        <f ca="1">$B56*('Updated Population'!F$48/'Updated Population'!$B$48)*('Total Distance Tables Sup #1'!F177/'Total Distance Tables Sup #1'!$B177)</f>
        <v>3.9312970926019468</v>
      </c>
      <c r="G56" s="4">
        <f ca="1">$B56*('Updated Population'!G$48/'Updated Population'!$B$48)*('Total Distance Tables Sup #1'!G177/'Total Distance Tables Sup #1'!$B177)</f>
        <v>3.7503099517842378</v>
      </c>
      <c r="H56" s="4">
        <f ca="1">$B56*('Updated Population'!H$48/'Updated Population'!$B$48)*('Total Distance Tables Sup #1'!H177/'Total Distance Tables Sup #1'!$B177)</f>
        <v>3.5652980426559706</v>
      </c>
      <c r="I56" s="1">
        <f ca="1">$B56*('Updated Population'!I$48/'Updated Population'!$B$48)*('Total Distance Tables Sup #1'!I177/'Total Distance Tables Sup #1'!$B177)</f>
        <v>3.5318359486745079</v>
      </c>
      <c r="J56" s="1">
        <f ca="1">$B56*('Updated Population'!J$48/'Updated Population'!$B$48)*('Total Distance Tables Sup #1'!J177/'Total Distance Tables Sup #1'!$B177)</f>
        <v>3.4875509866082619</v>
      </c>
      <c r="K56" s="1">
        <f ca="1">$B56*('Updated Population'!K$48/'Updated Population'!$B$48)*('Total Distance Tables Sup #1'!K177/'Total Distance Tables Sup #1'!$B177)</f>
        <v>3.4364203101434376</v>
      </c>
    </row>
    <row r="57" spans="1:11" x14ac:dyDescent="0.25">
      <c r="A57" t="str">
        <f ca="1">OFFSET(Gisborne_Reference,56,2)</f>
        <v>Local Ferry</v>
      </c>
      <c r="B57" s="4">
        <f ca="1">OFFSET(Gisborne_Reference,56,6)</f>
        <v>0</v>
      </c>
      <c r="C57" s="4">
        <f ca="1">$B57*('Updated Population'!C$48/'Updated Population'!$B$48)*('Total Distance Tables Sup #1'!C178/'Total Distance Tables Sup #1'!$B178)</f>
        <v>0</v>
      </c>
      <c r="D57" s="4">
        <f ca="1">$B57*('Updated Population'!D$48/'Updated Population'!$B$48)*('Total Distance Tables Sup #1'!D178/'Total Distance Tables Sup #1'!$B178)</f>
        <v>0</v>
      </c>
      <c r="E57" s="4">
        <f ca="1">$B57*('Updated Population'!E$48/'Updated Population'!$B$48)*('Total Distance Tables Sup #1'!E178/'Total Distance Tables Sup #1'!$B178)</f>
        <v>0</v>
      </c>
      <c r="F57" s="4">
        <f ca="1">$B57*('Updated Population'!F$48/'Updated Population'!$B$48)*('Total Distance Tables Sup #1'!F178/'Total Distance Tables Sup #1'!$B178)</f>
        <v>0</v>
      </c>
      <c r="G57" s="4">
        <f ca="1">$B57*('Updated Population'!G$48/'Updated Population'!$B$48)*('Total Distance Tables Sup #1'!G178/'Total Distance Tables Sup #1'!$B178)</f>
        <v>0</v>
      </c>
      <c r="H57" s="4">
        <f ca="1">$B57*('Updated Population'!H$48/'Updated Population'!$B$48)*('Total Distance Tables Sup #1'!H178/'Total Distance Tables Sup #1'!$B178)</f>
        <v>0</v>
      </c>
      <c r="I57" s="1">
        <f ca="1">$B57*('Updated Population'!I$48/'Updated Population'!$B$48)*('Total Distance Tables Sup #1'!I178/'Total Distance Tables Sup #1'!$B178)</f>
        <v>0</v>
      </c>
      <c r="J57" s="1">
        <f ca="1">$B57*('Updated Population'!J$48/'Updated Population'!$B$48)*('Total Distance Tables Sup #1'!J178/'Total Distance Tables Sup #1'!$B178)</f>
        <v>0</v>
      </c>
      <c r="K57" s="1">
        <f ca="1">$B57*('Updated Population'!K$48/'Updated Population'!$B$48)*('Total Distance Tables Sup #1'!K178/'Total Distance Tables Sup #1'!$B178)</f>
        <v>0</v>
      </c>
    </row>
    <row r="58" spans="1:11" x14ac:dyDescent="0.25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$B58*('Updated Population'!C$48/'Updated Population'!$B$48)*('Total Distance Tables Sup #1'!C179/'Total Distance Tables Sup #1'!$B179)</f>
        <v>0</v>
      </c>
      <c r="D58" s="4">
        <f ca="1">$B58*('Updated Population'!D$48/'Updated Population'!$B$48)*('Total Distance Tables Sup #1'!D179/'Total Distance Tables Sup #1'!$B179)</f>
        <v>0</v>
      </c>
      <c r="E58" s="4">
        <f ca="1">$B58*('Updated Population'!E$48/'Updated Population'!$B$48)*('Total Distance Tables Sup #1'!E179/'Total Distance Tables Sup #1'!$B179)</f>
        <v>0</v>
      </c>
      <c r="F58" s="4">
        <f ca="1">$B58*('Updated Population'!F$48/'Updated Population'!$B$48)*('Total Distance Tables Sup #1'!F179/'Total Distance Tables Sup #1'!$B179)</f>
        <v>0</v>
      </c>
      <c r="G58" s="4">
        <f ca="1">$B58*('Updated Population'!G$48/'Updated Population'!$B$48)*('Total Distance Tables Sup #1'!G179/'Total Distance Tables Sup #1'!$B179)</f>
        <v>0</v>
      </c>
      <c r="H58" s="4">
        <f ca="1">$B58*('Updated Population'!H$48/'Updated Population'!$B$48)*('Total Distance Tables Sup #1'!H179/'Total Distance Tables Sup #1'!$B179)</f>
        <v>0</v>
      </c>
      <c r="I58" s="1">
        <f ca="1">$B58*('Updated Population'!I$48/'Updated Population'!$B$48)*('Total Distance Tables Sup #1'!I179/'Total Distance Tables Sup #1'!$B179)</f>
        <v>0</v>
      </c>
      <c r="J58" s="1">
        <f ca="1">$B58*('Updated Population'!J$48/'Updated Population'!$B$48)*('Total Distance Tables Sup #1'!J179/'Total Distance Tables Sup #1'!$B179)</f>
        <v>0</v>
      </c>
      <c r="K58" s="1">
        <f ca="1">$B58*('Updated Population'!K$48/'Updated Population'!$B$48)*('Total Distance Tables Sup #1'!K179/'Total Distance Tables Sup #1'!$B179)</f>
        <v>0</v>
      </c>
    </row>
    <row r="59" spans="1:11" x14ac:dyDescent="0.25">
      <c r="A59" t="str">
        <f ca="1">OFFSET(Hawkes_Bay_Reference,0,0)</f>
        <v>06 HAWKE`S BAY</v>
      </c>
      <c r="I59" s="1"/>
      <c r="J59" s="1"/>
      <c r="K59" s="1"/>
    </row>
    <row r="60" spans="1:11" x14ac:dyDescent="0.25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$B60*('Updated Population'!C$59/'Updated Population'!$B$59)*('Total Distance Tables Sup #1'!C170/'Total Distance Tables Sup #1'!$B170)</f>
        <v>23.219257408663839</v>
      </c>
      <c r="D60" s="4">
        <f ca="1">$B60*('Updated Population'!D$59/'Updated Population'!$B$59)*('Total Distance Tables Sup #1'!D170/'Total Distance Tables Sup #1'!$B170)</f>
        <v>23.251189543593835</v>
      </c>
      <c r="E60" s="4">
        <f ca="1">$B60*('Updated Population'!E$59/'Updated Population'!$B$59)*('Total Distance Tables Sup #1'!E170/'Total Distance Tables Sup #1'!$B170)</f>
        <v>23.011251656237231</v>
      </c>
      <c r="F60" s="4">
        <f ca="1">$B60*('Updated Population'!F$59/'Updated Population'!$B$59)*('Total Distance Tables Sup #1'!F170/'Total Distance Tables Sup #1'!$B170)</f>
        <v>22.5168833718683</v>
      </c>
      <c r="G60" s="4">
        <f ca="1">$B60*('Updated Population'!G$59/'Updated Population'!$B$59)*('Total Distance Tables Sup #1'!G170/'Total Distance Tables Sup #1'!$B170)</f>
        <v>21.967682828624682</v>
      </c>
      <c r="H60" s="4">
        <f ca="1">$B60*('Updated Population'!H$59/'Updated Population'!$B$59)*('Total Distance Tables Sup #1'!H170/'Total Distance Tables Sup #1'!$B170)</f>
        <v>21.346065978439686</v>
      </c>
      <c r="I60" s="1">
        <f ca="1">$B60*('Updated Population'!I$59/'Updated Population'!$B$59)*('Total Distance Tables Sup #1'!I170/'Total Distance Tables Sup #1'!$B170)</f>
        <v>21.198383743079649</v>
      </c>
      <c r="J60" s="1">
        <f ca="1">$B60*('Updated Population'!J$59/'Updated Population'!$B$59)*('Total Distance Tables Sup #1'!J170/'Total Distance Tables Sup #1'!$B170)</f>
        <v>20.984711981264457</v>
      </c>
      <c r="K60" s="1">
        <f ca="1">$B60*('Updated Population'!K$59/'Updated Population'!$B$59)*('Total Distance Tables Sup #1'!K170/'Total Distance Tables Sup #1'!$B170)</f>
        <v>20.72855101530093</v>
      </c>
    </row>
    <row r="61" spans="1:11" x14ac:dyDescent="0.25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$B61*('Updated Population'!C$59/'Updated Population'!$B$59)*('Total Distance Tables Sup #1'!C171/'Total Distance Tables Sup #1'!$B171)</f>
        <v>10.037722446946194</v>
      </c>
      <c r="D61" s="4">
        <f ca="1">$B61*('Updated Population'!D$59/'Updated Population'!$B$59)*('Total Distance Tables Sup #1'!D171/'Total Distance Tables Sup #1'!$B171)</f>
        <v>10.131249931426867</v>
      </c>
      <c r="E61" s="4">
        <f ca="1">$B61*('Updated Population'!E$59/'Updated Population'!$B$59)*('Total Distance Tables Sup #1'!E171/'Total Distance Tables Sup #1'!$B171)</f>
        <v>10.053186349338695</v>
      </c>
      <c r="F61" s="4">
        <f ca="1">$B61*('Updated Population'!F$59/'Updated Population'!$B$59)*('Total Distance Tables Sup #1'!F171/'Total Distance Tables Sup #1'!$B171)</f>
        <v>10.081462664124551</v>
      </c>
      <c r="G61" s="4">
        <f ca="1">$B61*('Updated Population'!G$59/'Updated Population'!$B$59)*('Total Distance Tables Sup #1'!G171/'Total Distance Tables Sup #1'!$B171)</f>
        <v>10.245238316090157</v>
      </c>
      <c r="H61" s="4">
        <f ca="1">$B61*('Updated Population'!H$59/'Updated Population'!$B$59)*('Total Distance Tables Sup #1'!H171/'Total Distance Tables Sup #1'!$B171)</f>
        <v>10.399836491494463</v>
      </c>
      <c r="I61" s="1">
        <f ca="1">$B61*('Updated Population'!I$59/'Updated Population'!$B$59)*('Total Distance Tables Sup #1'!I171/'Total Distance Tables Sup #1'!$B171)</f>
        <v>10.327885477101736</v>
      </c>
      <c r="J61" s="1">
        <f ca="1">$B61*('Updated Population'!J$59/'Updated Population'!$B$59)*('Total Distance Tables Sup #1'!J171/'Total Distance Tables Sup #1'!$B171)</f>
        <v>10.223784262949584</v>
      </c>
      <c r="K61" s="1">
        <f ca="1">$B61*('Updated Population'!K$59/'Updated Population'!$B$59)*('Total Distance Tables Sup #1'!K171/'Total Distance Tables Sup #1'!$B171)</f>
        <v>10.098982242557877</v>
      </c>
    </row>
    <row r="62" spans="1:11" x14ac:dyDescent="0.25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$B62*('Updated Population'!C$59/'Updated Population'!$B$59)*('Total Distance Tables Sup #1'!C172/'Total Distance Tables Sup #1'!$B172)</f>
        <v>1057.5948078345848</v>
      </c>
      <c r="D62" s="4">
        <f ca="1">$B62*('Updated Population'!D$59/'Updated Population'!$B$59)*('Total Distance Tables Sup #1'!D172/'Total Distance Tables Sup #1'!$B172)</f>
        <v>1079.7712525783452</v>
      </c>
      <c r="E62" s="4">
        <f ca="1">$B62*('Updated Population'!E$59/'Updated Population'!$B$59)*('Total Distance Tables Sup #1'!E172/'Total Distance Tables Sup #1'!$B172)</f>
        <v>1101.7087802979984</v>
      </c>
      <c r="F62" s="4">
        <f ca="1">$B62*('Updated Population'!F$59/'Updated Population'!$B$59)*('Total Distance Tables Sup #1'!F172/'Total Distance Tables Sup #1'!$B172)</f>
        <v>1115.6543722331674</v>
      </c>
      <c r="G62" s="4">
        <f ca="1">$B62*('Updated Population'!G$59/'Updated Population'!$B$59)*('Total Distance Tables Sup #1'!G172/'Total Distance Tables Sup #1'!$B172)</f>
        <v>1116.4356697415476</v>
      </c>
      <c r="H62" s="4">
        <f ca="1">$B62*('Updated Population'!H$59/'Updated Population'!$B$59)*('Total Distance Tables Sup #1'!H172/'Total Distance Tables Sup #1'!$B172)</f>
        <v>1111.366422015044</v>
      </c>
      <c r="I62" s="1">
        <f ca="1">$B62*('Updated Population'!I$59/'Updated Population'!$B$59)*('Total Distance Tables Sup #1'!I172/'Total Distance Tables Sup #1'!$B172)</f>
        <v>1103.6774606076799</v>
      </c>
      <c r="J62" s="1">
        <f ca="1">$B62*('Updated Population'!J$59/'Updated Population'!$B$59)*('Total Distance Tables Sup #1'!J172/'Total Distance Tables Sup #1'!$B172)</f>
        <v>1092.5528055235043</v>
      </c>
      <c r="K62" s="1">
        <f ca="1">$B62*('Updated Population'!K$59/'Updated Population'!$B$59)*('Total Distance Tables Sup #1'!K172/'Total Distance Tables Sup #1'!$B172)</f>
        <v>1079.2159828747619</v>
      </c>
    </row>
    <row r="63" spans="1:11" x14ac:dyDescent="0.25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$B63*('Updated Population'!C$59/'Updated Population'!$B$59)*('Total Distance Tables Sup #1'!C173/'Total Distance Tables Sup #1'!$B173)</f>
        <v>616.09474307900041</v>
      </c>
      <c r="D63" s="4">
        <f ca="1">$B63*('Updated Population'!D$59/'Updated Population'!$B$59)*('Total Distance Tables Sup #1'!D173/'Total Distance Tables Sup #1'!$B173)</f>
        <v>614.68620232691569</v>
      </c>
      <c r="E63" s="4">
        <f ca="1">$B63*('Updated Population'!E$59/'Updated Population'!$B$59)*('Total Distance Tables Sup #1'!E173/'Total Distance Tables Sup #1'!$B173)</f>
        <v>613.65815069341261</v>
      </c>
      <c r="F63" s="4">
        <f ca="1">$B63*('Updated Population'!F$59/'Updated Population'!$B$59)*('Total Distance Tables Sup #1'!F173/'Total Distance Tables Sup #1'!$B173)</f>
        <v>607.140445063367</v>
      </c>
      <c r="G63" s="4">
        <f ca="1">$B63*('Updated Population'!G$59/'Updated Population'!$B$59)*('Total Distance Tables Sup #1'!G173/'Total Distance Tables Sup #1'!$B173)</f>
        <v>596.30548419613694</v>
      </c>
      <c r="H63" s="4">
        <f ca="1">$B63*('Updated Population'!H$59/'Updated Population'!$B$59)*('Total Distance Tables Sup #1'!H173/'Total Distance Tables Sup #1'!$B173)</f>
        <v>582.58542916368253</v>
      </c>
      <c r="I63" s="1">
        <f ca="1">$B63*('Updated Population'!I$59/'Updated Population'!$B$59)*('Total Distance Tables Sup #1'!I173/'Total Distance Tables Sup #1'!$B173)</f>
        <v>578.55482612169908</v>
      </c>
      <c r="J63" s="1">
        <f ca="1">$B63*('Updated Population'!J$59/'Updated Population'!$B$59)*('Total Distance Tables Sup #1'!J173/'Total Distance Tables Sup #1'!$B173)</f>
        <v>572.72321034842287</v>
      </c>
      <c r="K63" s="1">
        <f ca="1">$B63*('Updated Population'!K$59/'Updated Population'!$B$59)*('Total Distance Tables Sup #1'!K173/'Total Distance Tables Sup #1'!$B173)</f>
        <v>565.73196210429319</v>
      </c>
    </row>
    <row r="64" spans="1:11" x14ac:dyDescent="0.25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$B64*('Updated Population'!C$59/'Updated Population'!$B$59)*('Total Distance Tables Sup #1'!C174/'Total Distance Tables Sup #1'!$B174)</f>
        <v>1.9432619633865162</v>
      </c>
      <c r="D64" s="4">
        <f ca="1">$B64*('Updated Population'!D$59/'Updated Population'!$B$59)*('Total Distance Tables Sup #1'!D174/'Total Distance Tables Sup #1'!$B174)</f>
        <v>2.0940830453814638</v>
      </c>
      <c r="E64" s="4">
        <f ca="1">$B64*('Updated Population'!E$59/'Updated Population'!$B$59)*('Total Distance Tables Sup #1'!E174/'Total Distance Tables Sup #1'!$B174)</f>
        <v>2.2309009109724114</v>
      </c>
      <c r="F64" s="4">
        <f ca="1">$B64*('Updated Population'!F$59/'Updated Population'!$B$59)*('Total Distance Tables Sup #1'!F174/'Total Distance Tables Sup #1'!$B174)</f>
        <v>2.3347555638119872</v>
      </c>
      <c r="G64" s="4">
        <f ca="1">$B64*('Updated Population'!G$59/'Updated Population'!$B$59)*('Total Distance Tables Sup #1'!G174/'Total Distance Tables Sup #1'!$B174)</f>
        <v>2.3957178092250446</v>
      </c>
      <c r="H64" s="4">
        <f ca="1">$B64*('Updated Population'!H$59/'Updated Population'!$B$59)*('Total Distance Tables Sup #1'!H174/'Total Distance Tables Sup #1'!$B174)</f>
        <v>2.4439920998755107</v>
      </c>
      <c r="I64" s="1">
        <f ca="1">$B64*('Updated Population'!I$59/'Updated Population'!$B$59)*('Total Distance Tables Sup #1'!I174/'Total Distance Tables Sup #1'!$B174)</f>
        <v>2.4270834003110835</v>
      </c>
      <c r="J64" s="1">
        <f ca="1">$B64*('Updated Population'!J$59/'Updated Population'!$B$59)*('Total Distance Tables Sup #1'!J174/'Total Distance Tables Sup #1'!$B174)</f>
        <v>2.4026193094397135</v>
      </c>
      <c r="K64" s="1">
        <f ca="1">$B64*('Updated Population'!K$59/'Updated Population'!$B$59)*('Total Distance Tables Sup #1'!K174/'Total Distance Tables Sup #1'!$B174)</f>
        <v>2.3732904683434817</v>
      </c>
    </row>
    <row r="65" spans="1:11" x14ac:dyDescent="0.25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$B65*('Updated Population'!C$59/'Updated Population'!$B$59)*('Total Distance Tables Sup #1'!C175/'Total Distance Tables Sup #1'!$B175)</f>
        <v>3.1700377977832548</v>
      </c>
      <c r="D65" s="4">
        <f ca="1">$B65*('Updated Population'!D$59/'Updated Population'!$B$59)*('Total Distance Tables Sup #1'!D175/'Total Distance Tables Sup #1'!$B175)</f>
        <v>3.2060743800614748</v>
      </c>
      <c r="E65" s="4">
        <f ca="1">$B65*('Updated Population'!E$59/'Updated Population'!$B$59)*('Total Distance Tables Sup #1'!E175/'Total Distance Tables Sup #1'!$B175)</f>
        <v>3.1938065587517959</v>
      </c>
      <c r="F65" s="4">
        <f ca="1">$B65*('Updated Population'!F$59/'Updated Population'!$B$59)*('Total Distance Tables Sup #1'!F175/'Total Distance Tables Sup #1'!$B175)</f>
        <v>3.1426521027718612</v>
      </c>
      <c r="G65" s="4">
        <f ca="1">$B65*('Updated Population'!G$59/'Updated Population'!$B$59)*('Total Distance Tables Sup #1'!G175/'Total Distance Tables Sup #1'!$B175)</f>
        <v>3.0348280726355905</v>
      </c>
      <c r="H65" s="4">
        <f ca="1">$B65*('Updated Population'!H$59/'Updated Population'!$B$59)*('Total Distance Tables Sup #1'!H175/'Total Distance Tables Sup #1'!$B175)</f>
        <v>2.9135542474257887</v>
      </c>
      <c r="I65" s="1">
        <f ca="1">$B65*('Updated Population'!I$59/'Updated Population'!$B$59)*('Total Distance Tables Sup #1'!I175/'Total Distance Tables Sup #1'!$B175)</f>
        <v>2.8933968936287391</v>
      </c>
      <c r="J65" s="1">
        <f ca="1">$B65*('Updated Population'!J$59/'Updated Population'!$B$59)*('Total Distance Tables Sup #1'!J175/'Total Distance Tables Sup #1'!$B175)</f>
        <v>2.8642325375445599</v>
      </c>
      <c r="K65" s="1">
        <f ca="1">$B65*('Updated Population'!K$59/'Updated Population'!$B$59)*('Total Distance Tables Sup #1'!K175/'Total Distance Tables Sup #1'!$B175)</f>
        <v>2.829268770864481</v>
      </c>
    </row>
    <row r="66" spans="1:11" x14ac:dyDescent="0.25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Distance Tables Sup #1'!C176/'Total Distance Tables Sup #1'!$B176)</f>
        <v>0</v>
      </c>
      <c r="D66" s="4">
        <f ca="1">$B66*('Updated Population'!D$59/'Updated Population'!$B$59)*('Total Distance Tables Sup #1'!D176/'Total Distance Tables Sup #1'!$B176)</f>
        <v>0</v>
      </c>
      <c r="E66" s="4">
        <f ca="1">$B66*('Updated Population'!E$59/'Updated Population'!$B$59)*('Total Distance Tables Sup #1'!E176/'Total Distance Tables Sup #1'!$B176)</f>
        <v>0</v>
      </c>
      <c r="F66" s="4">
        <f ca="1">$B66*('Updated Population'!F$59/'Updated Population'!$B$59)*('Total Distance Tables Sup #1'!F176/'Total Distance Tables Sup #1'!$B176)</f>
        <v>0</v>
      </c>
      <c r="G66" s="4">
        <f ca="1">$B66*('Updated Population'!G$59/'Updated Population'!$B$59)*('Total Distance Tables Sup #1'!G176/'Total Distance Tables Sup #1'!$B176)</f>
        <v>0</v>
      </c>
      <c r="H66" s="4">
        <f ca="1">$B66*('Updated Population'!H$59/'Updated Population'!$B$59)*('Total Distance Tables Sup #1'!H176/'Total Distance Tables Sup #1'!$B176)</f>
        <v>0</v>
      </c>
      <c r="I66" s="1">
        <f ca="1">$B66*('Updated Population'!I$59/'Updated Population'!$B$59)*('Total Distance Tables Sup #1'!I176/'Total Distance Tables Sup #1'!$B176)</f>
        <v>0</v>
      </c>
      <c r="J66" s="1">
        <f ca="1">$B66*('Updated Population'!J$59/'Updated Population'!$B$59)*('Total Distance Tables Sup #1'!J176/'Total Distance Tables Sup #1'!$B176)</f>
        <v>0</v>
      </c>
      <c r="K66" s="1">
        <f ca="1">$B66*('Updated Population'!K$59/'Updated Population'!$B$59)*('Total Distance Tables Sup #1'!K176/'Total Distance Tables Sup #1'!$B176)</f>
        <v>0</v>
      </c>
    </row>
    <row r="67" spans="1:11" x14ac:dyDescent="0.25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$B67*('Updated Population'!C$59/'Updated Population'!$B$59)*('Total Distance Tables Sup #1'!C177/'Total Distance Tables Sup #1'!$B177)</f>
        <v>37.174844412936892</v>
      </c>
      <c r="D67" s="4">
        <f ca="1">$B67*('Updated Population'!D$59/'Updated Population'!$B$59)*('Total Distance Tables Sup #1'!D177/'Total Distance Tables Sup #1'!$B177)</f>
        <v>35.385854761167707</v>
      </c>
      <c r="E67" s="4">
        <f ca="1">$B67*('Updated Population'!E$59/'Updated Population'!$B$59)*('Total Distance Tables Sup #1'!E177/'Total Distance Tables Sup #1'!$B177)</f>
        <v>34.122471258444655</v>
      </c>
      <c r="F67" s="4">
        <f ca="1">$B67*('Updated Population'!F$59/'Updated Population'!$B$59)*('Total Distance Tables Sup #1'!F177/'Total Distance Tables Sup #1'!$B177)</f>
        <v>32.306683879695427</v>
      </c>
      <c r="G67" s="4">
        <f ca="1">$B67*('Updated Population'!G$59/'Updated Population'!$B$59)*('Total Distance Tables Sup #1'!G177/'Total Distance Tables Sup #1'!$B177)</f>
        <v>30.91683331000598</v>
      </c>
      <c r="H67" s="4">
        <f ca="1">$B67*('Updated Population'!H$59/'Updated Population'!$B$59)*('Total Distance Tables Sup #1'!H177/'Total Distance Tables Sup #1'!$B177)</f>
        <v>29.464827516846711</v>
      </c>
      <c r="I67" s="1">
        <f ca="1">$B67*('Updated Population'!I$59/'Updated Population'!$B$59)*('Total Distance Tables Sup #1'!I177/'Total Distance Tables Sup #1'!$B177)</f>
        <v>29.260975828363179</v>
      </c>
      <c r="J67" s="1">
        <f ca="1">$B67*('Updated Population'!J$59/'Updated Population'!$B$59)*('Total Distance Tables Sup #1'!J177/'Total Distance Tables Sup #1'!$B177)</f>
        <v>28.966036160629351</v>
      </c>
      <c r="K67" s="1">
        <f ca="1">$B67*('Updated Population'!K$59/'Updated Population'!$B$59)*('Total Distance Tables Sup #1'!K177/'Total Distance Tables Sup #1'!$B177)</f>
        <v>28.612446947221709</v>
      </c>
    </row>
    <row r="68" spans="1:11" x14ac:dyDescent="0.25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Distance Tables Sup #1'!C178/'Total Distance Tables Sup #1'!$B178)</f>
        <v>0</v>
      </c>
      <c r="D68" s="4">
        <f ca="1">$B68*('Updated Population'!D$59/'Updated Population'!$B$59)*('Total Distance Tables Sup #1'!D178/'Total Distance Tables Sup #1'!$B178)</f>
        <v>0</v>
      </c>
      <c r="E68" s="4">
        <f ca="1">$B68*('Updated Population'!E$59/'Updated Population'!$B$59)*('Total Distance Tables Sup #1'!E178/'Total Distance Tables Sup #1'!$B178)</f>
        <v>0</v>
      </c>
      <c r="F68" s="4">
        <f ca="1">$B68*('Updated Population'!F$59/'Updated Population'!$B$59)*('Total Distance Tables Sup #1'!F178/'Total Distance Tables Sup #1'!$B178)</f>
        <v>0</v>
      </c>
      <c r="G68" s="4">
        <f ca="1">$B68*('Updated Population'!G$59/'Updated Population'!$B$59)*('Total Distance Tables Sup #1'!G178/'Total Distance Tables Sup #1'!$B178)</f>
        <v>0</v>
      </c>
      <c r="H68" s="4">
        <f ca="1">$B68*('Updated Population'!H$59/'Updated Population'!$B$59)*('Total Distance Tables Sup #1'!H178/'Total Distance Tables Sup #1'!$B178)</f>
        <v>0</v>
      </c>
      <c r="I68" s="1">
        <f ca="1">$B68*('Updated Population'!I$59/'Updated Population'!$B$59)*('Total Distance Tables Sup #1'!I178/'Total Distance Tables Sup #1'!$B178)</f>
        <v>0</v>
      </c>
      <c r="J68" s="1">
        <f ca="1">$B68*('Updated Population'!J$59/'Updated Population'!$B$59)*('Total Distance Tables Sup #1'!J178/'Total Distance Tables Sup #1'!$B178)</f>
        <v>0</v>
      </c>
      <c r="K68" s="1">
        <f ca="1">$B68*('Updated Population'!K$59/'Updated Population'!$B$59)*('Total Distance Tables Sup #1'!K178/'Total Distance Tables Sup #1'!$B178)</f>
        <v>0</v>
      </c>
    </row>
    <row r="69" spans="1:11" x14ac:dyDescent="0.25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$B69*('Updated Population'!C$59/'Updated Population'!$B$59)*('Total Distance Tables Sup #1'!C179/'Total Distance Tables Sup #1'!$B179)</f>
        <v>0</v>
      </c>
      <c r="D69" s="4">
        <f ca="1">$B69*('Updated Population'!D$59/'Updated Population'!$B$59)*('Total Distance Tables Sup #1'!D179/'Total Distance Tables Sup #1'!$B179)</f>
        <v>0</v>
      </c>
      <c r="E69" s="4">
        <f ca="1">$B69*('Updated Population'!E$59/'Updated Population'!$B$59)*('Total Distance Tables Sup #1'!E179/'Total Distance Tables Sup #1'!$B179)</f>
        <v>0</v>
      </c>
      <c r="F69" s="4">
        <f ca="1">$B69*('Updated Population'!F$59/'Updated Population'!$B$59)*('Total Distance Tables Sup #1'!F179/'Total Distance Tables Sup #1'!$B179)</f>
        <v>0</v>
      </c>
      <c r="G69" s="4">
        <f ca="1">$B69*('Updated Population'!G$59/'Updated Population'!$B$59)*('Total Distance Tables Sup #1'!G179/'Total Distance Tables Sup #1'!$B179)</f>
        <v>0</v>
      </c>
      <c r="H69" s="4">
        <f ca="1">$B69*('Updated Population'!H$59/'Updated Population'!$B$59)*('Total Distance Tables Sup #1'!H179/'Total Distance Tables Sup #1'!$B179)</f>
        <v>0</v>
      </c>
      <c r="I69" s="1">
        <f ca="1">$B69*('Updated Population'!I$59/'Updated Population'!$B$59)*('Total Distance Tables Sup #1'!I179/'Total Distance Tables Sup #1'!$B179)</f>
        <v>0</v>
      </c>
      <c r="J69" s="1">
        <f ca="1">$B69*('Updated Population'!J$59/'Updated Population'!$B$59)*('Total Distance Tables Sup #1'!J179/'Total Distance Tables Sup #1'!$B179)</f>
        <v>0</v>
      </c>
      <c r="K69" s="1">
        <f ca="1">$B69*('Updated Population'!K$59/'Updated Population'!$B$59)*('Total Distance Tables Sup #1'!K179/'Total Distance Tables Sup #1'!$B179)</f>
        <v>0</v>
      </c>
    </row>
    <row r="70" spans="1:11" x14ac:dyDescent="0.25">
      <c r="A70" t="str">
        <f ca="1">OFFSET(Taranaki_Reference,0,0)</f>
        <v>07 TARANAKI</v>
      </c>
      <c r="I70" s="1"/>
      <c r="J70" s="1"/>
      <c r="K70" s="1"/>
    </row>
    <row r="71" spans="1:11" x14ac:dyDescent="0.25">
      <c r="A71" t="str">
        <f ca="1">OFFSET(Taranaki_Reference,0,2)</f>
        <v>Pedestrian</v>
      </c>
      <c r="B71" s="4">
        <f ca="1">OFFSET(Taranaki_Reference,0,6)</f>
        <v>16.820589198</v>
      </c>
      <c r="C71" s="4">
        <f ca="1">$B71*('Updated Population'!C$70/'Updated Population'!$B$70)*('Total Distance Tables Sup #1'!C170/'Total Distance Tables Sup #1'!$B170)</f>
        <v>17.37425111625862</v>
      </c>
      <c r="D71" s="4">
        <f ca="1">$B71*('Updated Population'!D$70/'Updated Population'!$B$70)*('Total Distance Tables Sup #1'!D170/'Total Distance Tables Sup #1'!$B170)</f>
        <v>17.542052209344696</v>
      </c>
      <c r="E71" s="4">
        <f ca="1">$B71*('Updated Population'!E$70/'Updated Population'!$B$70)*('Total Distance Tables Sup #1'!E170/'Total Distance Tables Sup #1'!$B170)</f>
        <v>17.524481472374127</v>
      </c>
      <c r="F71" s="4">
        <f ca="1">$B71*('Updated Population'!F$70/'Updated Population'!$B$70)*('Total Distance Tables Sup #1'!F170/'Total Distance Tables Sup #1'!$B170)</f>
        <v>17.329656702458585</v>
      </c>
      <c r="G71" s="4">
        <f ca="1">$B71*('Updated Population'!G$70/'Updated Population'!$B$70)*('Total Distance Tables Sup #1'!G170/'Total Distance Tables Sup #1'!$B170)</f>
        <v>17.111882444207001</v>
      </c>
      <c r="H71" s="4">
        <f ca="1">$B71*('Updated Population'!H$70/'Updated Population'!$B$70)*('Total Distance Tables Sup #1'!H170/'Total Distance Tables Sup #1'!$B170)</f>
        <v>16.853585660680423</v>
      </c>
      <c r="I71" s="1">
        <f ca="1">$B71*('Updated Population'!I$70/'Updated Population'!$B$70)*('Total Distance Tables Sup #1'!I170/'Total Distance Tables Sup #1'!$B170)</f>
        <v>16.964385849554724</v>
      </c>
      <c r="J71" s="1">
        <f ca="1">$B71*('Updated Population'!J$70/'Updated Population'!$B$70)*('Total Distance Tables Sup #1'!J170/'Total Distance Tables Sup #1'!$B170)</f>
        <v>17.021558891867699</v>
      </c>
      <c r="K71" s="1">
        <f ca="1">$B71*('Updated Population'!K$70/'Updated Population'!$B$70)*('Total Distance Tables Sup #1'!K170/'Total Distance Tables Sup #1'!$B170)</f>
        <v>17.042220905627836</v>
      </c>
    </row>
    <row r="72" spans="1:11" x14ac:dyDescent="0.25">
      <c r="A72" t="str">
        <f ca="1">OFFSET(Taranaki_Reference,7,2)</f>
        <v>Cyclist</v>
      </c>
      <c r="B72" s="4">
        <f ca="1">OFFSET(Taranaki_Reference,7,6)</f>
        <v>5.5737915155</v>
      </c>
      <c r="C72" s="4">
        <f ca="1">$B72*('Updated Population'!C$70/'Updated Population'!$B$70)*('Total Distance Tables Sup #1'!C171/'Total Distance Tables Sup #1'!$B171)</f>
        <v>5.914862838979281</v>
      </c>
      <c r="D72" s="4">
        <f ca="1">$B72*('Updated Population'!D$70/'Updated Population'!$B$70)*('Total Distance Tables Sup #1'!D171/'Total Distance Tables Sup #1'!$B171)</f>
        <v>6.0193553042382613</v>
      </c>
      <c r="E72" s="4">
        <f ca="1">$B72*('Updated Population'!E$70/'Updated Population'!$B$70)*('Total Distance Tables Sup #1'!E171/'Total Distance Tables Sup #1'!$B171)</f>
        <v>6.0292097762625438</v>
      </c>
      <c r="F72" s="4">
        <f ca="1">$B72*('Updated Population'!F$70/'Updated Population'!$B$70)*('Total Distance Tables Sup #1'!F171/'Total Distance Tables Sup #1'!$B171)</f>
        <v>6.1102215058158604</v>
      </c>
      <c r="G72" s="4">
        <f ca="1">$B72*('Updated Population'!G$70/'Updated Population'!$B$70)*('Total Distance Tables Sup #1'!G171/'Total Distance Tables Sup #1'!$B171)</f>
        <v>6.2847402190130275</v>
      </c>
      <c r="H72" s="4">
        <f ca="1">$B72*('Updated Population'!H$70/'Updated Population'!$B$70)*('Total Distance Tables Sup #1'!H171/'Total Distance Tables Sup #1'!$B171)</f>
        <v>6.4662531619260459</v>
      </c>
      <c r="I72" s="1">
        <f ca="1">$B72*('Updated Population'!I$70/'Updated Population'!$B$70)*('Total Distance Tables Sup #1'!I171/'Total Distance Tables Sup #1'!$B171)</f>
        <v>6.5087641198951847</v>
      </c>
      <c r="J72" s="1">
        <f ca="1">$B72*('Updated Population'!J$70/'Updated Population'!$B$70)*('Total Distance Tables Sup #1'!J171/'Total Distance Tables Sup #1'!$B171)</f>
        <v>6.5306998297836572</v>
      </c>
      <c r="K72" s="1">
        <f ca="1">$B72*('Updated Population'!K$70/'Updated Population'!$B$70)*('Total Distance Tables Sup #1'!K171/'Total Distance Tables Sup #1'!$B171)</f>
        <v>6.5386272711304541</v>
      </c>
    </row>
    <row r="73" spans="1:11" x14ac:dyDescent="0.25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$B73*('Updated Population'!C$70/'Updated Population'!$B$70)*('Total Distance Tables Sup #1'!C172/'Total Distance Tables Sup #1'!$B172)</f>
        <v>994.7003215545534</v>
      </c>
      <c r="D73" s="4">
        <f ca="1">$B73*('Updated Population'!D$70/'Updated Population'!$B$70)*('Total Distance Tables Sup #1'!D172/'Total Distance Tables Sup #1'!$B172)</f>
        <v>1023.9580478937753</v>
      </c>
      <c r="E73" s="4">
        <f ca="1">$B73*('Updated Population'!E$70/'Updated Population'!$B$70)*('Total Distance Tables Sup #1'!E172/'Total Distance Tables Sup #1'!$B172)</f>
        <v>1054.5979565504574</v>
      </c>
      <c r="F73" s="4">
        <f ca="1">$B73*('Updated Population'!F$70/'Updated Population'!$B$70)*('Total Distance Tables Sup #1'!F172/'Total Distance Tables Sup #1'!$B172)</f>
        <v>1079.2611227368311</v>
      </c>
      <c r="G73" s="4">
        <f ca="1">$B73*('Updated Population'!G$70/'Updated Population'!$B$70)*('Total Distance Tables Sup #1'!G172/'Total Distance Tables Sup #1'!$B172)</f>
        <v>1093.106362921352</v>
      </c>
      <c r="H73" s="4">
        <f ca="1">$B73*('Updated Population'!H$70/'Updated Population'!$B$70)*('Total Distance Tables Sup #1'!H172/'Total Distance Tables Sup #1'!$B172)</f>
        <v>1102.9273763858678</v>
      </c>
      <c r="I73" s="1">
        <f ca="1">$B73*('Updated Population'!I$70/'Updated Population'!$B$70)*('Total Distance Tables Sup #1'!I172/'Total Distance Tables Sup #1'!$B172)</f>
        <v>1110.1783296297997</v>
      </c>
      <c r="J73" s="1">
        <f ca="1">$B73*('Updated Population'!J$70/'Updated Population'!$B$70)*('Total Distance Tables Sup #1'!J172/'Total Distance Tables Sup #1'!$B172)</f>
        <v>1113.9198309831502</v>
      </c>
      <c r="K73" s="1">
        <f ca="1">$B73*('Updated Population'!K$70/'Updated Population'!$B$70)*('Total Distance Tables Sup #1'!K172/'Total Distance Tables Sup #1'!$B172)</f>
        <v>1115.2719883866923</v>
      </c>
    </row>
    <row r="74" spans="1:11" x14ac:dyDescent="0.25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$B74*('Updated Population'!C$70/'Updated Population'!$B$70)*('Total Distance Tables Sup #1'!C173/'Total Distance Tables Sup #1'!$B173)</f>
        <v>671.46822895811988</v>
      </c>
      <c r="D74" s="4">
        <f ca="1">$B74*('Updated Population'!D$70/'Updated Population'!$B$70)*('Total Distance Tables Sup #1'!D173/'Total Distance Tables Sup #1'!$B173)</f>
        <v>675.47438527743986</v>
      </c>
      <c r="E74" s="4">
        <f ca="1">$B74*('Updated Population'!E$70/'Updated Population'!$B$70)*('Total Distance Tables Sup #1'!E173/'Total Distance Tables Sup #1'!$B173)</f>
        <v>680.6935553971806</v>
      </c>
      <c r="F74" s="4">
        <f ca="1">$B74*('Updated Population'!F$70/'Updated Population'!$B$70)*('Total Distance Tables Sup #1'!F173/'Total Distance Tables Sup #1'!$B173)</f>
        <v>680.59858695330638</v>
      </c>
      <c r="G74" s="4">
        <f ca="1">$B74*('Updated Population'!G$70/'Updated Population'!$B$70)*('Total Distance Tables Sup #1'!G173/'Total Distance Tables Sup #1'!$B173)</f>
        <v>676.55411413166405</v>
      </c>
      <c r="H74" s="4">
        <f ca="1">$B74*('Updated Population'!H$70/'Updated Population'!$B$70)*('Total Distance Tables Sup #1'!H173/'Total Distance Tables Sup #1'!$B173)</f>
        <v>669.96834131233913</v>
      </c>
      <c r="I74" s="1">
        <f ca="1">$B74*('Updated Population'!I$70/'Updated Population'!$B$70)*('Total Distance Tables Sup #1'!I173/'Total Distance Tables Sup #1'!$B173)</f>
        <v>674.3729006893027</v>
      </c>
      <c r="J74" s="1">
        <f ca="1">$B74*('Updated Population'!J$70/'Updated Population'!$B$70)*('Total Distance Tables Sup #1'!J173/'Total Distance Tables Sup #1'!$B173)</f>
        <v>676.64565908608517</v>
      </c>
      <c r="K74" s="1">
        <f ca="1">$B74*('Updated Population'!K$70/'Updated Population'!$B$70)*('Total Distance Tables Sup #1'!K173/'Total Distance Tables Sup #1'!$B173)</f>
        <v>677.46702110160868</v>
      </c>
    </row>
    <row r="75" spans="1:11" x14ac:dyDescent="0.25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$B75*('Updated Population'!C$70/'Updated Population'!$B$70)*('Total Distance Tables Sup #1'!C174/'Total Distance Tables Sup #1'!$B174)</f>
        <v>1.2641093837878059</v>
      </c>
      <c r="D75" s="4">
        <f ca="1">$B75*('Updated Population'!D$70/'Updated Population'!$B$70)*('Total Distance Tables Sup #1'!D174/'Total Distance Tables Sup #1'!$B174)</f>
        <v>1.3734873388618425</v>
      </c>
      <c r="E75" s="4">
        <f ca="1">$B75*('Updated Population'!E$70/'Updated Population'!$B$70)*('Total Distance Tables Sup #1'!E174/'Total Distance Tables Sup #1'!$B174)</f>
        <v>1.4770008747038605</v>
      </c>
      <c r="F75" s="4">
        <f ca="1">$B75*('Updated Population'!F$70/'Updated Population'!$B$70)*('Total Distance Tables Sup #1'!F174/'Total Distance Tables Sup #1'!$B174)</f>
        <v>1.5621352670895603</v>
      </c>
      <c r="G75" s="4">
        <f ca="1">$B75*('Updated Population'!G$70/'Updated Population'!$B$70)*('Total Distance Tables Sup #1'!G174/'Total Distance Tables Sup #1'!$B174)</f>
        <v>1.62235068648678</v>
      </c>
      <c r="H75" s="4">
        <f ca="1">$B75*('Updated Population'!H$70/'Updated Population'!$B$70)*('Total Distance Tables Sup #1'!H174/'Total Distance Tables Sup #1'!$B174)</f>
        <v>1.6775280860883859</v>
      </c>
      <c r="I75" s="1">
        <f ca="1">$B75*('Updated Population'!I$70/'Updated Population'!$B$70)*('Total Distance Tables Sup #1'!I174/'Total Distance Tables Sup #1'!$B174)</f>
        <v>1.688556625208947</v>
      </c>
      <c r="J75" s="1">
        <f ca="1">$B75*('Updated Population'!J$70/'Updated Population'!$B$70)*('Total Distance Tables Sup #1'!J174/'Total Distance Tables Sup #1'!$B174)</f>
        <v>1.6942473658132384</v>
      </c>
      <c r="K75" s="1">
        <f ca="1">$B75*('Updated Population'!K$70/'Updated Population'!$B$70)*('Total Distance Tables Sup #1'!K174/'Total Distance Tables Sup #1'!$B174)</f>
        <v>1.6963039672448639</v>
      </c>
    </row>
    <row r="76" spans="1:11" x14ac:dyDescent="0.25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$B76*('Updated Population'!C$70/'Updated Population'!$B$70)*('Total Distance Tables Sup #1'!C175/'Total Distance Tables Sup #1'!$B175)</f>
        <v>7.3979788776464694</v>
      </c>
      <c r="D76" s="4">
        <f ca="1">$B76*('Updated Population'!D$70/'Updated Population'!$B$70)*('Total Distance Tables Sup #1'!D175/'Total Distance Tables Sup #1'!$B175)</f>
        <v>7.5439655192715653</v>
      </c>
      <c r="E76" s="4">
        <f ca="1">$B76*('Updated Population'!E$70/'Updated Population'!$B$70)*('Total Distance Tables Sup #1'!E175/'Total Distance Tables Sup #1'!$B175)</f>
        <v>7.5858529788785374</v>
      </c>
      <c r="F76" s="4">
        <f ca="1">$B76*('Updated Population'!F$70/'Updated Population'!$B$70)*('Total Distance Tables Sup #1'!F175/'Total Distance Tables Sup #1'!$B175)</f>
        <v>7.5434300243565637</v>
      </c>
      <c r="G76" s="4">
        <f ca="1">$B76*('Updated Population'!G$70/'Updated Population'!$B$70)*('Total Distance Tables Sup #1'!G175/'Total Distance Tables Sup #1'!$B175)</f>
        <v>7.3729028188819852</v>
      </c>
      <c r="H76" s="4">
        <f ca="1">$B76*('Updated Population'!H$70/'Updated Population'!$B$70)*('Total Distance Tables Sup #1'!H175/'Total Distance Tables Sup #1'!$B175)</f>
        <v>7.1744473408758482</v>
      </c>
      <c r="I76" s="1">
        <f ca="1">$B76*('Updated Population'!I$70/'Updated Population'!$B$70)*('Total Distance Tables Sup #1'!I175/'Total Distance Tables Sup #1'!$B175)</f>
        <v>7.221614165576681</v>
      </c>
      <c r="J76" s="1">
        <f ca="1">$B76*('Updated Population'!J$70/'Updated Population'!$B$70)*('Total Distance Tables Sup #1'!J175/'Total Distance Tables Sup #1'!$B175)</f>
        <v>7.2459523087855215</v>
      </c>
      <c r="K76" s="1">
        <f ca="1">$B76*('Updated Population'!K$70/'Updated Population'!$B$70)*('Total Distance Tables Sup #1'!K175/'Total Distance Tables Sup #1'!$B175)</f>
        <v>7.2547479759309672</v>
      </c>
    </row>
    <row r="77" spans="1:11" x14ac:dyDescent="0.25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Distance Tables Sup #1'!C176/'Total Distance Tables Sup #1'!$B176)</f>
        <v>0</v>
      </c>
      <c r="D77" s="4">
        <f ca="1">$B77*('Updated Population'!D$70/'Updated Population'!$B$70)*('Total Distance Tables Sup #1'!D176/'Total Distance Tables Sup #1'!$B176)</f>
        <v>0</v>
      </c>
      <c r="E77" s="4">
        <f ca="1">$B77*('Updated Population'!E$70/'Updated Population'!$B$70)*('Total Distance Tables Sup #1'!E176/'Total Distance Tables Sup #1'!$B176)</f>
        <v>0</v>
      </c>
      <c r="F77" s="4">
        <f ca="1">$B77*('Updated Population'!F$70/'Updated Population'!$B$70)*('Total Distance Tables Sup #1'!F176/'Total Distance Tables Sup #1'!$B176)</f>
        <v>0</v>
      </c>
      <c r="G77" s="4">
        <f ca="1">$B77*('Updated Population'!G$70/'Updated Population'!$B$70)*('Total Distance Tables Sup #1'!G176/'Total Distance Tables Sup #1'!$B176)</f>
        <v>0</v>
      </c>
      <c r="H77" s="4">
        <f ca="1">$B77*('Updated Population'!H$70/'Updated Population'!$B$70)*('Total Distance Tables Sup #1'!H176/'Total Distance Tables Sup #1'!$B176)</f>
        <v>0</v>
      </c>
      <c r="I77" s="1">
        <f ca="1">$B77*('Updated Population'!I$70/'Updated Population'!$B$70)*('Total Distance Tables Sup #1'!I176/'Total Distance Tables Sup #1'!$B176)</f>
        <v>0</v>
      </c>
      <c r="J77" s="1">
        <f ca="1">$B77*('Updated Population'!J$70/'Updated Population'!$B$70)*('Total Distance Tables Sup #1'!J176/'Total Distance Tables Sup #1'!$B176)</f>
        <v>0</v>
      </c>
      <c r="K77" s="1">
        <f ca="1">$B77*('Updated Population'!K$70/'Updated Population'!$B$70)*('Total Distance Tables Sup #1'!K176/'Total Distance Tables Sup #1'!$B176)</f>
        <v>0</v>
      </c>
    </row>
    <row r="78" spans="1:11" x14ac:dyDescent="0.25">
      <c r="A78" t="str">
        <f ca="1">OFFSET(Taranaki_Reference,49,2)</f>
        <v>Local Bus</v>
      </c>
      <c r="B78" s="4">
        <f ca="1">OFFSET(Taranaki_Reference,49,6)</f>
        <v>14.084735078</v>
      </c>
      <c r="C78" s="4">
        <f ca="1">$B78*('Updated Population'!C$70/'Updated Population'!$B$70)*('Total Distance Tables Sup #1'!C177/'Total Distance Tables Sup #1'!$B177)</f>
        <v>13.349726555081848</v>
      </c>
      <c r="D78" s="4">
        <f ca="1">$B78*('Updated Population'!D$70/'Updated Population'!$B$70)*('Total Distance Tables Sup #1'!D177/'Total Distance Tables Sup #1'!$B177)</f>
        <v>12.812396076018659</v>
      </c>
      <c r="E78" s="4">
        <f ca="1">$B78*('Updated Population'!E$70/'Updated Population'!$B$70)*('Total Distance Tables Sup #1'!E177/'Total Distance Tables Sup #1'!$B177)</f>
        <v>12.471274937787868</v>
      </c>
      <c r="F78" s="4">
        <f ca="1">$B78*('Updated Population'!F$70/'Updated Population'!$B$70)*('Total Distance Tables Sup #1'!F177/'Total Distance Tables Sup #1'!$B177)</f>
        <v>11.932721528299609</v>
      </c>
      <c r="G78" s="4">
        <f ca="1">$B78*('Updated Population'!G$70/'Updated Population'!$B$70)*('Total Distance Tables Sup #1'!G177/'Total Distance Tables Sup #1'!$B177)</f>
        <v>11.557768339494428</v>
      </c>
      <c r="H78" s="4">
        <f ca="1">$B78*('Updated Population'!H$70/'Updated Population'!$B$70)*('Total Distance Tables Sup #1'!H177/'Total Distance Tables Sup #1'!$B177)</f>
        <v>11.164616526199138</v>
      </c>
      <c r="I78" s="1">
        <f ca="1">$B78*('Updated Population'!I$70/'Updated Population'!$B$70)*('Total Distance Tables Sup #1'!I177/'Total Distance Tables Sup #1'!$B177)</f>
        <v>11.238015839835883</v>
      </c>
      <c r="J78" s="1">
        <f ca="1">$B78*('Updated Population'!J$70/'Updated Population'!$B$70)*('Total Distance Tables Sup #1'!J177/'Total Distance Tables Sup #1'!$B177)</f>
        <v>11.27588998163051</v>
      </c>
      <c r="K78" s="1">
        <f ca="1">$B78*('Updated Population'!K$70/'Updated Population'!$B$70)*('Total Distance Tables Sup #1'!K177/'Total Distance Tables Sup #1'!$B177)</f>
        <v>11.289577482019773</v>
      </c>
    </row>
    <row r="79" spans="1:11" x14ac:dyDescent="0.25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Distance Tables Sup #1'!C178/'Total Distance Tables Sup #1'!$B178)</f>
        <v>0</v>
      </c>
      <c r="D79" s="4">
        <f ca="1">$B79*('Updated Population'!D$70/'Updated Population'!$B$70)*('Total Distance Tables Sup #1'!D178/'Total Distance Tables Sup #1'!$B178)</f>
        <v>0</v>
      </c>
      <c r="E79" s="4">
        <f ca="1">$B79*('Updated Population'!E$70/'Updated Population'!$B$70)*('Total Distance Tables Sup #1'!E178/'Total Distance Tables Sup #1'!$B178)</f>
        <v>0</v>
      </c>
      <c r="F79" s="4">
        <f ca="1">$B79*('Updated Population'!F$70/'Updated Population'!$B$70)*('Total Distance Tables Sup #1'!F178/'Total Distance Tables Sup #1'!$B178)</f>
        <v>0</v>
      </c>
      <c r="G79" s="4">
        <f ca="1">$B79*('Updated Population'!G$70/'Updated Population'!$B$70)*('Total Distance Tables Sup #1'!G178/'Total Distance Tables Sup #1'!$B178)</f>
        <v>0</v>
      </c>
      <c r="H79" s="4">
        <f ca="1">$B79*('Updated Population'!H$70/'Updated Population'!$B$70)*('Total Distance Tables Sup #1'!H178/'Total Distance Tables Sup #1'!$B178)</f>
        <v>0</v>
      </c>
      <c r="I79" s="1">
        <f ca="1">$B79*('Updated Population'!I$70/'Updated Population'!$B$70)*('Total Distance Tables Sup #1'!I178/'Total Distance Tables Sup #1'!$B178)</f>
        <v>0</v>
      </c>
      <c r="J79" s="1">
        <f ca="1">$B79*('Updated Population'!J$70/'Updated Population'!$B$70)*('Total Distance Tables Sup #1'!J178/'Total Distance Tables Sup #1'!$B178)</f>
        <v>0</v>
      </c>
      <c r="K79" s="1">
        <f ca="1">$B79*('Updated Population'!K$70/'Updated Population'!$B$70)*('Total Distance Tables Sup #1'!K178/'Total Distance Tables Sup #1'!$B178)</f>
        <v>0</v>
      </c>
    </row>
    <row r="80" spans="1:11" x14ac:dyDescent="0.25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$B80*('Updated Population'!C$70/'Updated Population'!$B$70)*('Total Distance Tables Sup #1'!C179/'Total Distance Tables Sup #1'!$B179)</f>
        <v>0</v>
      </c>
      <c r="D80" s="4">
        <f ca="1">$B80*('Updated Population'!D$70/'Updated Population'!$B$70)*('Total Distance Tables Sup #1'!D179/'Total Distance Tables Sup #1'!$B179)</f>
        <v>0</v>
      </c>
      <c r="E80" s="4">
        <f ca="1">$B80*('Updated Population'!E$70/'Updated Population'!$B$70)*('Total Distance Tables Sup #1'!E179/'Total Distance Tables Sup #1'!$B179)</f>
        <v>0</v>
      </c>
      <c r="F80" s="4">
        <f ca="1">$B80*('Updated Population'!F$70/'Updated Population'!$B$70)*('Total Distance Tables Sup #1'!F179/'Total Distance Tables Sup #1'!$B179)</f>
        <v>0</v>
      </c>
      <c r="G80" s="4">
        <f ca="1">$B80*('Updated Population'!G$70/'Updated Population'!$B$70)*('Total Distance Tables Sup #1'!G179/'Total Distance Tables Sup #1'!$B179)</f>
        <v>0</v>
      </c>
      <c r="H80" s="4">
        <f ca="1">$B80*('Updated Population'!H$70/'Updated Population'!$B$70)*('Total Distance Tables Sup #1'!H179/'Total Distance Tables Sup #1'!$B179)</f>
        <v>0</v>
      </c>
      <c r="I80" s="1">
        <f ca="1">$B80*('Updated Population'!I$70/'Updated Population'!$B$70)*('Total Distance Tables Sup #1'!I179/'Total Distance Tables Sup #1'!$B179)</f>
        <v>0</v>
      </c>
      <c r="J80" s="1">
        <f ca="1">$B80*('Updated Population'!J$70/'Updated Population'!$B$70)*('Total Distance Tables Sup #1'!J179/'Total Distance Tables Sup #1'!$B179)</f>
        <v>0</v>
      </c>
      <c r="K80" s="1">
        <f ca="1">$B80*('Updated Population'!K$70/'Updated Population'!$B$70)*('Total Distance Tables Sup #1'!K179/'Total Distance Tables Sup #1'!$B179)</f>
        <v>0</v>
      </c>
    </row>
    <row r="81" spans="1:11" x14ac:dyDescent="0.25">
      <c r="A81" t="str">
        <f ca="1">OFFSET(Manawatu_Reference,0,0)</f>
        <v>08 MANAWATU-WANGANUI</v>
      </c>
      <c r="I81" s="1"/>
      <c r="J81" s="1"/>
      <c r="K81" s="1"/>
    </row>
    <row r="82" spans="1:11" x14ac:dyDescent="0.25">
      <c r="A82" t="str">
        <f ca="1">OFFSET(Manawatu_Reference,0,2)</f>
        <v>Pedestrian</v>
      </c>
      <c r="B82" s="4">
        <f ca="1">OFFSET(Manawatu_Reference,0,6)</f>
        <v>32.265609755</v>
      </c>
      <c r="C82" s="4">
        <f ca="1">$B82*('Updated Population'!C$81/'Updated Population'!$B$81)*('Total Distance Tables Sup #1'!C170/'Total Distance Tables Sup #1'!$B170)</f>
        <v>33.06728873463188</v>
      </c>
      <c r="D82" s="4">
        <f ca="1">$B82*('Updated Population'!D$81/'Updated Population'!$B$81)*('Total Distance Tables Sup #1'!D170/'Total Distance Tables Sup #1'!$B170)</f>
        <v>33.01337592960752</v>
      </c>
      <c r="E82" s="4">
        <f ca="1">$B82*('Updated Population'!E$81/'Updated Population'!$B$81)*('Total Distance Tables Sup #1'!E170/'Total Distance Tables Sup #1'!$B170)</f>
        <v>32.57360518557222</v>
      </c>
      <c r="F82" s="4">
        <f ca="1">$B82*('Updated Population'!F$81/'Updated Population'!$B$81)*('Total Distance Tables Sup #1'!F170/'Total Distance Tables Sup #1'!$B170)</f>
        <v>31.810696368745759</v>
      </c>
      <c r="G82" s="4">
        <f ca="1">$B82*('Updated Population'!G$81/'Updated Population'!$B$81)*('Total Distance Tables Sup #1'!G170/'Total Distance Tables Sup #1'!$B170)</f>
        <v>30.986146490441318</v>
      </c>
      <c r="H82" s="4">
        <f ca="1">$B82*('Updated Population'!H$81/'Updated Population'!$B$81)*('Total Distance Tables Sup #1'!H170/'Total Distance Tables Sup #1'!$B170)</f>
        <v>30.069373747690776</v>
      </c>
      <c r="I82" s="1">
        <f ca="1">$B82*('Updated Population'!I$81/'Updated Population'!$B$81)*('Total Distance Tables Sup #1'!I170/'Total Distance Tables Sup #1'!$B170)</f>
        <v>29.821707141470551</v>
      </c>
      <c r="J82" s="1">
        <f ca="1">$B82*('Updated Population'!J$81/'Updated Population'!$B$81)*('Total Distance Tables Sup #1'!J170/'Total Distance Tables Sup #1'!$B170)</f>
        <v>29.481934682839121</v>
      </c>
      <c r="K82" s="1">
        <f ca="1">$B82*('Updated Population'!K$81/'Updated Population'!$B$81)*('Total Distance Tables Sup #1'!K170/'Total Distance Tables Sup #1'!$B170)</f>
        <v>29.083396700323533</v>
      </c>
    </row>
    <row r="83" spans="1:11" x14ac:dyDescent="0.25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$B83*('Updated Population'!C$81/'Updated Population'!$B$81)*('Total Distance Tables Sup #1'!C171/'Total Distance Tables Sup #1'!$B171)</f>
        <v>21.81857511022541</v>
      </c>
      <c r="D83" s="4">
        <f ca="1">$B83*('Updated Population'!D$81/'Updated Population'!$B$81)*('Total Distance Tables Sup #1'!D171/'Total Distance Tables Sup #1'!$B171)</f>
        <v>21.955772941974175</v>
      </c>
      <c r="E83" s="4">
        <f ca="1">$B83*('Updated Population'!E$81/'Updated Population'!$B$81)*('Total Distance Tables Sup #1'!E171/'Total Distance Tables Sup #1'!$B171)</f>
        <v>21.720522077029226</v>
      </c>
      <c r="F83" s="4">
        <f ca="1">$B83*('Updated Population'!F$81/'Updated Population'!$B$81)*('Total Distance Tables Sup #1'!F171/'Total Distance Tables Sup #1'!$B171)</f>
        <v>21.738490554155337</v>
      </c>
      <c r="G83" s="4">
        <f ca="1">$B83*('Updated Population'!G$81/'Updated Population'!$B$81)*('Total Distance Tables Sup #1'!G171/'Total Distance Tables Sup #1'!$B171)</f>
        <v>22.056994048787878</v>
      </c>
      <c r="H83" s="4">
        <f ca="1">$B83*('Updated Population'!H$81/'Updated Population'!$B$81)*('Total Distance Tables Sup #1'!H171/'Total Distance Tables Sup #1'!$B171)</f>
        <v>22.36011268175676</v>
      </c>
      <c r="I83" s="1">
        <f ca="1">$B83*('Updated Population'!I$81/'Updated Population'!$B$81)*('Total Distance Tables Sup #1'!I171/'Total Distance Tables Sup #1'!$B171)</f>
        <v>22.175943457979098</v>
      </c>
      <c r="J83" s="1">
        <f ca="1">$B83*('Updated Population'!J$81/'Updated Population'!$B$81)*('Total Distance Tables Sup #1'!J171/'Total Distance Tables Sup #1'!$B171)</f>
        <v>21.923282710039853</v>
      </c>
      <c r="K83" s="1">
        <f ca="1">$B83*('Updated Population'!K$81/'Updated Population'!$B$81)*('Total Distance Tables Sup #1'!K171/'Total Distance Tables Sup #1'!$B171)</f>
        <v>21.626922889852612</v>
      </c>
    </row>
    <row r="84" spans="1:11" x14ac:dyDescent="0.25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$B84*('Updated Population'!C$81/'Updated Population'!$B$81)*('Total Distance Tables Sup #1'!C172/'Total Distance Tables Sup #1'!$B172)</f>
        <v>1884.7604029362128</v>
      </c>
      <c r="D84" s="4">
        <f ca="1">$B84*('Updated Population'!D$81/'Updated Population'!$B$81)*('Total Distance Tables Sup #1'!D172/'Total Distance Tables Sup #1'!$B172)</f>
        <v>1918.5057238238746</v>
      </c>
      <c r="E84" s="4">
        <f ca="1">$B84*('Updated Population'!E$81/'Updated Population'!$B$81)*('Total Distance Tables Sup #1'!E172/'Total Distance Tables Sup #1'!$B172)</f>
        <v>1951.5468175422398</v>
      </c>
      <c r="F84" s="4">
        <f ca="1">$B84*('Updated Population'!F$81/'Updated Population'!$B$81)*('Total Distance Tables Sup #1'!F172/'Total Distance Tables Sup #1'!$B172)</f>
        <v>1972.3371158546647</v>
      </c>
      <c r="G84" s="4">
        <f ca="1">$B84*('Updated Population'!G$81/'Updated Population'!$B$81)*('Total Distance Tables Sup #1'!G172/'Total Distance Tables Sup #1'!$B172)</f>
        <v>1970.6232455401225</v>
      </c>
      <c r="H84" s="4">
        <f ca="1">$B84*('Updated Population'!H$81/'Updated Population'!$B$81)*('Total Distance Tables Sup #1'!H172/'Total Distance Tables Sup #1'!$B172)</f>
        <v>1959.071941730778</v>
      </c>
      <c r="I84" s="1">
        <f ca="1">$B84*('Updated Population'!I$81/'Updated Population'!$B$81)*('Total Distance Tables Sup #1'!I172/'Total Distance Tables Sup #1'!$B172)</f>
        <v>1942.9360320433677</v>
      </c>
      <c r="J84" s="1">
        <f ca="1">$B84*('Updated Population'!J$81/'Updated Population'!$B$81)*('Total Distance Tables Sup #1'!J172/'Total Distance Tables Sup #1'!$B172)</f>
        <v>1920.799266048072</v>
      </c>
      <c r="K84" s="1">
        <f ca="1">$B84*('Updated Population'!K$81/'Updated Population'!$B$81)*('Total Distance Tables Sup #1'!K172/'Total Distance Tables Sup #1'!$B172)</f>
        <v>1894.8338240734038</v>
      </c>
    </row>
    <row r="85" spans="1:11" x14ac:dyDescent="0.25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$B85*('Updated Population'!C$81/'Updated Population'!$B$81)*('Total Distance Tables Sup #1'!C173/'Total Distance Tables Sup #1'!$B173)</f>
        <v>899.10230910036512</v>
      </c>
      <c r="D85" s="4">
        <f ca="1">$B85*('Updated Population'!D$81/'Updated Population'!$B$81)*('Total Distance Tables Sup #1'!D173/'Total Distance Tables Sup #1'!$B173)</f>
        <v>894.35424781098857</v>
      </c>
      <c r="E85" s="4">
        <f ca="1">$B85*('Updated Population'!E$81/'Updated Population'!$B$81)*('Total Distance Tables Sup #1'!E173/'Total Distance Tables Sup #1'!$B173)</f>
        <v>890.15050303990029</v>
      </c>
      <c r="F85" s="4">
        <f ca="1">$B85*('Updated Population'!F$81/'Updated Population'!$B$81)*('Total Distance Tables Sup #1'!F173/'Total Distance Tables Sup #1'!$B173)</f>
        <v>878.95251099216716</v>
      </c>
      <c r="G85" s="4">
        <f ca="1">$B85*('Updated Population'!G$81/'Updated Population'!$B$81)*('Total Distance Tables Sup #1'!G173/'Total Distance Tables Sup #1'!$B173)</f>
        <v>861.91308162366533</v>
      </c>
      <c r="H85" s="4">
        <f ca="1">$B85*('Updated Population'!H$81/'Updated Population'!$B$81)*('Total Distance Tables Sup #1'!H173/'Total Distance Tables Sup #1'!$B173)</f>
        <v>840.96418933765506</v>
      </c>
      <c r="I85" s="1">
        <f ca="1">$B85*('Updated Population'!I$81/'Updated Population'!$B$81)*('Total Distance Tables Sup #1'!I173/'Total Distance Tables Sup #1'!$B173)</f>
        <v>834.03758193726003</v>
      </c>
      <c r="J85" s="1">
        <f ca="1">$B85*('Updated Population'!J$81/'Updated Population'!$B$81)*('Total Distance Tables Sup #1'!J173/'Total Distance Tables Sup #1'!$B173)</f>
        <v>824.53500723684124</v>
      </c>
      <c r="K85" s="1">
        <f ca="1">$B85*('Updated Population'!K$81/'Updated Population'!$B$81)*('Total Distance Tables Sup #1'!K173/'Total Distance Tables Sup #1'!$B173)</f>
        <v>813.38890974246874</v>
      </c>
    </row>
    <row r="86" spans="1:11" x14ac:dyDescent="0.25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$B86*('Updated Population'!C$81/'Updated Population'!$B$81)*('Total Distance Tables Sup #1'!C174/'Total Distance Tables Sup #1'!$B174)</f>
        <v>6.2345417509502497</v>
      </c>
      <c r="D86" s="4">
        <f ca="1">$B86*('Updated Population'!D$81/'Updated Population'!$B$81)*('Total Distance Tables Sup #1'!D174/'Total Distance Tables Sup #1'!$B174)</f>
        <v>6.69825362102541</v>
      </c>
      <c r="E86" s="4">
        <f ca="1">$B86*('Updated Population'!E$81/'Updated Population'!$B$81)*('Total Distance Tables Sup #1'!E174/'Total Distance Tables Sup #1'!$B174)</f>
        <v>7.1142446041307856</v>
      </c>
      <c r="F86" s="4">
        <f ca="1">$B86*('Updated Population'!F$81/'Updated Population'!$B$81)*('Total Distance Tables Sup #1'!F174/'Total Distance Tables Sup #1'!$B174)</f>
        <v>7.4306917075212278</v>
      </c>
      <c r="G86" s="4">
        <f ca="1">$B86*('Updated Population'!G$81/'Updated Population'!$B$81)*('Total Distance Tables Sup #1'!G174/'Total Distance Tables Sup #1'!$B174)</f>
        <v>7.6127559552218047</v>
      </c>
      <c r="H86" s="4">
        <f ca="1">$B86*('Updated Population'!H$81/'Updated Population'!$B$81)*('Total Distance Tables Sup #1'!H174/'Total Distance Tables Sup #1'!$B174)</f>
        <v>7.7558474733640255</v>
      </c>
      <c r="I86" s="1">
        <f ca="1">$B86*('Updated Population'!I$81/'Updated Population'!$B$81)*('Total Distance Tables Sup #1'!I174/'Total Distance Tables Sup #1'!$B174)</f>
        <v>7.6919663816523203</v>
      </c>
      <c r="J86" s="1">
        <f ca="1">$B86*('Updated Population'!J$81/'Updated Population'!$B$81)*('Total Distance Tables Sup #1'!J174/'Total Distance Tables Sup #1'!$B174)</f>
        <v>7.6043282623184378</v>
      </c>
      <c r="K86" s="1">
        <f ca="1">$B86*('Updated Population'!K$81/'Updated Population'!$B$81)*('Total Distance Tables Sup #1'!K174/'Total Distance Tables Sup #1'!$B174)</f>
        <v>7.5015326460655221</v>
      </c>
    </row>
    <row r="87" spans="1:11" x14ac:dyDescent="0.25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$B87*('Updated Population'!C$81/'Updated Population'!$B$81)*('Total Distance Tables Sup #1'!C175/'Total Distance Tables Sup #1'!$B175)</f>
        <v>4.0568808791464006</v>
      </c>
      <c r="D87" s="4">
        <f ca="1">$B87*('Updated Population'!D$81/'Updated Population'!$B$81)*('Total Distance Tables Sup #1'!D175/'Total Distance Tables Sup #1'!$B175)</f>
        <v>4.0906837761393309</v>
      </c>
      <c r="E87" s="4">
        <f ca="1">$B87*('Updated Population'!E$81/'Updated Population'!$B$81)*('Total Distance Tables Sup #1'!E175/'Total Distance Tables Sup #1'!$B175)</f>
        <v>4.0626718831892177</v>
      </c>
      <c r="F87" s="4">
        <f ca="1">$B87*('Updated Population'!F$81/'Updated Population'!$B$81)*('Total Distance Tables Sup #1'!F175/'Total Distance Tables Sup #1'!$B175)</f>
        <v>3.9896863825198565</v>
      </c>
      <c r="G87" s="4">
        <f ca="1">$B87*('Updated Population'!G$81/'Updated Population'!$B$81)*('Total Distance Tables Sup #1'!G175/'Total Distance Tables Sup #1'!$B175)</f>
        <v>3.846758895828061</v>
      </c>
      <c r="H87" s="4">
        <f ca="1">$B87*('Updated Population'!H$81/'Updated Population'!$B$81)*('Total Distance Tables Sup #1'!H175/'Total Distance Tables Sup #1'!$B175)</f>
        <v>3.6881383012977484</v>
      </c>
      <c r="I87" s="1">
        <f ca="1">$B87*('Updated Population'!I$81/'Updated Population'!$B$81)*('Total Distance Tables Sup #1'!I175/'Total Distance Tables Sup #1'!$B175)</f>
        <v>3.6577609245017526</v>
      </c>
      <c r="J87" s="1">
        <f ca="1">$B87*('Updated Population'!J$81/'Updated Population'!$B$81)*('Total Distance Tables Sup #1'!J175/'Total Distance Tables Sup #1'!$B175)</f>
        <v>3.6160863678941033</v>
      </c>
      <c r="K87" s="1">
        <f ca="1">$B87*('Updated Population'!K$81/'Updated Population'!$B$81)*('Total Distance Tables Sup #1'!K175/'Total Distance Tables Sup #1'!$B175)</f>
        <v>3.5672039664789241</v>
      </c>
    </row>
    <row r="88" spans="1:11" x14ac:dyDescent="0.25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Distance Tables Sup #1'!C176/'Total Distance Tables Sup #1'!$B176)</f>
        <v>0</v>
      </c>
      <c r="D88" s="4">
        <f ca="1">$B88*('Updated Population'!D$81/'Updated Population'!$B$81)*('Total Distance Tables Sup #1'!D176/'Total Distance Tables Sup #1'!$B176)</f>
        <v>0</v>
      </c>
      <c r="E88" s="4">
        <f ca="1">$B88*('Updated Population'!E$81/'Updated Population'!$B$81)*('Total Distance Tables Sup #1'!E176/'Total Distance Tables Sup #1'!$B176)</f>
        <v>0</v>
      </c>
      <c r="F88" s="4">
        <f ca="1">$B88*('Updated Population'!F$81/'Updated Population'!$B$81)*('Total Distance Tables Sup #1'!F176/'Total Distance Tables Sup #1'!$B176)</f>
        <v>0</v>
      </c>
      <c r="G88" s="4">
        <f ca="1">$B88*('Updated Population'!G$81/'Updated Population'!$B$81)*('Total Distance Tables Sup #1'!G176/'Total Distance Tables Sup #1'!$B176)</f>
        <v>0</v>
      </c>
      <c r="H88" s="4">
        <f ca="1">$B88*('Updated Population'!H$81/'Updated Population'!$B$81)*('Total Distance Tables Sup #1'!H176/'Total Distance Tables Sup #1'!$B176)</f>
        <v>0</v>
      </c>
      <c r="I88" s="1">
        <f ca="1">$B88*('Updated Population'!I$81/'Updated Population'!$B$81)*('Total Distance Tables Sup #1'!I176/'Total Distance Tables Sup #1'!$B176)</f>
        <v>0</v>
      </c>
      <c r="J88" s="1">
        <f ca="1">$B88*('Updated Population'!J$81/'Updated Population'!$B$81)*('Total Distance Tables Sup #1'!J176/'Total Distance Tables Sup #1'!$B176)</f>
        <v>0</v>
      </c>
      <c r="K88" s="1">
        <f ca="1">$B88*('Updated Population'!K$81/'Updated Population'!$B$81)*('Total Distance Tables Sup #1'!K176/'Total Distance Tables Sup #1'!$B176)</f>
        <v>0</v>
      </c>
    </row>
    <row r="89" spans="1:11" x14ac:dyDescent="0.25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$B89*('Updated Population'!C$81/'Updated Population'!$B$81)*('Total Distance Tables Sup #1'!C177/'Total Distance Tables Sup #1'!$B177)</f>
        <v>37.398674042506656</v>
      </c>
      <c r="D89" s="4">
        <f ca="1">$B89*('Updated Population'!D$81/'Updated Population'!$B$81)*('Total Distance Tables Sup #1'!D177/'Total Distance Tables Sup #1'!$B177)</f>
        <v>35.492062300878999</v>
      </c>
      <c r="E89" s="4">
        <f ca="1">$B89*('Updated Population'!E$81/'Updated Population'!$B$81)*('Total Distance Tables Sup #1'!E177/'Total Distance Tables Sup #1'!$B177)</f>
        <v>34.121086091231298</v>
      </c>
      <c r="F89" s="4">
        <f ca="1">$B89*('Updated Population'!F$81/'Updated Population'!$B$81)*('Total Distance Tables Sup #1'!F177/'Total Distance Tables Sup #1'!$B177)</f>
        <v>32.241412786630399</v>
      </c>
      <c r="G89" s="4">
        <f ca="1">$B89*('Updated Population'!G$81/'Updated Population'!$B$81)*('Total Distance Tables Sup #1'!G177/'Total Distance Tables Sup #1'!$B177)</f>
        <v>30.805985621041216</v>
      </c>
      <c r="H89" s="4">
        <f ca="1">$B89*('Updated Population'!H$81/'Updated Population'!$B$81)*('Total Distance Tables Sup #1'!H177/'Total Distance Tables Sup #1'!$B177)</f>
        <v>29.320219863733108</v>
      </c>
      <c r="I89" s="1">
        <f ca="1">$B89*('Updated Population'!I$81/'Updated Population'!$B$81)*('Total Distance Tables Sup #1'!I177/'Total Distance Tables Sup #1'!$B177)</f>
        <v>29.078723668693819</v>
      </c>
      <c r="J89" s="1">
        <f ca="1">$B89*('Updated Population'!J$81/'Updated Population'!$B$81)*('Total Distance Tables Sup #1'!J177/'Total Distance Tables Sup #1'!$B177)</f>
        <v>28.747416363317036</v>
      </c>
      <c r="K89" s="1">
        <f ca="1">$B89*('Updated Population'!K$81/'Updated Population'!$B$81)*('Total Distance Tables Sup #1'!K177/'Total Distance Tables Sup #1'!$B177)</f>
        <v>28.358807629079497</v>
      </c>
    </row>
    <row r="90" spans="1:11" x14ac:dyDescent="0.25">
      <c r="A90" t="str">
        <f ca="1">OFFSET(Manawatu_Reference,49,2)</f>
        <v>Local Ferry</v>
      </c>
      <c r="B90" s="4">
        <f ca="1">OFFSET(Manawatu_Reference,49,6)</f>
        <v>0</v>
      </c>
      <c r="C90" s="4">
        <f ca="1">$B90*('Updated Population'!C$81/'Updated Population'!$B$81)*('Total Distance Tables Sup #1'!C178/'Total Distance Tables Sup #1'!$B178)</f>
        <v>0</v>
      </c>
      <c r="D90" s="4">
        <f ca="1">$B90*('Updated Population'!D$81/'Updated Population'!$B$81)*('Total Distance Tables Sup #1'!D178/'Total Distance Tables Sup #1'!$B178)</f>
        <v>0</v>
      </c>
      <c r="E90" s="4">
        <f ca="1">$B90*('Updated Population'!E$81/'Updated Population'!$B$81)*('Total Distance Tables Sup #1'!E178/'Total Distance Tables Sup #1'!$B178)</f>
        <v>0</v>
      </c>
      <c r="F90" s="4">
        <f ca="1">$B90*('Updated Population'!F$81/'Updated Population'!$B$81)*('Total Distance Tables Sup #1'!F178/'Total Distance Tables Sup #1'!$B178)</f>
        <v>0</v>
      </c>
      <c r="G90" s="4">
        <f ca="1">$B90*('Updated Population'!G$81/'Updated Population'!$B$81)*('Total Distance Tables Sup #1'!G178/'Total Distance Tables Sup #1'!$B178)</f>
        <v>0</v>
      </c>
      <c r="H90" s="4">
        <f ca="1">$B90*('Updated Population'!H$81/'Updated Population'!$B$81)*('Total Distance Tables Sup #1'!H178/'Total Distance Tables Sup #1'!$B178)</f>
        <v>0</v>
      </c>
      <c r="I90" s="1">
        <f ca="1">$B90*('Updated Population'!I$81/'Updated Population'!$B$81)*('Total Distance Tables Sup #1'!I178/'Total Distance Tables Sup #1'!$B178)</f>
        <v>0</v>
      </c>
      <c r="J90" s="1">
        <f ca="1">$B90*('Updated Population'!J$81/'Updated Population'!$B$81)*('Total Distance Tables Sup #1'!J178/'Total Distance Tables Sup #1'!$B178)</f>
        <v>0</v>
      </c>
      <c r="K90" s="1">
        <f ca="1">$B90*('Updated Population'!K$81/'Updated Population'!$B$81)*('Total Distance Tables Sup #1'!K178/'Total Distance Tables Sup #1'!$B178)</f>
        <v>0</v>
      </c>
    </row>
    <row r="91" spans="1:11" x14ac:dyDescent="0.25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$B91*('Updated Population'!C$81/'Updated Population'!$B$81)*('Total Distance Tables Sup #1'!C179/'Total Distance Tables Sup #1'!$B179)</f>
        <v>0</v>
      </c>
      <c r="D91" s="4">
        <f ca="1">$B91*('Updated Population'!D$81/'Updated Population'!$B$81)*('Total Distance Tables Sup #1'!D179/'Total Distance Tables Sup #1'!$B179)</f>
        <v>0</v>
      </c>
      <c r="E91" s="4">
        <f ca="1">$B91*('Updated Population'!E$81/'Updated Population'!$B$81)*('Total Distance Tables Sup #1'!E179/'Total Distance Tables Sup #1'!$B179)</f>
        <v>0</v>
      </c>
      <c r="F91" s="4">
        <f ca="1">$B91*('Updated Population'!F$81/'Updated Population'!$B$81)*('Total Distance Tables Sup #1'!F179/'Total Distance Tables Sup #1'!$B179)</f>
        <v>0</v>
      </c>
      <c r="G91" s="4">
        <f ca="1">$B91*('Updated Population'!G$81/'Updated Population'!$B$81)*('Total Distance Tables Sup #1'!G179/'Total Distance Tables Sup #1'!$B179)</f>
        <v>0</v>
      </c>
      <c r="H91" s="4">
        <f ca="1">$B91*('Updated Population'!H$81/'Updated Population'!$B$81)*('Total Distance Tables Sup #1'!H179/'Total Distance Tables Sup #1'!$B179)</f>
        <v>0</v>
      </c>
      <c r="I91" s="1">
        <f ca="1">$B91*('Updated Population'!I$81/'Updated Population'!$B$81)*('Total Distance Tables Sup #1'!I179/'Total Distance Tables Sup #1'!$B179)</f>
        <v>0</v>
      </c>
      <c r="J91" s="1">
        <f ca="1">$B91*('Updated Population'!J$81/'Updated Population'!$B$81)*('Total Distance Tables Sup #1'!J179/'Total Distance Tables Sup #1'!$B179)</f>
        <v>0</v>
      </c>
      <c r="K91" s="1">
        <f ca="1">$B91*('Updated Population'!K$81/'Updated Population'!$B$81)*('Total Distance Tables Sup #1'!K179/'Total Distance Tables Sup #1'!$B179)</f>
        <v>0</v>
      </c>
    </row>
    <row r="92" spans="1:11" x14ac:dyDescent="0.25">
      <c r="A92" t="str">
        <f ca="1">OFFSET(Wellington_Reference,0,0)</f>
        <v>09 WELLINGTON</v>
      </c>
      <c r="I92" s="1"/>
      <c r="J92" s="1"/>
      <c r="K92" s="1"/>
    </row>
    <row r="93" spans="1:11" x14ac:dyDescent="0.25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$B93*('Updated Population'!C$92/'Updated Population'!$B$92)*('Total Distance Tables Sup #1'!C170/'Total Distance Tables Sup #1'!$B170)</f>
        <v>131.54718337665577</v>
      </c>
      <c r="D93" s="4">
        <f ca="1">$B93*('Updated Population'!D$92/'Updated Population'!$B$92)*('Total Distance Tables Sup #1'!D170/'Total Distance Tables Sup #1'!$B170)</f>
        <v>133.46742730599584</v>
      </c>
      <c r="E93" s="4">
        <f ca="1">$B93*('Updated Population'!E$92/'Updated Population'!$B$92)*('Total Distance Tables Sup #1'!E170/'Total Distance Tables Sup #1'!$B170)</f>
        <v>133.49485043155778</v>
      </c>
      <c r="F93" s="4">
        <f ca="1">$B93*('Updated Population'!F$92/'Updated Population'!$B$92)*('Total Distance Tables Sup #1'!F170/'Total Distance Tables Sup #1'!$B170)</f>
        <v>132.29317409922507</v>
      </c>
      <c r="G93" s="4">
        <f ca="1">$B93*('Updated Population'!G$92/'Updated Population'!$B$92)*('Total Distance Tables Sup #1'!G170/'Total Distance Tables Sup #1'!$B170)</f>
        <v>130.81236182113977</v>
      </c>
      <c r="H93" s="4">
        <f ca="1">$B93*('Updated Population'!H$92/'Updated Population'!$B$92)*('Total Distance Tables Sup #1'!H170/'Total Distance Tables Sup #1'!$B170)</f>
        <v>128.84280149373396</v>
      </c>
      <c r="I93" s="1">
        <f ca="1">$B93*('Updated Population'!I$92/'Updated Population'!$B$92)*('Total Distance Tables Sup #1'!I170/'Total Distance Tables Sup #1'!$B170)</f>
        <v>129.69488131969072</v>
      </c>
      <c r="J93" s="1">
        <f ca="1">$B93*('Updated Population'!J$92/'Updated Population'!$B$92)*('Total Distance Tables Sup #1'!J170/'Total Distance Tables Sup #1'!$B170)</f>
        <v>130.13702482122613</v>
      </c>
      <c r="K93" s="1">
        <f ca="1">$B93*('Updated Population'!K$92/'Updated Population'!$B$92)*('Total Distance Tables Sup #1'!K170/'Total Distance Tables Sup #1'!$B170)</f>
        <v>130.30004933115936</v>
      </c>
    </row>
    <row r="94" spans="1:11" x14ac:dyDescent="0.25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$B94*('Updated Population'!C$92/'Updated Population'!$B$92)*('Total Distance Tables Sup #1'!C171/'Total Distance Tables Sup #1'!$B171)</f>
        <v>55.814710408444547</v>
      </c>
      <c r="D94" s="4">
        <f ca="1">$B94*('Updated Population'!D$92/'Updated Population'!$B$92)*('Total Distance Tables Sup #1'!D171/'Total Distance Tables Sup #1'!$B171)</f>
        <v>57.078612480721517</v>
      </c>
      <c r="E94" s="4">
        <f ca="1">$B94*('Updated Population'!E$92/'Updated Population'!$B$92)*('Total Distance Tables Sup #1'!E171/'Total Distance Tables Sup #1'!$B171)</f>
        <v>57.241139335728263</v>
      </c>
      <c r="F94" s="4">
        <f ca="1">$B94*('Updated Population'!F$92/'Updated Population'!$B$92)*('Total Distance Tables Sup #1'!F171/'Total Distance Tables Sup #1'!$B171)</f>
        <v>58.134369914719265</v>
      </c>
      <c r="G94" s="4">
        <f ca="1">$B94*('Updated Population'!G$92/'Updated Population'!$B$92)*('Total Distance Tables Sup #1'!G171/'Total Distance Tables Sup #1'!$B171)</f>
        <v>59.877942361552947</v>
      </c>
      <c r="H94" s="4">
        <f ca="1">$B94*('Updated Population'!H$92/'Updated Population'!$B$92)*('Total Distance Tables Sup #1'!H171/'Total Distance Tables Sup #1'!$B171)</f>
        <v>61.609699228513428</v>
      </c>
      <c r="I94" s="1">
        <f ca="1">$B94*('Updated Population'!I$92/'Updated Population'!$B$92)*('Total Distance Tables Sup #1'!I171/'Total Distance Tables Sup #1'!$B171)</f>
        <v>62.017144434510698</v>
      </c>
      <c r="J94" s="1">
        <f ca="1">$B94*('Updated Population'!J$92/'Updated Population'!$B$92)*('Total Distance Tables Sup #1'!J171/'Total Distance Tables Sup #1'!$B171)</f>
        <v>62.228567407541625</v>
      </c>
      <c r="K94" s="1">
        <f ca="1">$B94*('Updated Population'!K$92/'Updated Population'!$B$92)*('Total Distance Tables Sup #1'!K171/'Total Distance Tables Sup #1'!$B171)</f>
        <v>62.30652202283575</v>
      </c>
    </row>
    <row r="95" spans="1:11" x14ac:dyDescent="0.25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$B95*('Updated Population'!C$92/'Updated Population'!$B$92)*('Total Distance Tables Sup #1'!C172/'Total Distance Tables Sup #1'!$B172)</f>
        <v>3746.0856541559911</v>
      </c>
      <c r="D95" s="4">
        <f ca="1">$B95*('Updated Population'!D$92/'Updated Population'!$B$92)*('Total Distance Tables Sup #1'!D172/'Total Distance Tables Sup #1'!$B172)</f>
        <v>3875.1368058159337</v>
      </c>
      <c r="E95" s="4">
        <f ca="1">$B95*('Updated Population'!E$92/'Updated Population'!$B$92)*('Total Distance Tables Sup #1'!E172/'Total Distance Tables Sup #1'!$B172)</f>
        <v>3995.9150560360813</v>
      </c>
      <c r="F95" s="4">
        <f ca="1">$B95*('Updated Population'!F$92/'Updated Population'!$B$92)*('Total Distance Tables Sup #1'!F172/'Total Distance Tables Sup #1'!$B172)</f>
        <v>4098.1136270714751</v>
      </c>
      <c r="G95" s="4">
        <f ca="1">$B95*('Updated Population'!G$92/'Updated Population'!$B$92)*('Total Distance Tables Sup #1'!G172/'Total Distance Tables Sup #1'!$B172)</f>
        <v>4156.4580990649501</v>
      </c>
      <c r="H95" s="4">
        <f ca="1">$B95*('Updated Population'!H$92/'Updated Population'!$B$92)*('Total Distance Tables Sup #1'!H172/'Total Distance Tables Sup #1'!$B172)</f>
        <v>4193.9644887906124</v>
      </c>
      <c r="I95" s="1">
        <f ca="1">$B95*('Updated Population'!I$92/'Updated Population'!$B$92)*('Total Distance Tables Sup #1'!I172/'Total Distance Tables Sup #1'!$B172)</f>
        <v>4221.7005554567149</v>
      </c>
      <c r="J95" s="1">
        <f ca="1">$B95*('Updated Population'!J$92/'Updated Population'!$B$92)*('Total Distance Tables Sup #1'!J172/'Total Distance Tables Sup #1'!$B172)</f>
        <v>4236.0927770080225</v>
      </c>
      <c r="K95" s="1">
        <f ca="1">$B95*('Updated Population'!K$92/'Updated Population'!$B$92)*('Total Distance Tables Sup #1'!K172/'Total Distance Tables Sup #1'!$B172)</f>
        <v>4241.3993909401606</v>
      </c>
    </row>
    <row r="96" spans="1:11" x14ac:dyDescent="0.25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$B96*('Updated Population'!C$92/'Updated Population'!$B$92)*('Total Distance Tables Sup #1'!C173/'Total Distance Tables Sup #1'!$B173)</f>
        <v>2072.2278038489235</v>
      </c>
      <c r="D96" s="4">
        <f ca="1">$B96*('Updated Population'!D$92/'Updated Population'!$B$92)*('Total Distance Tables Sup #1'!D173/'Total Distance Tables Sup #1'!$B173)</f>
        <v>2094.7892825520858</v>
      </c>
      <c r="E96" s="4">
        <f ca="1">$B96*('Updated Population'!E$92/'Updated Population'!$B$92)*('Total Distance Tables Sup #1'!E173/'Total Distance Tables Sup #1'!$B173)</f>
        <v>2113.5257527407853</v>
      </c>
      <c r="F96" s="4">
        <f ca="1">$B96*('Updated Population'!F$92/'Updated Population'!$B$92)*('Total Distance Tables Sup #1'!F173/'Total Distance Tables Sup #1'!$B173)</f>
        <v>2117.7519424536904</v>
      </c>
      <c r="G96" s="4">
        <f ca="1">$B96*('Updated Population'!G$92/'Updated Population'!$B$92)*('Total Distance Tables Sup #1'!G173/'Total Distance Tables Sup #1'!$B173)</f>
        <v>2108.0946535678763</v>
      </c>
      <c r="H96" s="4">
        <f ca="1">$B96*('Updated Population'!H$92/'Updated Population'!$B$92)*('Total Distance Tables Sup #1'!H173/'Total Distance Tables Sup #1'!$B173)</f>
        <v>2087.654837753932</v>
      </c>
      <c r="I96" s="1">
        <f ca="1">$B96*('Updated Population'!I$92/'Updated Population'!$B$92)*('Total Distance Tables Sup #1'!I173/'Total Distance Tables Sup #1'!$B173)</f>
        <v>2101.4611858788417</v>
      </c>
      <c r="J96" s="1">
        <f ca="1">$B96*('Updated Population'!J$92/'Updated Population'!$B$92)*('Total Distance Tables Sup #1'!J173/'Total Distance Tables Sup #1'!$B173)</f>
        <v>2108.6252882521262</v>
      </c>
      <c r="K96" s="1">
        <f ca="1">$B96*('Updated Population'!K$92/'Updated Population'!$B$92)*('Total Distance Tables Sup #1'!K173/'Total Distance Tables Sup #1'!$B173)</f>
        <v>2111.2667932713339</v>
      </c>
    </row>
    <row r="97" spans="1:11" x14ac:dyDescent="0.25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$B97*('Updated Population'!C$92/'Updated Population'!$B$92)*('Total Distance Tables Sup #1'!C174/'Total Distance Tables Sup #1'!$B174)</f>
        <v>21.798735736326208</v>
      </c>
      <c r="D97" s="4">
        <f ca="1">$B97*('Updated Population'!D$92/'Updated Population'!$B$92)*('Total Distance Tables Sup #1'!D174/'Total Distance Tables Sup #1'!$B174)</f>
        <v>23.800755457930237</v>
      </c>
      <c r="E97" s="4">
        <f ca="1">$B97*('Updated Population'!E$92/'Updated Population'!$B$92)*('Total Distance Tables Sup #1'!E174/'Total Distance Tables Sup #1'!$B174)</f>
        <v>25.625437036192107</v>
      </c>
      <c r="F97" s="4">
        <f ca="1">$B97*('Updated Population'!F$92/'Updated Population'!$B$92)*('Total Distance Tables Sup #1'!F174/'Total Distance Tables Sup #1'!$B174)</f>
        <v>27.160471579955665</v>
      </c>
      <c r="G97" s="4">
        <f ca="1">$B97*('Updated Population'!G$92/'Updated Population'!$B$92)*('Total Distance Tables Sup #1'!G174/'Total Distance Tables Sup #1'!$B174)</f>
        <v>28.246648634166384</v>
      </c>
      <c r="H97" s="4">
        <f ca="1">$B97*('Updated Population'!H$92/'Updated Population'!$B$92)*('Total Distance Tables Sup #1'!H174/'Total Distance Tables Sup #1'!$B174)</f>
        <v>29.208472035845862</v>
      </c>
      <c r="I97" s="1">
        <f ca="1">$B97*('Updated Population'!I$92/'Updated Population'!$B$92)*('Total Distance Tables Sup #1'!I174/'Total Distance Tables Sup #1'!$B174)</f>
        <v>29.401637268829226</v>
      </c>
      <c r="J97" s="1">
        <f ca="1">$B97*('Updated Population'!J$92/'Updated Population'!$B$92)*('Total Distance Tables Sup #1'!J174/'Total Distance Tables Sup #1'!$B174)</f>
        <v>29.50187054496655</v>
      </c>
      <c r="K97" s="1">
        <f ca="1">$B97*('Updated Population'!K$92/'Updated Population'!$B$92)*('Total Distance Tables Sup #1'!K174/'Total Distance Tables Sup #1'!$B174)</f>
        <v>29.538827959617098</v>
      </c>
    </row>
    <row r="98" spans="1:11" x14ac:dyDescent="0.25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$B98*('Updated Population'!C$92/'Updated Population'!$B$92)*('Total Distance Tables Sup #1'!C175/'Total Distance Tables Sup #1'!$B175)</f>
        <v>26.046859869547571</v>
      </c>
      <c r="D98" s="4">
        <f ca="1">$B98*('Updated Population'!D$92/'Updated Population'!$B$92)*('Total Distance Tables Sup #1'!D175/'Total Distance Tables Sup #1'!$B175)</f>
        <v>26.690788986566751</v>
      </c>
      <c r="E98" s="4">
        <f ca="1">$B98*('Updated Population'!E$92/'Updated Population'!$B$92)*('Total Distance Tables Sup #1'!E175/'Total Distance Tables Sup #1'!$B175)</f>
        <v>26.871418024823704</v>
      </c>
      <c r="F98" s="4">
        <f ca="1">$B98*('Updated Population'!F$92/'Updated Population'!$B$92)*('Total Distance Tables Sup #1'!F175/'Total Distance Tables Sup #1'!$B175)</f>
        <v>26.778310332235343</v>
      </c>
      <c r="G98" s="4">
        <f ca="1">$B98*('Updated Population'!G$92/'Updated Population'!$B$92)*('Total Distance Tables Sup #1'!G175/'Total Distance Tables Sup #1'!$B175)</f>
        <v>26.209355141270315</v>
      </c>
      <c r="H98" s="4">
        <f ca="1">$B98*('Updated Population'!H$92/'Updated Population'!$B$92)*('Total Distance Tables Sup #1'!H175/'Total Distance Tables Sup #1'!$B175)</f>
        <v>25.504870693957187</v>
      </c>
      <c r="I98" s="1">
        <f ca="1">$B98*('Updated Population'!I$92/'Updated Population'!$B$92)*('Total Distance Tables Sup #1'!I175/'Total Distance Tables Sup #1'!$B175)</f>
        <v>25.673542793057837</v>
      </c>
      <c r="J98" s="1">
        <f ca="1">$B98*('Updated Population'!J$92/'Updated Population'!$B$92)*('Total Distance Tables Sup #1'!J175/'Total Distance Tables Sup #1'!$B175)</f>
        <v>25.76106660272432</v>
      </c>
      <c r="K98" s="1">
        <f ca="1">$B98*('Updated Population'!K$92/'Updated Population'!$B$92)*('Total Distance Tables Sup #1'!K175/'Total Distance Tables Sup #1'!$B175)</f>
        <v>25.793337858840985</v>
      </c>
    </row>
    <row r="99" spans="1:11" x14ac:dyDescent="0.25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265.00934484999999</v>
      </c>
      <c r="D99" s="4">
        <f ca="1">OFFSET(Wellington_Reference,44,6)</f>
        <v>274.59087191999998</v>
      </c>
      <c r="E99" s="4">
        <f ca="1">OFFSET(Wellington_Reference,45,6)</f>
        <v>280.53891522999999</v>
      </c>
      <c r="F99" s="4">
        <f ca="1">OFFSET(Wellington_Reference,46,6)</f>
        <v>280.46661624000001</v>
      </c>
      <c r="G99" s="4">
        <f ca="1">OFFSET(Wellington_Reference,47,6)</f>
        <v>281.29711746999999</v>
      </c>
      <c r="H99" s="4">
        <f ca="1">OFFSET(Wellington_Reference,48,6)</f>
        <v>280.54519583000001</v>
      </c>
      <c r="I99" s="1">
        <f ca="1">OFFSET(Wellington_Reference,48,6)*('Updated Population'!I92/'Updated Population'!H92)</f>
        <v>282.40053348848346</v>
      </c>
      <c r="J99" s="1">
        <f ca="1">OFFSET(Wellington_Reference,48,6)*('Updated Population'!J92/'Updated Population'!H92)</f>
        <v>283.36326663139209</v>
      </c>
      <c r="K99" s="1">
        <f ca="1">OFFSET(Wellington_Reference,48,6)*('Updated Population'!K92/'Updated Population'!H92)</f>
        <v>283.71823984319798</v>
      </c>
    </row>
    <row r="100" spans="1:11" x14ac:dyDescent="0.25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194.02219538</v>
      </c>
      <c r="D100" s="4">
        <f ca="1">OFFSET(Wellington_Reference,51,6)</f>
        <v>195.43861494999999</v>
      </c>
      <c r="E100" s="4">
        <f ca="1">OFFSET(Wellington_Reference,52,6)</f>
        <v>195.36506292999999</v>
      </c>
      <c r="F100" s="4">
        <f ca="1">OFFSET(Wellington_Reference,53,6)</f>
        <v>193.63218957999999</v>
      </c>
      <c r="G100" s="4">
        <f ca="1">OFFSET(Wellington_Reference,54,6)</f>
        <v>191.16260774</v>
      </c>
      <c r="H100" s="4">
        <f ca="1">OFFSET(Wellington_Reference,55,6)</f>
        <v>187.86246208</v>
      </c>
      <c r="I100" s="1">
        <f ca="1">OFFSET(Wellington_Reference,55,6)*('Updated Population'!I92/'Updated Population'!H92)</f>
        <v>189.10485833448317</v>
      </c>
      <c r="J100" s="1">
        <f ca="1">OFFSET(Wellington_Reference,55,6)*('Updated Population'!J92/'Updated Population'!H92)</f>
        <v>189.74953670089664</v>
      </c>
      <c r="K100" s="1">
        <f ca="1">OFFSET(Wellington_Reference,55,6)*('Updated Population'!K92/'Updated Population'!H92)</f>
        <v>189.98723865599524</v>
      </c>
    </row>
    <row r="101" spans="1:11" x14ac:dyDescent="0.25">
      <c r="A101" t="str">
        <f ca="1">OFFSET(Wellington_Reference,56,2)</f>
        <v>Local Ferry</v>
      </c>
      <c r="B101" s="4">
        <f ca="1">OFFSET(Wellington_Reference,56,6)</f>
        <v>0</v>
      </c>
      <c r="C101" s="4">
        <f ca="1">$B101*('Updated Population'!C$92/'Updated Population'!$B$92)*('Total Distance Tables Sup #1'!C178/'Total Distance Tables Sup #1'!$B178)</f>
        <v>0</v>
      </c>
      <c r="D101" s="4">
        <f ca="1">$B101*('Updated Population'!D$92/'Updated Population'!$B$92)*('Total Distance Tables Sup #1'!D178/'Total Distance Tables Sup #1'!$B178)</f>
        <v>0</v>
      </c>
      <c r="E101" s="4">
        <f ca="1">$B101*('Updated Population'!E$92/'Updated Population'!$B$92)*('Total Distance Tables Sup #1'!E178/'Total Distance Tables Sup #1'!$B178)</f>
        <v>0</v>
      </c>
      <c r="F101" s="4">
        <f ca="1">$B101*('Updated Population'!F$92/'Updated Population'!$B$92)*('Total Distance Tables Sup #1'!F178/'Total Distance Tables Sup #1'!$B178)</f>
        <v>0</v>
      </c>
      <c r="G101" s="4">
        <f ca="1">$B101*('Updated Population'!G$92/'Updated Population'!$B$92)*('Total Distance Tables Sup #1'!G178/'Total Distance Tables Sup #1'!$B178)</f>
        <v>0</v>
      </c>
      <c r="H101" s="4">
        <f ca="1">$B101*('Updated Population'!H$92/'Updated Population'!$B$92)*('Total Distance Tables Sup #1'!H178/'Total Distance Tables Sup #1'!$B178)</f>
        <v>0</v>
      </c>
      <c r="I101" s="1">
        <f ca="1">$B101*('Updated Population'!I$92/'Updated Population'!$B$92)*('Total Distance Tables Sup #1'!I178/'Total Distance Tables Sup #1'!$B178)</f>
        <v>0</v>
      </c>
      <c r="J101" s="1">
        <f ca="1">$B101*('Updated Population'!J$92/'Updated Population'!$B$92)*('Total Distance Tables Sup #1'!J178/'Total Distance Tables Sup #1'!$B178)</f>
        <v>0</v>
      </c>
      <c r="K101" s="1">
        <f ca="1">$B101*('Updated Population'!K$92/'Updated Population'!$B$92)*('Total Distance Tables Sup #1'!K178/'Total Distance Tables Sup #1'!$B178)</f>
        <v>0</v>
      </c>
    </row>
    <row r="102" spans="1:11" x14ac:dyDescent="0.25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$B102*('Updated Population'!C$92/'Updated Population'!$B$92)*('Total Distance Tables Sup #1'!C179/'Total Distance Tables Sup #1'!$B179)</f>
        <v>0</v>
      </c>
      <c r="D102" s="4">
        <f ca="1">$B102*('Updated Population'!D$92/'Updated Population'!$B$92)*('Total Distance Tables Sup #1'!D179/'Total Distance Tables Sup #1'!$B179)</f>
        <v>0</v>
      </c>
      <c r="E102" s="4">
        <f ca="1">$B102*('Updated Population'!E$92/'Updated Population'!$B$92)*('Total Distance Tables Sup #1'!E179/'Total Distance Tables Sup #1'!$B179)</f>
        <v>0</v>
      </c>
      <c r="F102" s="4">
        <f ca="1">$B102*('Updated Population'!F$92/'Updated Population'!$B$92)*('Total Distance Tables Sup #1'!F179/'Total Distance Tables Sup #1'!$B179)</f>
        <v>0</v>
      </c>
      <c r="G102" s="4">
        <f ca="1">$B102*('Updated Population'!G$92/'Updated Population'!$B$92)*('Total Distance Tables Sup #1'!G179/'Total Distance Tables Sup #1'!$B179)</f>
        <v>0</v>
      </c>
      <c r="H102" s="4">
        <f ca="1">$B102*('Updated Population'!H$92/'Updated Population'!$B$92)*('Total Distance Tables Sup #1'!H179/'Total Distance Tables Sup #1'!$B179)</f>
        <v>0</v>
      </c>
      <c r="I102" s="1">
        <f ca="1">$B102*('Updated Population'!I$92/'Updated Population'!$B$92)*('Total Distance Tables Sup #1'!I179/'Total Distance Tables Sup #1'!$B179)</f>
        <v>0</v>
      </c>
      <c r="J102" s="1">
        <f ca="1">$B102*('Updated Population'!J$92/'Updated Population'!$B$92)*('Total Distance Tables Sup #1'!J179/'Total Distance Tables Sup #1'!$B179)</f>
        <v>0</v>
      </c>
      <c r="K102" s="1">
        <f ca="1">$B102*('Updated Population'!K$92/'Updated Population'!$B$92)*('Total Distance Tables Sup #1'!K179/'Total Distance Tables Sup #1'!$B179)</f>
        <v>0</v>
      </c>
    </row>
    <row r="103" spans="1:11" x14ac:dyDescent="0.25">
      <c r="A103" t="str">
        <f ca="1">OFFSET(Nelson_Reference,0,0)</f>
        <v>10 NELS-MARLB-TAS</v>
      </c>
      <c r="I103" s="1"/>
      <c r="J103" s="1"/>
      <c r="K103" s="1"/>
    </row>
    <row r="104" spans="1:11" x14ac:dyDescent="0.25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$B104*('Updated Population'!C$103/'Updated Population'!$B$103)*('Total Distance Tables Sup #1'!C170/'Total Distance Tables Sup #1'!$B170)</f>
        <v>29.526604455898951</v>
      </c>
      <c r="D104" s="4">
        <f ca="1">$B104*('Updated Population'!D$103/'Updated Population'!$B$103)*('Total Distance Tables Sup #1'!D170/'Total Distance Tables Sup #1'!$B170)</f>
        <v>29.859123579206123</v>
      </c>
      <c r="E104" s="4">
        <f ca="1">$B104*('Updated Population'!E$103/'Updated Population'!$B$103)*('Total Distance Tables Sup #1'!E170/'Total Distance Tables Sup #1'!$B170)</f>
        <v>29.760665131340701</v>
      </c>
      <c r="F104" s="4">
        <f ca="1">$B104*('Updated Population'!F$103/'Updated Population'!$B$103)*('Total Distance Tables Sup #1'!F170/'Total Distance Tables Sup #1'!$B170)</f>
        <v>29.34194865067834</v>
      </c>
      <c r="G104" s="4">
        <f ca="1">$B104*('Updated Population'!G$103/'Updated Population'!$B$103)*('Total Distance Tables Sup #1'!G170/'Total Distance Tables Sup #1'!$B170)</f>
        <v>28.826069300480381</v>
      </c>
      <c r="H104" s="4">
        <f ca="1">$B104*('Updated Population'!H$103/'Updated Population'!$B$103)*('Total Distance Tables Sup #1'!H170/'Total Distance Tables Sup #1'!$B170)</f>
        <v>28.161253031455146</v>
      </c>
      <c r="I104" s="1">
        <f ca="1">$B104*('Updated Population'!I$103/'Updated Population'!$B$103)*('Total Distance Tables Sup #1'!I170/'Total Distance Tables Sup #1'!$B170)</f>
        <v>28.118380730609669</v>
      </c>
      <c r="J104" s="1">
        <f ca="1">$B104*('Updated Population'!J$103/'Updated Population'!$B$103)*('Total Distance Tables Sup #1'!J170/'Total Distance Tables Sup #1'!$B170)</f>
        <v>27.987525592785499</v>
      </c>
      <c r="K104" s="1">
        <f ca="1">$B104*('Updated Population'!K$103/'Updated Population'!$B$103)*('Total Distance Tables Sup #1'!K170/'Total Distance Tables Sup #1'!$B170)</f>
        <v>27.798726125263297</v>
      </c>
    </row>
    <row r="105" spans="1:11" x14ac:dyDescent="0.25">
      <c r="A105" t="str">
        <f ca="1">OFFSET(Nelson_Reference,7,2)</f>
        <v>Cyclist</v>
      </c>
      <c r="B105" s="4">
        <f ca="1">OFFSET(Nelson_Reference,7,6)</f>
        <v>10.809874027999999</v>
      </c>
      <c r="C105" s="4">
        <f ca="1">$B105*('Updated Population'!C$103/'Updated Population'!$B$103)*('Total Distance Tables Sup #1'!C171/'Total Distance Tables Sup #1'!$B171)</f>
        <v>11.472530155466028</v>
      </c>
      <c r="D105" s="4">
        <f ca="1">$B105*('Updated Population'!D$103/'Updated Population'!$B$103)*('Total Distance Tables Sup #1'!D171/'Total Distance Tables Sup #1'!$B171)</f>
        <v>11.693748630007793</v>
      </c>
      <c r="E105" s="4">
        <f ca="1">$B105*('Updated Population'!E$103/'Updated Population'!$B$103)*('Total Distance Tables Sup #1'!E171/'Total Distance Tables Sup #1'!$B171)</f>
        <v>11.685975435724568</v>
      </c>
      <c r="F105" s="4">
        <f ca="1">$B105*('Updated Population'!F$103/'Updated Population'!$B$103)*('Total Distance Tables Sup #1'!F171/'Total Distance Tables Sup #1'!$B171)</f>
        <v>11.807638963727191</v>
      </c>
      <c r="G105" s="4">
        <f ca="1">$B105*('Updated Population'!G$103/'Updated Population'!$B$103)*('Total Distance Tables Sup #1'!G171/'Total Distance Tables Sup #1'!$B171)</f>
        <v>12.083203420770687</v>
      </c>
      <c r="H105" s="4">
        <f ca="1">$B105*('Updated Population'!H$103/'Updated Population'!$B$103)*('Total Distance Tables Sup #1'!H171/'Total Distance Tables Sup #1'!$B171)</f>
        <v>12.331601549045972</v>
      </c>
      <c r="I105" s="1">
        <f ca="1">$B105*('Updated Population'!I$103/'Updated Population'!$B$103)*('Total Distance Tables Sup #1'!I171/'Total Distance Tables Sup #1'!$B171)</f>
        <v>12.312828089962785</v>
      </c>
      <c r="J105" s="1">
        <f ca="1">$B105*('Updated Population'!J$103/'Updated Population'!$B$103)*('Total Distance Tables Sup #1'!J171/'Total Distance Tables Sup #1'!$B171)</f>
        <v>12.255527606263046</v>
      </c>
      <c r="K105" s="1">
        <f ca="1">$B105*('Updated Population'!K$103/'Updated Population'!$B$103)*('Total Distance Tables Sup #1'!K171/'Total Distance Tables Sup #1'!$B171)</f>
        <v>12.172853735055847</v>
      </c>
    </row>
    <row r="106" spans="1:11" x14ac:dyDescent="0.25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$B106*('Updated Population'!C$103/'Updated Population'!$B$103)*('Total Distance Tables Sup #1'!C172/'Total Distance Tables Sup #1'!$B172)</f>
        <v>1078.7508716623588</v>
      </c>
      <c r="D106" s="4">
        <f ca="1">$B106*('Updated Population'!D$103/'Updated Population'!$B$103)*('Total Distance Tables Sup #1'!D172/'Total Distance Tables Sup #1'!$B172)</f>
        <v>1112.2446106510515</v>
      </c>
      <c r="E106" s="4">
        <f ca="1">$B106*('Updated Population'!E$103/'Updated Population'!$B$103)*('Total Distance Tables Sup #1'!E172/'Total Distance Tables Sup #1'!$B172)</f>
        <v>1142.8937859615166</v>
      </c>
      <c r="F106" s="4">
        <f ca="1">$B106*('Updated Population'!F$103/'Updated Population'!$B$103)*('Total Distance Tables Sup #1'!F172/'Total Distance Tables Sup #1'!$B172)</f>
        <v>1166.1301275714072</v>
      </c>
      <c r="G106" s="4">
        <f ca="1">$B106*('Updated Population'!G$103/'Updated Population'!$B$103)*('Total Distance Tables Sup #1'!G172/'Total Distance Tables Sup #1'!$B172)</f>
        <v>1175.0911352270182</v>
      </c>
      <c r="H106" s="4">
        <f ca="1">$B106*('Updated Population'!H$103/'Updated Population'!$B$103)*('Total Distance Tables Sup #1'!H172/'Total Distance Tables Sup #1'!$B172)</f>
        <v>1176.0561791931443</v>
      </c>
      <c r="I106" s="1">
        <f ca="1">$B106*('Updated Population'!I$103/'Updated Population'!$B$103)*('Total Distance Tables Sup #1'!I172/'Total Distance Tables Sup #1'!$B172)</f>
        <v>1174.265767585066</v>
      </c>
      <c r="J106" s="1">
        <f ca="1">$B106*('Updated Population'!J$103/'Updated Population'!$B$103)*('Total Distance Tables Sup #1'!J172/'Total Distance Tables Sup #1'!$B172)</f>
        <v>1168.8010606970099</v>
      </c>
      <c r="K106" s="1">
        <f ca="1">$B106*('Updated Population'!K$103/'Updated Population'!$B$103)*('Total Distance Tables Sup #1'!K172/'Total Distance Tables Sup #1'!$B172)</f>
        <v>1160.9165116622116</v>
      </c>
    </row>
    <row r="107" spans="1:11" x14ac:dyDescent="0.25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$B107*('Updated Population'!C$103/'Updated Population'!$B$103)*('Total Distance Tables Sup #1'!C173/'Total Distance Tables Sup #1'!$B173)</f>
        <v>540.97660383378752</v>
      </c>
      <c r="D107" s="4">
        <f ca="1">$B107*('Updated Population'!D$103/'Updated Population'!$B$103)*('Total Distance Tables Sup #1'!D173/'Total Distance Tables Sup #1'!$B173)</f>
        <v>545.06857520438382</v>
      </c>
      <c r="E107" s="4">
        <f ca="1">$B107*('Updated Population'!E$103/'Updated Population'!$B$103)*('Total Distance Tables Sup #1'!E173/'Total Distance Tables Sup #1'!$B173)</f>
        <v>548.01784189680689</v>
      </c>
      <c r="F107" s="4">
        <f ca="1">$B107*('Updated Population'!F$103/'Updated Population'!$B$103)*('Total Distance Tables Sup #1'!F173/'Total Distance Tables Sup #1'!$B173)</f>
        <v>546.30558318560725</v>
      </c>
      <c r="G107" s="4">
        <f ca="1">$B107*('Updated Population'!G$103/'Updated Population'!$B$103)*('Total Distance Tables Sup #1'!G173/'Total Distance Tables Sup #1'!$B173)</f>
        <v>540.30101119418543</v>
      </c>
      <c r="H107" s="4">
        <f ca="1">$B107*('Updated Population'!H$103/'Updated Population'!$B$103)*('Total Distance Tables Sup #1'!H173/'Total Distance Tables Sup #1'!$B173)</f>
        <v>530.71277976693739</v>
      </c>
      <c r="I107" s="1">
        <f ca="1">$B107*('Updated Population'!I$103/'Updated Population'!$B$103)*('Total Distance Tables Sup #1'!I173/'Total Distance Tables Sup #1'!$B173)</f>
        <v>529.90482999526728</v>
      </c>
      <c r="J107" s="1">
        <f ca="1">$B107*('Updated Population'!J$103/'Updated Population'!$B$103)*('Total Distance Tables Sup #1'!J173/'Total Distance Tables Sup #1'!$B173)</f>
        <v>527.43880002622154</v>
      </c>
      <c r="K107" s="1">
        <f ca="1">$B107*('Updated Population'!K$103/'Updated Population'!$B$103)*('Total Distance Tables Sup #1'!K173/'Total Distance Tables Sup #1'!$B173)</f>
        <v>523.88078042690506</v>
      </c>
    </row>
    <row r="108" spans="1:11" x14ac:dyDescent="0.25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$B108*('Updated Population'!C$103/'Updated Population'!$B$103)*('Total Distance Tables Sup #1'!C174/'Total Distance Tables Sup #1'!$B174)</f>
        <v>2.8422363646827242</v>
      </c>
      <c r="D108" s="4">
        <f ca="1">$B108*('Updated Population'!D$103/'Updated Population'!$B$103)*('Total Distance Tables Sup #1'!D174/'Total Distance Tables Sup #1'!$B174)</f>
        <v>3.0930678142470116</v>
      </c>
      <c r="E108" s="4">
        <f ca="1">$B108*('Updated Population'!E$103/'Updated Population'!$B$103)*('Total Distance Tables Sup #1'!E174/'Total Distance Tables Sup #1'!$B174)</f>
        <v>3.3185344740505189</v>
      </c>
      <c r="F108" s="4">
        <f ca="1">$B108*('Updated Population'!F$103/'Updated Population'!$B$103)*('Total Distance Tables Sup #1'!F174/'Total Distance Tables Sup #1'!$B174)</f>
        <v>3.4993368887247529</v>
      </c>
      <c r="G108" s="4">
        <f ca="1">$B108*('Updated Population'!G$103/'Updated Population'!$B$103)*('Total Distance Tables Sup #1'!G174/'Total Distance Tables Sup #1'!$B174)</f>
        <v>3.6157675242320191</v>
      </c>
      <c r="H108" s="4">
        <f ca="1">$B108*('Updated Population'!H$103/'Updated Population'!$B$103)*('Total Distance Tables Sup #1'!H174/'Total Distance Tables Sup #1'!$B174)</f>
        <v>3.7084940507052675</v>
      </c>
      <c r="I108" s="1">
        <f ca="1">$B108*('Updated Population'!I$103/'Updated Population'!$B$103)*('Total Distance Tables Sup #1'!I174/'Total Distance Tables Sup #1'!$B174)</f>
        <v>3.7028482908220726</v>
      </c>
      <c r="J108" s="1">
        <f ca="1">$B108*('Updated Population'!J$103/'Updated Population'!$B$103)*('Total Distance Tables Sup #1'!J174/'Total Distance Tables Sup #1'!$B174)</f>
        <v>3.6856162628443712</v>
      </c>
      <c r="K108" s="1">
        <f ca="1">$B108*('Updated Population'!K$103/'Updated Population'!$B$103)*('Total Distance Tables Sup #1'!K174/'Total Distance Tables Sup #1'!$B174)</f>
        <v>3.6607536723445682</v>
      </c>
    </row>
    <row r="109" spans="1:11" x14ac:dyDescent="0.25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$B109*('Updated Population'!C$103/'Updated Population'!$B$103)*('Total Distance Tables Sup #1'!C175/'Total Distance Tables Sup #1'!$B175)</f>
        <v>36.019459260773012</v>
      </c>
      <c r="D109" s="4">
        <f ca="1">$B109*('Updated Population'!D$103/'Updated Population'!$B$103)*('Total Distance Tables Sup #1'!D175/'Total Distance Tables Sup #1'!$B175)</f>
        <v>36.788581408111824</v>
      </c>
      <c r="E109" s="4">
        <f ca="1">$B109*('Updated Population'!E$103/'Updated Population'!$B$103)*('Total Distance Tables Sup #1'!E175/'Total Distance Tables Sup #1'!$B175)</f>
        <v>36.907834775170137</v>
      </c>
      <c r="F109" s="4">
        <f ca="1">$B109*('Updated Population'!F$103/'Updated Population'!$B$103)*('Total Distance Tables Sup #1'!F175/'Total Distance Tables Sup #1'!$B175)</f>
        <v>36.591865337046436</v>
      </c>
      <c r="G109" s="4">
        <f ca="1">$B109*('Updated Population'!G$103/'Updated Population'!$B$103)*('Total Distance Tables Sup #1'!G175/'Total Distance Tables Sup #1'!$B175)</f>
        <v>35.5830226985236</v>
      </c>
      <c r="H109" s="4">
        <f ca="1">$B109*('Updated Population'!H$103/'Updated Population'!$B$103)*('Total Distance Tables Sup #1'!H175/'Total Distance Tables Sup #1'!$B175)</f>
        <v>34.345101492439831</v>
      </c>
      <c r="I109" s="1">
        <f ca="1">$B109*('Updated Population'!I$103/'Updated Population'!$B$103)*('Total Distance Tables Sup #1'!I175/'Total Distance Tables Sup #1'!$B175)</f>
        <v>34.292814986505327</v>
      </c>
      <c r="J109" s="1">
        <f ca="1">$B109*('Updated Population'!J$103/'Updated Population'!$B$103)*('Total Distance Tables Sup #1'!J175/'Total Distance Tables Sup #1'!$B175)</f>
        <v>34.133225745772378</v>
      </c>
      <c r="K109" s="1">
        <f ca="1">$B109*('Updated Population'!K$103/'Updated Population'!$B$103)*('Total Distance Tables Sup #1'!K175/'Total Distance Tables Sup #1'!$B175)</f>
        <v>33.902968346837547</v>
      </c>
    </row>
    <row r="110" spans="1:11" x14ac:dyDescent="0.25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Distance Tables Sup #1'!C176/'Total Distance Tables Sup #1'!$B176)</f>
        <v>0</v>
      </c>
      <c r="D110" s="4">
        <f ca="1">$B110*('Updated Population'!D$103/'Updated Population'!$B$103)*('Total Distance Tables Sup #1'!D176/'Total Distance Tables Sup #1'!$B176)</f>
        <v>0</v>
      </c>
      <c r="E110" s="4">
        <f ca="1">$B110*('Updated Population'!E$103/'Updated Population'!$B$103)*('Total Distance Tables Sup #1'!E176/'Total Distance Tables Sup #1'!$B176)</f>
        <v>0</v>
      </c>
      <c r="F110" s="4">
        <f ca="1">$B110*('Updated Population'!F$103/'Updated Population'!$B$103)*('Total Distance Tables Sup #1'!F176/'Total Distance Tables Sup #1'!$B176)</f>
        <v>0</v>
      </c>
      <c r="G110" s="4">
        <f ca="1">$B110*('Updated Population'!G$103/'Updated Population'!$B$103)*('Total Distance Tables Sup #1'!G176/'Total Distance Tables Sup #1'!$B176)</f>
        <v>0</v>
      </c>
      <c r="H110" s="4">
        <f ca="1">$B110*('Updated Population'!H$103/'Updated Population'!$B$103)*('Total Distance Tables Sup #1'!H176/'Total Distance Tables Sup #1'!$B176)</f>
        <v>0</v>
      </c>
      <c r="I110" s="1">
        <f ca="1">$B110*('Updated Population'!I$103/'Updated Population'!$B$103)*('Total Distance Tables Sup #1'!I176/'Total Distance Tables Sup #1'!$B176)</f>
        <v>0</v>
      </c>
      <c r="J110" s="1">
        <f ca="1">$B110*('Updated Population'!J$103/'Updated Population'!$B$103)*('Total Distance Tables Sup #1'!J176/'Total Distance Tables Sup #1'!$B176)</f>
        <v>0</v>
      </c>
      <c r="K110" s="1">
        <f ca="1">$B110*('Updated Population'!K$103/'Updated Population'!$B$103)*('Total Distance Tables Sup #1'!K176/'Total Distance Tables Sup #1'!$B176)</f>
        <v>0</v>
      </c>
    </row>
    <row r="111" spans="1:11" x14ac:dyDescent="0.25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$B111*('Updated Population'!C$103/'Updated Population'!$B$103)*('Total Distance Tables Sup #1'!C177/'Total Distance Tables Sup #1'!$B177)</f>
        <v>18.775743357186087</v>
      </c>
      <c r="D111" s="4">
        <f ca="1">$B111*('Updated Population'!D$103/'Updated Population'!$B$103)*('Total Distance Tables Sup #1'!D177/'Total Distance Tables Sup #1'!$B177)</f>
        <v>18.048635366673025</v>
      </c>
      <c r="E111" s="4">
        <f ca="1">$B111*('Updated Population'!E$103/'Updated Population'!$B$103)*('Total Distance Tables Sup #1'!E177/'Total Distance Tables Sup #1'!$B177)</f>
        <v>17.527729752942442</v>
      </c>
      <c r="F111" s="4">
        <f ca="1">$B111*('Updated Population'!F$103/'Updated Population'!$B$103)*('Total Distance Tables Sup #1'!F177/'Total Distance Tables Sup #1'!$B177)</f>
        <v>16.720753990587411</v>
      </c>
      <c r="G111" s="4">
        <f ca="1">$B111*('Updated Population'!G$103/'Updated Population'!$B$103)*('Total Distance Tables Sup #1'!G177/'Total Distance Tables Sup #1'!$B177)</f>
        <v>16.113095532894825</v>
      </c>
      <c r="H111" s="4">
        <f ca="1">$B111*('Updated Population'!H$103/'Updated Population'!$B$103)*('Total Distance Tables Sup #1'!H177/'Total Distance Tables Sup #1'!$B177)</f>
        <v>15.439059153902498</v>
      </c>
      <c r="I111" s="1">
        <f ca="1">$B111*('Updated Population'!I$103/'Updated Population'!$B$103)*('Total Distance Tables Sup #1'!I177/'Total Distance Tables Sup #1'!$B177)</f>
        <v>15.415554944481208</v>
      </c>
      <c r="J111" s="1">
        <f ca="1">$B111*('Updated Population'!J$103/'Updated Population'!$B$103)*('Total Distance Tables Sup #1'!J177/'Total Distance Tables Sup #1'!$B177)</f>
        <v>15.343815231365358</v>
      </c>
      <c r="K111" s="1">
        <f ca="1">$B111*('Updated Population'!K$103/'Updated Population'!$B$103)*('Total Distance Tables Sup #1'!K177/'Total Distance Tables Sup #1'!$B177)</f>
        <v>15.240308255164948</v>
      </c>
    </row>
    <row r="112" spans="1:11" x14ac:dyDescent="0.25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Distance Tables Sup #1'!C178/'Total Distance Tables Sup #1'!$B178)</f>
        <v>0</v>
      </c>
      <c r="D112" s="4">
        <f ca="1">$B112*('Updated Population'!D$103/'Updated Population'!$B$103)*('Total Distance Tables Sup #1'!D178/'Total Distance Tables Sup #1'!$B178)</f>
        <v>0</v>
      </c>
      <c r="E112" s="4">
        <f ca="1">$B112*('Updated Population'!E$103/'Updated Population'!$B$103)*('Total Distance Tables Sup #1'!E178/'Total Distance Tables Sup #1'!$B178)</f>
        <v>0</v>
      </c>
      <c r="F112" s="4">
        <f ca="1">$B112*('Updated Population'!F$103/'Updated Population'!$B$103)*('Total Distance Tables Sup #1'!F178/'Total Distance Tables Sup #1'!$B178)</f>
        <v>0</v>
      </c>
      <c r="G112" s="4">
        <f ca="1">$B112*('Updated Population'!G$103/'Updated Population'!$B$103)*('Total Distance Tables Sup #1'!G178/'Total Distance Tables Sup #1'!$B178)</f>
        <v>0</v>
      </c>
      <c r="H112" s="4">
        <f ca="1">$B112*('Updated Population'!H$103/'Updated Population'!$B$103)*('Total Distance Tables Sup #1'!H178/'Total Distance Tables Sup #1'!$B178)</f>
        <v>0</v>
      </c>
      <c r="I112" s="1">
        <f ca="1">$B112*('Updated Population'!I$103/'Updated Population'!$B$103)*('Total Distance Tables Sup #1'!I178/'Total Distance Tables Sup #1'!$B178)</f>
        <v>0</v>
      </c>
      <c r="J112" s="1">
        <f ca="1">$B112*('Updated Population'!J$103/'Updated Population'!$B$103)*('Total Distance Tables Sup #1'!J178/'Total Distance Tables Sup #1'!$B178)</f>
        <v>0</v>
      </c>
      <c r="K112" s="1">
        <f ca="1">$B112*('Updated Population'!K$103/'Updated Population'!$B$103)*('Total Distance Tables Sup #1'!K178/'Total Distance Tables Sup #1'!$B178)</f>
        <v>0</v>
      </c>
    </row>
    <row r="113" spans="1:11" x14ac:dyDescent="0.25">
      <c r="A113" t="str">
        <f ca="1">OFFSET(Nelson_Reference,56,2)</f>
        <v>Other Household Travel</v>
      </c>
      <c r="B113" s="4">
        <f ca="1">OFFSET(Nelson_Reference,56,6)</f>
        <v>0</v>
      </c>
      <c r="C113" s="4">
        <f ca="1">$B113*('Updated Population'!C$103/'Updated Population'!$B$103)*('Total Distance Tables Sup #1'!C179/'Total Distance Tables Sup #1'!$B179)</f>
        <v>0</v>
      </c>
      <c r="D113" s="4">
        <f ca="1">$B113*('Updated Population'!D$103/'Updated Population'!$B$103)*('Total Distance Tables Sup #1'!D179/'Total Distance Tables Sup #1'!$B179)</f>
        <v>0</v>
      </c>
      <c r="E113" s="4">
        <f ca="1">$B113*('Updated Population'!E$103/'Updated Population'!$B$103)*('Total Distance Tables Sup #1'!E179/'Total Distance Tables Sup #1'!$B179)</f>
        <v>0</v>
      </c>
      <c r="F113" s="4">
        <f ca="1">$B113*('Updated Population'!F$103/'Updated Population'!$B$103)*('Total Distance Tables Sup #1'!F179/'Total Distance Tables Sup #1'!$B179)</f>
        <v>0</v>
      </c>
      <c r="G113" s="4">
        <f ca="1">$B113*('Updated Population'!G$103/'Updated Population'!$B$103)*('Total Distance Tables Sup #1'!G179/'Total Distance Tables Sup #1'!$B179)</f>
        <v>0</v>
      </c>
      <c r="H113" s="4">
        <f ca="1">$B113*('Updated Population'!H$103/'Updated Population'!$B$103)*('Total Distance Tables Sup #1'!H179/'Total Distance Tables Sup #1'!$B179)</f>
        <v>0</v>
      </c>
      <c r="I113" s="1">
        <f ca="1">$B113*('Updated Population'!I$103/'Updated Population'!$B$103)*('Total Distance Tables Sup #1'!I179/'Total Distance Tables Sup #1'!$B179)</f>
        <v>0</v>
      </c>
      <c r="J113" s="1">
        <f ca="1">$B113*('Updated Population'!J$103/'Updated Population'!$B$103)*('Total Distance Tables Sup #1'!J179/'Total Distance Tables Sup #1'!$B179)</f>
        <v>0</v>
      </c>
      <c r="K113" s="1">
        <f ca="1">$B113*('Updated Population'!K$103/'Updated Population'!$B$103)*('Total Distance Tables Sup #1'!K179/'Total Distance Tables Sup #1'!$B179)</f>
        <v>0</v>
      </c>
    </row>
    <row r="114" spans="1:11" x14ac:dyDescent="0.25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5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$B115*('Updated Population'!C$114/'Updated Population'!$B$114)*('Total Distance Tables Sup #1'!C170/'Total Distance Tables Sup #1'!$B170)</f>
        <v>4.5094003549342263</v>
      </c>
      <c r="D115" s="4">
        <f ca="1">$B115*('Updated Population'!D$114/'Updated Population'!$B$114)*('Total Distance Tables Sup #1'!D170/'Total Distance Tables Sup #1'!$B170)</f>
        <v>4.4265846375301168</v>
      </c>
      <c r="E115" s="4">
        <f ca="1">$B115*('Updated Population'!E$114/'Updated Population'!$B$114)*('Total Distance Tables Sup #1'!E170/'Total Distance Tables Sup #1'!$B170)</f>
        <v>4.2898793099452481</v>
      </c>
      <c r="F115" s="4">
        <f ca="1">$B115*('Updated Population'!F$114/'Updated Population'!$B$114)*('Total Distance Tables Sup #1'!F170/'Total Distance Tables Sup #1'!$B170)</f>
        <v>4.1142520071565372</v>
      </c>
      <c r="G115" s="4">
        <f ca="1">$B115*('Updated Population'!G$114/'Updated Population'!$B$114)*('Total Distance Tables Sup #1'!G170/'Total Distance Tables Sup #1'!$B170)</f>
        <v>3.9338107076165159</v>
      </c>
      <c r="H115" s="4">
        <f ca="1">$B115*('Updated Population'!H$114/'Updated Population'!$B$114)*('Total Distance Tables Sup #1'!H170/'Total Distance Tables Sup #1'!$B170)</f>
        <v>3.750136676387561</v>
      </c>
      <c r="I115" s="1">
        <f ca="1">$B115*('Updated Population'!I$114/'Updated Population'!$B$114)*('Total Distance Tables Sup #1'!I170/'Total Distance Tables Sup #1'!$B170)</f>
        <v>3.6536928776441062</v>
      </c>
      <c r="J115" s="1">
        <f ca="1">$B115*('Updated Population'!J$114/'Updated Population'!$B$114)*('Total Distance Tables Sup #1'!J170/'Total Distance Tables Sup #1'!$B170)</f>
        <v>3.5483981315982702</v>
      </c>
      <c r="K115" s="1">
        <f ca="1">$B115*('Updated Population'!K$114/'Updated Population'!$B$114)*('Total Distance Tables Sup #1'!K170/'Total Distance Tables Sup #1'!$B170)</f>
        <v>3.4387318723904881</v>
      </c>
    </row>
    <row r="116" spans="1:11" x14ac:dyDescent="0.25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$B116*('Updated Population'!C$114/'Updated Population'!$B$114)*('Total Distance Tables Sup #1'!C171/'Total Distance Tables Sup #1'!$B171)</f>
        <v>1.9509413102660453</v>
      </c>
      <c r="D116" s="4">
        <f ca="1">$B116*('Updated Population'!D$114/'Updated Population'!$B$114)*('Total Distance Tables Sup #1'!D171/'Total Distance Tables Sup #1'!$B171)</f>
        <v>1.9303016353933491</v>
      </c>
      <c r="E116" s="4">
        <f ca="1">$B116*('Updated Population'!E$114/'Updated Population'!$B$114)*('Total Distance Tables Sup #1'!E171/'Total Distance Tables Sup #1'!$B171)</f>
        <v>1.8756297748580621</v>
      </c>
      <c r="F116" s="4">
        <f ca="1">$B116*('Updated Population'!F$114/'Updated Population'!$B$114)*('Total Distance Tables Sup #1'!F171/'Total Distance Tables Sup #1'!$B171)</f>
        <v>1.843506659721138</v>
      </c>
      <c r="G116" s="4">
        <f ca="1">$B116*('Updated Population'!G$114/'Updated Population'!$B$114)*('Total Distance Tables Sup #1'!G171/'Total Distance Tables Sup #1'!$B171)</f>
        <v>1.836072504634418</v>
      </c>
      <c r="H116" s="4">
        <f ca="1">$B116*('Updated Population'!H$114/'Updated Population'!$B$114)*('Total Distance Tables Sup #1'!H171/'Total Distance Tables Sup #1'!$B171)</f>
        <v>1.8284972581820942</v>
      </c>
      <c r="I116" s="1">
        <f ca="1">$B116*('Updated Population'!I$114/'Updated Population'!$B$114)*('Total Distance Tables Sup #1'!I171/'Total Distance Tables Sup #1'!$B171)</f>
        <v>1.7814730463229831</v>
      </c>
      <c r="J116" s="1">
        <f ca="1">$B116*('Updated Population'!J$114/'Updated Population'!$B$114)*('Total Distance Tables Sup #1'!J171/'Total Distance Tables Sup #1'!$B171)</f>
        <v>1.7301332763199195</v>
      </c>
      <c r="K116" s="1">
        <f ca="1">$B116*('Updated Population'!K$114/'Updated Population'!$B$114)*('Total Distance Tables Sup #1'!K171/'Total Distance Tables Sup #1'!$B171)</f>
        <v>1.6766620373810555</v>
      </c>
    </row>
    <row r="117" spans="1:11" x14ac:dyDescent="0.25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$B117*('Updated Population'!C$114/'Updated Population'!$B$114)*('Total Distance Tables Sup #1'!C172/'Total Distance Tables Sup #1'!$B172)</f>
        <v>226.47190605524617</v>
      </c>
      <c r="D117" s="4">
        <f ca="1">$B117*('Updated Population'!D$114/'Updated Population'!$B$114)*('Total Distance Tables Sup #1'!D172/'Total Distance Tables Sup #1'!$B172)</f>
        <v>226.66262467133106</v>
      </c>
      <c r="E117" s="4">
        <f ca="1">$B117*('Updated Population'!E$114/'Updated Population'!$B$114)*('Total Distance Tables Sup #1'!E172/'Total Distance Tables Sup #1'!$B172)</f>
        <v>226.46244894375934</v>
      </c>
      <c r="F117" s="4">
        <f ca="1">$B117*('Updated Population'!F$114/'Updated Population'!$B$114)*('Total Distance Tables Sup #1'!F172/'Total Distance Tables Sup #1'!$B172)</f>
        <v>224.76922068189631</v>
      </c>
      <c r="G117" s="4">
        <f ca="1">$B117*('Updated Population'!G$114/'Updated Population'!$B$114)*('Total Distance Tables Sup #1'!G172/'Total Distance Tables Sup #1'!$B172)</f>
        <v>220.43851102432265</v>
      </c>
      <c r="H117" s="4">
        <f ca="1">$B117*('Updated Population'!H$114/'Updated Population'!$B$114)*('Total Distance Tables Sup #1'!H172/'Total Distance Tables Sup #1'!$B172)</f>
        <v>215.2836641951956</v>
      </c>
      <c r="I117" s="1">
        <f ca="1">$B117*('Updated Population'!I$114/'Updated Population'!$B$114)*('Total Distance Tables Sup #1'!I172/'Total Distance Tables Sup #1'!$B172)</f>
        <v>209.74712615029551</v>
      </c>
      <c r="J117" s="1">
        <f ca="1">$B117*('Updated Population'!J$114/'Updated Population'!$B$114)*('Total Distance Tables Sup #1'!J172/'Total Distance Tables Sup #1'!$B172)</f>
        <v>203.70248279316701</v>
      </c>
      <c r="K117" s="1">
        <f ca="1">$B117*('Updated Population'!K$114/'Updated Population'!$B$114)*('Total Distance Tables Sup #1'!K172/'Total Distance Tables Sup #1'!$B172)</f>
        <v>197.40688448351446</v>
      </c>
    </row>
    <row r="118" spans="1:11" x14ac:dyDescent="0.25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$B118*('Updated Population'!C$114/'Updated Population'!$B$114)*('Total Distance Tables Sup #1'!C173/'Total Distance Tables Sup #1'!$B173)</f>
        <v>154.13861594314102</v>
      </c>
      <c r="D118" s="4">
        <f ca="1">$B118*('Updated Population'!D$114/'Updated Population'!$B$114)*('Total Distance Tables Sup #1'!D173/'Total Distance Tables Sup #1'!$B173)</f>
        <v>150.75459004375512</v>
      </c>
      <c r="E118" s="4">
        <f ca="1">$B118*('Updated Population'!E$114/'Updated Population'!$B$114)*('Total Distance Tables Sup #1'!E173/'Total Distance Tables Sup #1'!$B173)</f>
        <v>147.37534079164325</v>
      </c>
      <c r="F118" s="4">
        <f ca="1">$B118*('Updated Population'!F$114/'Updated Population'!$B$114)*('Total Distance Tables Sup #1'!F173/'Total Distance Tables Sup #1'!$B173)</f>
        <v>142.91086875994728</v>
      </c>
      <c r="G118" s="4">
        <f ca="1">$B118*('Updated Population'!G$114/'Updated Population'!$B$114)*('Total Distance Tables Sup #1'!G173/'Total Distance Tables Sup #1'!$B173)</f>
        <v>137.5597872486457</v>
      </c>
      <c r="H118" s="4">
        <f ca="1">$B118*('Updated Population'!H$114/'Updated Population'!$B$114)*('Total Distance Tables Sup #1'!H173/'Total Distance Tables Sup #1'!$B173)</f>
        <v>131.85067289073359</v>
      </c>
      <c r="I118" s="1">
        <f ca="1">$B118*('Updated Population'!I$114/'Updated Population'!$B$114)*('Total Distance Tables Sup #1'!I173/'Total Distance Tables Sup #1'!$B173)</f>
        <v>128.45981520799117</v>
      </c>
      <c r="J118" s="1">
        <f ca="1">$B118*('Updated Population'!J$114/'Updated Population'!$B$114)*('Total Distance Tables Sup #1'!J173/'Total Distance Tables Sup #1'!$B173)</f>
        <v>124.75776797184194</v>
      </c>
      <c r="K118" s="1">
        <f ca="1">$B118*('Updated Population'!K$114/'Updated Population'!$B$114)*('Total Distance Tables Sup #1'!K173/'Total Distance Tables Sup #1'!$B173)</f>
        <v>120.90202315032671</v>
      </c>
    </row>
    <row r="119" spans="1:11" x14ac:dyDescent="0.25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$B119*('Updated Population'!C$114/'Updated Population'!$B$114)*('Total Distance Tables Sup #1'!C174/'Total Distance Tables Sup #1'!$B174)</f>
        <v>1.7722291303915227</v>
      </c>
      <c r="D119" s="4">
        <f ca="1">$B119*('Updated Population'!D$114/'Updated Population'!$B$114)*('Total Distance Tables Sup #1'!D174/'Total Distance Tables Sup #1'!$B174)</f>
        <v>1.872128043191108</v>
      </c>
      <c r="E119" s="4">
        <f ca="1">$B119*('Updated Population'!E$114/'Updated Population'!$B$114)*('Total Distance Tables Sup #1'!E174/'Total Distance Tables Sup #1'!$B174)</f>
        <v>1.9530041455979099</v>
      </c>
      <c r="F119" s="4">
        <f ca="1">$B119*('Updated Population'!F$114/'Updated Population'!$B$114)*('Total Distance Tables Sup #1'!F174/'Total Distance Tables Sup #1'!$B174)</f>
        <v>2.0032819714042067</v>
      </c>
      <c r="G119" s="4">
        <f ca="1">$B119*('Updated Population'!G$114/'Updated Population'!$B$114)*('Total Distance Tables Sup #1'!G174/'Total Distance Tables Sup #1'!$B174)</f>
        <v>2.0145725967403592</v>
      </c>
      <c r="H119" s="4">
        <f ca="1">$B119*('Updated Population'!H$114/'Updated Population'!$B$114)*('Total Distance Tables Sup #1'!H174/'Total Distance Tables Sup #1'!$B174)</f>
        <v>2.016262620107212</v>
      </c>
      <c r="I119" s="1">
        <f ca="1">$B119*('Updated Population'!I$114/'Updated Population'!$B$114)*('Total Distance Tables Sup #1'!I174/'Total Distance Tables Sup #1'!$B174)</f>
        <v>1.9644095696378929</v>
      </c>
      <c r="J119" s="1">
        <f ca="1">$B119*('Updated Population'!J$114/'Updated Population'!$B$114)*('Total Distance Tables Sup #1'!J174/'Total Distance Tables Sup #1'!$B174)</f>
        <v>1.9077978034901035</v>
      </c>
      <c r="K119" s="1">
        <f ca="1">$B119*('Updated Population'!K$114/'Updated Population'!$B$114)*('Total Distance Tables Sup #1'!K174/'Total Distance Tables Sup #1'!$B174)</f>
        <v>1.8488356913836623</v>
      </c>
    </row>
    <row r="120" spans="1:11" x14ac:dyDescent="0.25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$B120*('Updated Population'!C$114/'Updated Population'!$B$114)*('Total Distance Tables Sup #1'!C175/'Total Distance Tables Sup #1'!$B175)</f>
        <v>0.29211450444182935</v>
      </c>
      <c r="D120" s="4">
        <f ca="1">$B120*('Updated Population'!D$114/'Updated Population'!$B$114)*('Total Distance Tables Sup #1'!D175/'Total Distance Tables Sup #1'!$B175)</f>
        <v>0.28961123270381989</v>
      </c>
      <c r="E120" s="4">
        <f ca="1">$B120*('Updated Population'!E$114/'Updated Population'!$B$114)*('Total Distance Tables Sup #1'!E175/'Total Distance Tables Sup #1'!$B175)</f>
        <v>0.28250858706500748</v>
      </c>
      <c r="F120" s="4">
        <f ca="1">$B120*('Updated Population'!F$114/'Updated Population'!$B$114)*('Total Distance Tables Sup #1'!F175/'Total Distance Tables Sup #1'!$B175)</f>
        <v>0.27245647306782372</v>
      </c>
      <c r="G120" s="4">
        <f ca="1">$B120*('Updated Population'!G$114/'Updated Population'!$B$114)*('Total Distance Tables Sup #1'!G175/'Total Distance Tables Sup #1'!$B175)</f>
        <v>0.25785853673475867</v>
      </c>
      <c r="H120" s="4">
        <f ca="1">$B120*('Updated Population'!H$114/'Updated Population'!$B$114)*('Total Distance Tables Sup #1'!H175/'Total Distance Tables Sup #1'!$B175)</f>
        <v>0.24286815294494399</v>
      </c>
      <c r="I120" s="1">
        <f ca="1">$B120*('Updated Population'!I$114/'Updated Population'!$B$114)*('Total Distance Tables Sup #1'!I175/'Total Distance Tables Sup #1'!$B175)</f>
        <v>0.2366222133205835</v>
      </c>
      <c r="J120" s="1">
        <f ca="1">$B120*('Updated Population'!J$114/'Updated Population'!$B$114)*('Total Distance Tables Sup #1'!J175/'Total Distance Tables Sup #1'!$B175)</f>
        <v>0.22980306439516543</v>
      </c>
      <c r="K120" s="1">
        <f ca="1">$B120*('Updated Population'!K$114/'Updated Population'!$B$114)*('Total Distance Tables Sup #1'!K175/'Total Distance Tables Sup #1'!$B175)</f>
        <v>0.22270080543434481</v>
      </c>
    </row>
    <row r="121" spans="1:11" x14ac:dyDescent="0.25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Distance Tables Sup #1'!C176/'Total Distance Tables Sup #1'!$B176)</f>
        <v>0</v>
      </c>
      <c r="D121" s="4">
        <f ca="1">$B121*('Updated Population'!D$114/'Updated Population'!$B$114)*('Total Distance Tables Sup #1'!D176/'Total Distance Tables Sup #1'!$B176)</f>
        <v>0</v>
      </c>
      <c r="E121" s="4">
        <f ca="1">$B121*('Updated Population'!E$114/'Updated Population'!$B$114)*('Total Distance Tables Sup #1'!E176/'Total Distance Tables Sup #1'!$B176)</f>
        <v>0</v>
      </c>
      <c r="F121" s="4">
        <f ca="1">$B121*('Updated Population'!F$114/'Updated Population'!$B$114)*('Total Distance Tables Sup #1'!F176/'Total Distance Tables Sup #1'!$B176)</f>
        <v>0</v>
      </c>
      <c r="G121" s="4">
        <f ca="1">$B121*('Updated Population'!G$114/'Updated Population'!$B$114)*('Total Distance Tables Sup #1'!G176/'Total Distance Tables Sup #1'!$B176)</f>
        <v>0</v>
      </c>
      <c r="H121" s="4">
        <f ca="1">$B121*('Updated Population'!H$114/'Updated Population'!$B$114)*('Total Distance Tables Sup #1'!H176/'Total Distance Tables Sup #1'!$B176)</f>
        <v>0</v>
      </c>
      <c r="I121" s="1">
        <f ca="1">$B121*('Updated Population'!I$114/'Updated Population'!$B$114)*('Total Distance Tables Sup #1'!I176/'Total Distance Tables Sup #1'!$B176)</f>
        <v>0</v>
      </c>
      <c r="J121" s="1">
        <f ca="1">$B121*('Updated Population'!J$114/'Updated Population'!$B$114)*('Total Distance Tables Sup #1'!J176/'Total Distance Tables Sup #1'!$B176)</f>
        <v>0</v>
      </c>
      <c r="K121" s="1">
        <f ca="1">$B121*('Updated Population'!K$114/'Updated Population'!$B$114)*('Total Distance Tables Sup #1'!K176/'Total Distance Tables Sup #1'!$B176)</f>
        <v>0</v>
      </c>
    </row>
    <row r="122" spans="1:11" x14ac:dyDescent="0.25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$B122*('Updated Population'!C$114/'Updated Population'!$B$114)*('Total Distance Tables Sup #1'!C177/'Total Distance Tables Sup #1'!$B177)</f>
        <v>5.3955149750585836</v>
      </c>
      <c r="D122" s="4">
        <f ca="1">$B122*('Updated Population'!D$114/'Updated Population'!$B$114)*('Total Distance Tables Sup #1'!D177/'Total Distance Tables Sup #1'!$B177)</f>
        <v>5.0346184236432405</v>
      </c>
      <c r="E122" s="4">
        <f ca="1">$B122*('Updated Population'!E$114/'Updated Population'!$B$114)*('Total Distance Tables Sup #1'!E177/'Total Distance Tables Sup #1'!$B177)</f>
        <v>4.7539934919148203</v>
      </c>
      <c r="F122" s="4">
        <f ca="1">$B122*('Updated Population'!F$114/'Updated Population'!$B$114)*('Total Distance Tables Sup #1'!F177/'Total Distance Tables Sup #1'!$B177)</f>
        <v>4.4115201537964595</v>
      </c>
      <c r="G122" s="4">
        <f ca="1">$B122*('Updated Population'!G$114/'Updated Population'!$B$114)*('Total Distance Tables Sup #1'!G177/'Total Distance Tables Sup #1'!$B177)</f>
        <v>4.1374950496430998</v>
      </c>
      <c r="H122" s="4">
        <f ca="1">$B122*('Updated Population'!H$114/'Updated Population'!$B$114)*('Total Distance Tables Sup #1'!H177/'Total Distance Tables Sup #1'!$B177)</f>
        <v>3.8685340700707305</v>
      </c>
      <c r="I122" s="1">
        <f ca="1">$B122*('Updated Population'!I$114/'Updated Population'!$B$114)*('Total Distance Tables Sup #1'!I177/'Total Distance Tables Sup #1'!$B177)</f>
        <v>3.7690453971284161</v>
      </c>
      <c r="J122" s="1">
        <f ca="1">$B122*('Updated Population'!J$114/'Updated Population'!$B$114)*('Total Distance Tables Sup #1'!J177/'Total Distance Tables Sup #1'!$B177)</f>
        <v>3.6604263393104652</v>
      </c>
      <c r="K122" s="1">
        <f ca="1">$B122*('Updated Population'!K$114/'Updated Population'!$B$114)*('Total Distance Tables Sup #1'!K177/'Total Distance Tables Sup #1'!$B177)</f>
        <v>3.5472977531568568</v>
      </c>
    </row>
    <row r="123" spans="1:11" x14ac:dyDescent="0.25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Distance Tables Sup #1'!C178/'Total Distance Tables Sup #1'!$B178)</f>
        <v>0</v>
      </c>
      <c r="D123" s="4">
        <f ca="1">$B123*('Updated Population'!D$114/'Updated Population'!$B$114)*('Total Distance Tables Sup #1'!D178/'Total Distance Tables Sup #1'!$B178)</f>
        <v>0</v>
      </c>
      <c r="E123" s="4">
        <f ca="1">$B123*('Updated Population'!E$114/'Updated Population'!$B$114)*('Total Distance Tables Sup #1'!E178/'Total Distance Tables Sup #1'!$B178)</f>
        <v>0</v>
      </c>
      <c r="F123" s="4">
        <f ca="1">$B123*('Updated Population'!F$114/'Updated Population'!$B$114)*('Total Distance Tables Sup #1'!F178/'Total Distance Tables Sup #1'!$B178)</f>
        <v>0</v>
      </c>
      <c r="G123" s="4">
        <f ca="1">$B123*('Updated Population'!G$114/'Updated Population'!$B$114)*('Total Distance Tables Sup #1'!G178/'Total Distance Tables Sup #1'!$B178)</f>
        <v>0</v>
      </c>
      <c r="H123" s="4">
        <f ca="1">$B123*('Updated Population'!H$114/'Updated Population'!$B$114)*('Total Distance Tables Sup #1'!H178/'Total Distance Tables Sup #1'!$B178)</f>
        <v>0</v>
      </c>
      <c r="I123" s="1">
        <f ca="1">$B123*('Updated Population'!I$114/'Updated Population'!$B$114)*('Total Distance Tables Sup #1'!I178/'Total Distance Tables Sup #1'!$B178)</f>
        <v>0</v>
      </c>
      <c r="J123" s="1">
        <f ca="1">$B123*('Updated Population'!J$114/'Updated Population'!$B$114)*('Total Distance Tables Sup #1'!J178/'Total Distance Tables Sup #1'!$B178)</f>
        <v>0</v>
      </c>
      <c r="K123" s="1">
        <f ca="1">$B123*('Updated Population'!K$114/'Updated Population'!$B$114)*('Total Distance Tables Sup #1'!K178/'Total Distance Tables Sup #1'!$B178)</f>
        <v>0</v>
      </c>
    </row>
    <row r="124" spans="1:11" x14ac:dyDescent="0.25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$B124*('Updated Population'!C$114/'Updated Population'!$B$114)*('Total Distance Tables Sup #1'!C179/'Total Distance Tables Sup #1'!$B179)</f>
        <v>0</v>
      </c>
      <c r="D124" s="4">
        <f ca="1">$B124*('Updated Population'!D$114/'Updated Population'!$B$114)*('Total Distance Tables Sup #1'!D179/'Total Distance Tables Sup #1'!$B179)</f>
        <v>0</v>
      </c>
      <c r="E124" s="4">
        <f ca="1">$B124*('Updated Population'!E$114/'Updated Population'!$B$114)*('Total Distance Tables Sup #1'!E179/'Total Distance Tables Sup #1'!$B179)</f>
        <v>0</v>
      </c>
      <c r="F124" s="4">
        <f ca="1">$B124*('Updated Population'!F$114/'Updated Population'!$B$114)*('Total Distance Tables Sup #1'!F179/'Total Distance Tables Sup #1'!$B179)</f>
        <v>0</v>
      </c>
      <c r="G124" s="4">
        <f ca="1">$B124*('Updated Population'!G$114/'Updated Population'!$B$114)*('Total Distance Tables Sup #1'!G179/'Total Distance Tables Sup #1'!$B179)</f>
        <v>0</v>
      </c>
      <c r="H124" s="4">
        <f ca="1">$B124*('Updated Population'!H$114/'Updated Population'!$B$114)*('Total Distance Tables Sup #1'!H179/'Total Distance Tables Sup #1'!$B179)</f>
        <v>0</v>
      </c>
      <c r="I124" s="1">
        <f ca="1">$B124*('Updated Population'!I$114/'Updated Population'!$B$114)*('Total Distance Tables Sup #1'!I179/'Total Distance Tables Sup #1'!$B179)</f>
        <v>0</v>
      </c>
      <c r="J124" s="1">
        <f ca="1">$B124*('Updated Population'!J$114/'Updated Population'!$B$114)*('Total Distance Tables Sup #1'!J179/'Total Distance Tables Sup #1'!$B179)</f>
        <v>0</v>
      </c>
      <c r="K124" s="1">
        <f ca="1">$B124*('Updated Population'!K$114/'Updated Population'!$B$114)*('Total Distance Tables Sup #1'!K179/'Total Distance Tables Sup #1'!$B179)</f>
        <v>0</v>
      </c>
    </row>
    <row r="125" spans="1:11" x14ac:dyDescent="0.25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5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$B126*('Updated Population'!C$125/'Updated Population'!$B$125)*('Total Distance Tables Sup #1'!C170/'Total Distance Tables Sup #1'!$B170)</f>
        <v>123.66462680075902</v>
      </c>
      <c r="D126" s="4">
        <f ca="1">$B126*('Updated Population'!D$125/'Updated Population'!$B$125)*('Total Distance Tables Sup #1'!D170/'Total Distance Tables Sup #1'!$B170)</f>
        <v>129.37992516027717</v>
      </c>
      <c r="E126" s="4">
        <f ca="1">$B126*('Updated Population'!E$125/'Updated Population'!$B$125)*('Total Distance Tables Sup #1'!E170/'Total Distance Tables Sup #1'!$B170)</f>
        <v>131.87799320009404</v>
      </c>
      <c r="F126" s="4">
        <f ca="1">$B126*('Updated Population'!F$125/'Updated Population'!$B$125)*('Total Distance Tables Sup #1'!F170/'Total Distance Tables Sup #1'!$B170)</f>
        <v>133.11884007621887</v>
      </c>
      <c r="G126" s="4">
        <f ca="1">$B126*('Updated Population'!G$125/'Updated Population'!$B$125)*('Total Distance Tables Sup #1'!G170/'Total Distance Tables Sup #1'!$B170)</f>
        <v>134.05225143272935</v>
      </c>
      <c r="H126" s="4">
        <f ca="1">$B126*('Updated Population'!H$125/'Updated Population'!$B$125)*('Total Distance Tables Sup #1'!H170/'Total Distance Tables Sup #1'!$B170)</f>
        <v>134.48488648809214</v>
      </c>
      <c r="I126" s="1">
        <f ca="1">$B126*('Updated Population'!I$125/'Updated Population'!$B$125)*('Total Distance Tables Sup #1'!I170/'Total Distance Tables Sup #1'!$B170)</f>
        <v>137.88726371742473</v>
      </c>
      <c r="J126" s="1">
        <f ca="1">$B126*('Updated Population'!J$125/'Updated Population'!$B$125)*('Total Distance Tables Sup #1'!J170/'Total Distance Tables Sup #1'!$B170)</f>
        <v>140.92569553102533</v>
      </c>
      <c r="K126" s="1">
        <f ca="1">$B126*('Updated Population'!K$125/'Updated Population'!$B$125)*('Total Distance Tables Sup #1'!K170/'Total Distance Tables Sup #1'!$B170)</f>
        <v>143.72154898844633</v>
      </c>
    </row>
    <row r="127" spans="1:11" x14ac:dyDescent="0.25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$B127*('Updated Population'!C$125/'Updated Population'!$B$125)*('Total Distance Tables Sup #1'!C171/'Total Distance Tables Sup #1'!$B171)</f>
        <v>108.72604984570974</v>
      </c>
      <c r="D127" s="4">
        <f ca="1">$B127*('Updated Population'!D$125/'Updated Population'!$B$125)*('Total Distance Tables Sup #1'!D171/'Total Distance Tables Sup #1'!$B171)</f>
        <v>114.65315505672078</v>
      </c>
      <c r="E127" s="4">
        <f ca="1">$B127*('Updated Population'!E$125/'Updated Population'!$B$125)*('Total Distance Tables Sup #1'!E171/'Total Distance Tables Sup #1'!$B171)</f>
        <v>117.17557211389968</v>
      </c>
      <c r="F127" s="4">
        <f ca="1">$B127*('Updated Population'!F$125/'Updated Population'!$B$125)*('Total Distance Tables Sup #1'!F171/'Total Distance Tables Sup #1'!$B171)</f>
        <v>121.21491309317132</v>
      </c>
      <c r="G127" s="4">
        <f ca="1">$B127*('Updated Population'!G$125/'Updated Population'!$B$125)*('Total Distance Tables Sup #1'!G171/'Total Distance Tables Sup #1'!$B171)</f>
        <v>127.14907055783667</v>
      </c>
      <c r="H127" s="4">
        <f ca="1">$B127*('Updated Population'!H$125/'Updated Population'!$B$125)*('Total Distance Tables Sup #1'!H171/'Total Distance Tables Sup #1'!$B171)</f>
        <v>133.2549671421333</v>
      </c>
      <c r="I127" s="1">
        <f ca="1">$B127*('Updated Population'!I$125/'Updated Population'!$B$125)*('Total Distance Tables Sup #1'!I171/'Total Distance Tables Sup #1'!$B171)</f>
        <v>136.62622823874733</v>
      </c>
      <c r="J127" s="1">
        <f ca="1">$B127*('Updated Population'!J$125/'Updated Population'!$B$125)*('Total Distance Tables Sup #1'!J171/'Total Distance Tables Sup #1'!$B171)</f>
        <v>139.63687234945792</v>
      </c>
      <c r="K127" s="1">
        <f ca="1">$B127*('Updated Population'!K$125/'Updated Population'!$B$125)*('Total Distance Tables Sup #1'!K171/'Total Distance Tables Sup #1'!$B171)</f>
        <v>142.4071565823694</v>
      </c>
    </row>
    <row r="128" spans="1:11" x14ac:dyDescent="0.25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$B128*('Updated Population'!C$125/'Updated Population'!$B$125)*('Total Distance Tables Sup #1'!C172/'Total Distance Tables Sup #1'!$B172)</f>
        <v>4250.6318178526762</v>
      </c>
      <c r="D128" s="4">
        <f ca="1">$B128*('Updated Population'!D$125/'Updated Population'!$B$125)*('Total Distance Tables Sup #1'!D172/'Total Distance Tables Sup #1'!$B172)</f>
        <v>4534.0937281285214</v>
      </c>
      <c r="E128" s="4">
        <f ca="1">$B128*('Updated Population'!E$125/'Updated Population'!$B$125)*('Total Distance Tables Sup #1'!E172/'Total Distance Tables Sup #1'!$B172)</f>
        <v>4764.7038492617812</v>
      </c>
      <c r="F128" s="4">
        <f ca="1">$B128*('Updated Population'!F$125/'Updated Population'!$B$125)*('Total Distance Tables Sup #1'!F172/'Total Distance Tables Sup #1'!$B172)</f>
        <v>4977.347147493906</v>
      </c>
      <c r="G128" s="4">
        <f ca="1">$B128*('Updated Population'!G$125/'Updated Population'!$B$125)*('Total Distance Tables Sup #1'!G172/'Total Distance Tables Sup #1'!$B172)</f>
        <v>5141.1536107057564</v>
      </c>
      <c r="H128" s="4">
        <f ca="1">$B128*('Updated Population'!H$125/'Updated Population'!$B$125)*('Total Distance Tables Sup #1'!H172/'Total Distance Tables Sup #1'!$B172)</f>
        <v>5283.8431625204958</v>
      </c>
      <c r="I128" s="1">
        <f ca="1">$B128*('Updated Population'!I$125/'Updated Population'!$B$125)*('Total Distance Tables Sup #1'!I172/'Total Distance Tables Sup #1'!$B172)</f>
        <v>5417.5208428085052</v>
      </c>
      <c r="J128" s="1">
        <f ca="1">$B128*('Updated Population'!J$125/'Updated Population'!$B$125)*('Total Distance Tables Sup #1'!J172/'Total Distance Tables Sup #1'!$B172)</f>
        <v>5536.8992918099084</v>
      </c>
      <c r="K128" s="1">
        <f ca="1">$B128*('Updated Population'!K$125/'Updated Population'!$B$125)*('Total Distance Tables Sup #1'!K172/'Total Distance Tables Sup #1'!$B172)</f>
        <v>5646.7469599024207</v>
      </c>
    </row>
    <row r="129" spans="1:11" x14ac:dyDescent="0.25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$B129*('Updated Population'!C$125/'Updated Population'!$B$125)*('Total Distance Tables Sup #1'!C173/'Total Distance Tables Sup #1'!$B173)</f>
        <v>2197.3665011299818</v>
      </c>
      <c r="D129" s="4">
        <f ca="1">$B129*('Updated Population'!D$125/'Updated Population'!$B$125)*('Total Distance Tables Sup #1'!D173/'Total Distance Tables Sup #1'!$B173)</f>
        <v>2290.5143398098858</v>
      </c>
      <c r="E129" s="4">
        <f ca="1">$B129*('Updated Population'!E$125/'Updated Population'!$B$125)*('Total Distance Tables Sup #1'!E173/'Total Distance Tables Sup #1'!$B173)</f>
        <v>2355.138358925396</v>
      </c>
      <c r="F129" s="4">
        <f ca="1">$B129*('Updated Population'!F$125/'Updated Population'!$B$125)*('Total Distance Tables Sup #1'!F173/'Total Distance Tables Sup #1'!$B173)</f>
        <v>2403.6888133077468</v>
      </c>
      <c r="G129" s="4">
        <f ca="1">$B129*('Updated Population'!G$125/'Updated Population'!$B$125)*('Total Distance Tables Sup #1'!G173/'Total Distance Tables Sup #1'!$B173)</f>
        <v>2436.7809883474933</v>
      </c>
      <c r="H129" s="4">
        <f ca="1">$B129*('Updated Population'!H$125/'Updated Population'!$B$125)*('Total Distance Tables Sup #1'!H173/'Total Distance Tables Sup #1'!$B173)</f>
        <v>2457.9502196276767</v>
      </c>
      <c r="I129" s="1">
        <f ca="1">$B129*('Updated Population'!I$125/'Updated Population'!$B$125)*('Total Distance Tables Sup #1'!I173/'Total Distance Tables Sup #1'!$B173)</f>
        <v>2520.134707985294</v>
      </c>
      <c r="J129" s="1">
        <f ca="1">$B129*('Updated Population'!J$125/'Updated Population'!$B$125)*('Total Distance Tables Sup #1'!J173/'Total Distance Tables Sup #1'!$B173)</f>
        <v>2575.6674473033627</v>
      </c>
      <c r="K129" s="1">
        <f ca="1">$B129*('Updated Population'!K$125/'Updated Population'!$B$125)*('Total Distance Tables Sup #1'!K173/'Total Distance Tables Sup #1'!$B173)</f>
        <v>2626.7666362097916</v>
      </c>
    </row>
    <row r="130" spans="1:11" x14ac:dyDescent="0.25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$B130*('Updated Population'!C$125/'Updated Population'!$B$125)*('Total Distance Tables Sup #1'!C174/'Total Distance Tables Sup #1'!$B174)</f>
        <v>19.467088120927489</v>
      </c>
      <c r="D130" s="4">
        <f ca="1">$B130*('Updated Population'!D$125/'Updated Population'!$B$125)*('Total Distance Tables Sup #1'!D174/'Total Distance Tables Sup #1'!$B174)</f>
        <v>21.917352842631296</v>
      </c>
      <c r="E130" s="4">
        <f ca="1">$B130*('Updated Population'!E$125/'Updated Population'!$B$125)*('Total Distance Tables Sup #1'!E174/'Total Distance Tables Sup #1'!$B174)</f>
        <v>24.04832587519331</v>
      </c>
      <c r="F130" s="4">
        <f ca="1">$B130*('Updated Population'!F$125/'Updated Population'!$B$125)*('Total Distance Tables Sup #1'!F174/'Total Distance Tables Sup #1'!$B174)</f>
        <v>25.962418432347068</v>
      </c>
      <c r="G130" s="4">
        <f ca="1">$B130*('Updated Population'!G$125/'Updated Population'!$B$125)*('Total Distance Tables Sup #1'!G174/'Total Distance Tables Sup #1'!$B174)</f>
        <v>27.497803483209999</v>
      </c>
      <c r="H130" s="4">
        <f ca="1">$B130*('Updated Population'!H$125/'Updated Population'!$B$125)*('Total Distance Tables Sup #1'!H174/'Total Distance Tables Sup #1'!$B174)</f>
        <v>28.961957420072874</v>
      </c>
      <c r="I130" s="1">
        <f ca="1">$B130*('Updated Population'!I$125/'Updated Population'!$B$125)*('Total Distance Tables Sup #1'!I174/'Total Distance Tables Sup #1'!$B174)</f>
        <v>29.694675474987406</v>
      </c>
      <c r="J130" s="1">
        <f ca="1">$B130*('Updated Population'!J$125/'Updated Population'!$B$125)*('Total Distance Tables Sup #1'!J174/'Total Distance Tables Sup #1'!$B174)</f>
        <v>30.349016160452365</v>
      </c>
      <c r="K130" s="1">
        <f ca="1">$B130*('Updated Population'!K$125/'Updated Population'!$B$125)*('Total Distance Tables Sup #1'!K174/'Total Distance Tables Sup #1'!$B174)</f>
        <v>30.951116447712224</v>
      </c>
    </row>
    <row r="131" spans="1:11" x14ac:dyDescent="0.25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$B131*('Updated Population'!C$125/'Updated Population'!$B$125)*('Total Distance Tables Sup #1'!C175/'Total Distance Tables Sup #1'!$B175)</f>
        <v>13.427292679564026</v>
      </c>
      <c r="D131" s="4">
        <f ca="1">$B131*('Updated Population'!D$125/'Updated Population'!$B$125)*('Total Distance Tables Sup #1'!D175/'Total Distance Tables Sup #1'!$B175)</f>
        <v>14.188032107250594</v>
      </c>
      <c r="E131" s="4">
        <f ca="1">$B131*('Updated Population'!E$125/'Updated Population'!$B$125)*('Total Distance Tables Sup #1'!E175/'Total Distance Tables Sup #1'!$B175)</f>
        <v>14.556854668456845</v>
      </c>
      <c r="F131" s="4">
        <f ca="1">$B131*('Updated Population'!F$125/'Updated Population'!$B$125)*('Total Distance Tables Sup #1'!F175/'Total Distance Tables Sup #1'!$B175)</f>
        <v>14.775915635815634</v>
      </c>
      <c r="G131" s="4">
        <f ca="1">$B131*('Updated Population'!G$125/'Updated Population'!$B$125)*('Total Distance Tables Sup #1'!G175/'Total Distance Tables Sup #1'!$B175)</f>
        <v>14.728238406313265</v>
      </c>
      <c r="H131" s="4">
        <f ca="1">$B131*('Updated Population'!H$125/'Updated Population'!$B$125)*('Total Distance Tables Sup #1'!H175/'Total Distance Tables Sup #1'!$B175)</f>
        <v>14.598411178620783</v>
      </c>
      <c r="I131" s="1">
        <f ca="1">$B131*('Updated Population'!I$125/'Updated Population'!$B$125)*('Total Distance Tables Sup #1'!I175/'Total Distance Tables Sup #1'!$B175)</f>
        <v>14.96774116859681</v>
      </c>
      <c r="J131" s="1">
        <f ca="1">$B131*('Updated Population'!J$125/'Updated Population'!$B$125)*('Total Distance Tables Sup #1'!J175/'Total Distance Tables Sup #1'!$B175)</f>
        <v>15.29756467599198</v>
      </c>
      <c r="K131" s="1">
        <f ca="1">$B131*('Updated Population'!K$125/'Updated Population'!$B$125)*('Total Distance Tables Sup #1'!K175/'Total Distance Tables Sup #1'!$B175)</f>
        <v>15.601056164384723</v>
      </c>
    </row>
    <row r="132" spans="1:11" x14ac:dyDescent="0.25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OFFSET(Canterbury_Reference,48,6)</f>
        <v>0</v>
      </c>
      <c r="J132" s="1">
        <f ca="1">OFFSET(Canterbury_Reference,48,6)</f>
        <v>0</v>
      </c>
      <c r="K132" s="1">
        <f ca="1">OFFSET(Canterbury_Reference,48,6)</f>
        <v>0</v>
      </c>
    </row>
    <row r="133" spans="1:11" x14ac:dyDescent="0.25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175.21324804</v>
      </c>
      <c r="D133" s="4">
        <f ca="1">OFFSET(Canterbury_Reference,51,6)</f>
        <v>170.81122178000001</v>
      </c>
      <c r="E133" s="4">
        <f ca="1">OFFSET(Canterbury_Reference,52,6)</f>
        <v>168.83753199</v>
      </c>
      <c r="F133" s="4">
        <f ca="1">OFFSET(Canterbury_Reference,53,6)</f>
        <v>163.14112513000001</v>
      </c>
      <c r="G133" s="4">
        <f ca="1">OFFSET(Canterbury_Reference,54,6)</f>
        <v>157.35525977</v>
      </c>
      <c r="H133" s="4">
        <f ca="1">OFFSET(Canterbury_Reference,55,6)</f>
        <v>151.17563518</v>
      </c>
      <c r="I133" s="1">
        <f ca="1">OFFSET(Canterbury_Reference,55,6)</f>
        <v>151.17563518</v>
      </c>
      <c r="J133" s="1">
        <f ca="1">OFFSET(Canterbury_Reference,55,6)</f>
        <v>151.17563518</v>
      </c>
      <c r="K133" s="1">
        <f ca="1">OFFSET(Canterbury_Reference,55,6)</f>
        <v>151.17563518</v>
      </c>
    </row>
    <row r="134" spans="1:11" x14ac:dyDescent="0.25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Distance Tables Sup #1'!C178/'Total Distance Tables Sup #1'!$B178)</f>
        <v>0</v>
      </c>
      <c r="D134" s="4">
        <f ca="1">$B134*('Updated Population'!D$125/'Updated Population'!$B$125)*('Total Distance Tables Sup #1'!D178/'Total Distance Tables Sup #1'!$B178)</f>
        <v>0</v>
      </c>
      <c r="E134" s="4">
        <f ca="1">$B134*('Updated Population'!E$125/'Updated Population'!$B$125)*('Total Distance Tables Sup #1'!E178/'Total Distance Tables Sup #1'!$B178)</f>
        <v>0</v>
      </c>
      <c r="F134" s="4">
        <f ca="1">$B134*('Updated Population'!F$125/'Updated Population'!$B$125)*('Total Distance Tables Sup #1'!F178/'Total Distance Tables Sup #1'!$B178)</f>
        <v>0</v>
      </c>
      <c r="G134" s="4">
        <f ca="1">$B134*('Updated Population'!G$125/'Updated Population'!$B$125)*('Total Distance Tables Sup #1'!G178/'Total Distance Tables Sup #1'!$B178)</f>
        <v>0</v>
      </c>
      <c r="H134" s="4">
        <f ca="1">$B134*('Updated Population'!H$125/'Updated Population'!$B$125)*('Total Distance Tables Sup #1'!H178/'Total Distance Tables Sup #1'!$B178)</f>
        <v>0</v>
      </c>
      <c r="I134" s="1">
        <f ca="1">$B134*('Updated Population'!I$125/'Updated Population'!$B$125)*('Total Distance Tables Sup #1'!I178/'Total Distance Tables Sup #1'!$B178)</f>
        <v>0</v>
      </c>
      <c r="J134" s="1">
        <f ca="1">$B134*('Updated Population'!J$125/'Updated Population'!$B$125)*('Total Distance Tables Sup #1'!J178/'Total Distance Tables Sup #1'!$B178)</f>
        <v>0</v>
      </c>
      <c r="K134" s="1">
        <f ca="1">$B134*('Updated Population'!K$125/'Updated Population'!$B$125)*('Total Distance Tables Sup #1'!K178/'Total Distance Tables Sup #1'!$B178)</f>
        <v>0</v>
      </c>
    </row>
    <row r="135" spans="1:11" x14ac:dyDescent="0.25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$B135*('Updated Population'!C$125/'Updated Population'!$B$125)*('Total Distance Tables Sup #1'!C179/'Total Distance Tables Sup #1'!$B179)</f>
        <v>0</v>
      </c>
      <c r="D135" s="4">
        <f ca="1">$B135*('Updated Population'!D$125/'Updated Population'!$B$125)*('Total Distance Tables Sup #1'!D179/'Total Distance Tables Sup #1'!$B179)</f>
        <v>0</v>
      </c>
      <c r="E135" s="4">
        <f ca="1">$B135*('Updated Population'!E$125/'Updated Population'!$B$125)*('Total Distance Tables Sup #1'!E179/'Total Distance Tables Sup #1'!$B179)</f>
        <v>0</v>
      </c>
      <c r="F135" s="4">
        <f ca="1">$B135*('Updated Population'!F$125/'Updated Population'!$B$125)*('Total Distance Tables Sup #1'!F179/'Total Distance Tables Sup #1'!$B179)</f>
        <v>0</v>
      </c>
      <c r="G135" s="4">
        <f ca="1">$B135*('Updated Population'!G$125/'Updated Population'!$B$125)*('Total Distance Tables Sup #1'!G179/'Total Distance Tables Sup #1'!$B179)</f>
        <v>0</v>
      </c>
      <c r="H135" s="4">
        <f ca="1">$B135*('Updated Population'!H$125/'Updated Population'!$B$125)*('Total Distance Tables Sup #1'!H179/'Total Distance Tables Sup #1'!$B179)</f>
        <v>0</v>
      </c>
      <c r="I135" s="1">
        <f ca="1">$B135*('Updated Population'!I$125/'Updated Population'!$B$125)*('Total Distance Tables Sup #1'!I179/'Total Distance Tables Sup #1'!$B179)</f>
        <v>0</v>
      </c>
      <c r="J135" s="1">
        <f ca="1">$B135*('Updated Population'!J$125/'Updated Population'!$B$125)*('Total Distance Tables Sup #1'!J179/'Total Distance Tables Sup #1'!$B179)</f>
        <v>0</v>
      </c>
      <c r="K135" s="1">
        <f ca="1">$B135*('Updated Population'!K$125/'Updated Population'!$B$125)*('Total Distance Tables Sup #1'!K179/'Total Distance Tables Sup #1'!$B179)</f>
        <v>0</v>
      </c>
    </row>
    <row r="136" spans="1:11" x14ac:dyDescent="0.25">
      <c r="A136" t="str">
        <f ca="1">OFFSET(Otago_Reference,0,0)</f>
        <v>14 OTAGO</v>
      </c>
      <c r="I136" s="1"/>
      <c r="J136" s="1"/>
      <c r="K136" s="1"/>
    </row>
    <row r="137" spans="1:11" x14ac:dyDescent="0.25">
      <c r="A137" t="str">
        <f ca="1">OFFSET(Otago_Reference,0,2)</f>
        <v>Pedestrian</v>
      </c>
      <c r="B137" s="4">
        <f ca="1">OFFSET(Otago_Reference,0,6)</f>
        <v>45.829100335</v>
      </c>
      <c r="C137" s="4">
        <f ca="1">$B137*('Updated Population'!C$136/'Updated Population'!$B$136)*('Total Distance Tables Sup #1'!C170/'Total Distance Tables Sup #1'!$B170)</f>
        <v>48.827696311878732</v>
      </c>
      <c r="D137" s="4">
        <f ca="1">$B137*('Updated Population'!D$136/'Updated Population'!$B$136)*('Total Distance Tables Sup #1'!D170/'Total Distance Tables Sup #1'!$B170)</f>
        <v>50.096141612348561</v>
      </c>
      <c r="E137" s="4">
        <f ca="1">$B137*('Updated Population'!E$136/'Updated Population'!$B$136)*('Total Distance Tables Sup #1'!E170/'Total Distance Tables Sup #1'!$B170)</f>
        <v>50.236478861475895</v>
      </c>
      <c r="F137" s="4">
        <f ca="1">$B137*('Updated Population'!F$136/'Updated Population'!$B$136)*('Total Distance Tables Sup #1'!F170/'Total Distance Tables Sup #1'!$B170)</f>
        <v>49.909565573740963</v>
      </c>
      <c r="G137" s="4">
        <f ca="1">$B137*('Updated Population'!G$136/'Updated Population'!$B$136)*('Total Distance Tables Sup #1'!G170/'Total Distance Tables Sup #1'!$B170)</f>
        <v>49.497267687062397</v>
      </c>
      <c r="H137" s="4">
        <f ca="1">$B137*('Updated Population'!H$136/'Updated Population'!$B$136)*('Total Distance Tables Sup #1'!H170/'Total Distance Tables Sup #1'!$B170)</f>
        <v>48.915006059206391</v>
      </c>
      <c r="I137" s="1">
        <f ca="1">$B137*('Updated Population'!I$136/'Updated Population'!$B$136)*('Total Distance Tables Sup #1'!I170/'Total Distance Tables Sup #1'!$B170)</f>
        <v>49.403111411485305</v>
      </c>
      <c r="J137" s="1">
        <f ca="1">$B137*('Updated Population'!J$136/'Updated Population'!$B$136)*('Total Distance Tables Sup #1'!J170/'Total Distance Tables Sup #1'!$B170)</f>
        <v>49.737259549032522</v>
      </c>
      <c r="K137" s="1">
        <f ca="1">$B137*('Updated Population'!K$136/'Updated Population'!$B$136)*('Total Distance Tables Sup #1'!K170/'Total Distance Tables Sup #1'!$B170)</f>
        <v>49.966056220476922</v>
      </c>
    </row>
    <row r="138" spans="1:11" x14ac:dyDescent="0.25">
      <c r="A138" t="str">
        <f ca="1">OFFSET(Otago_Reference,7,2)</f>
        <v>Cyclist</v>
      </c>
      <c r="B138" s="4">
        <f ca="1">OFFSET(Otago_Reference,7,6)</f>
        <v>16.325352069000001</v>
      </c>
      <c r="C138" s="4">
        <f ca="1">$B138*('Updated Population'!C$136/'Updated Population'!$B$136)*('Total Distance Tables Sup #1'!C171/'Total Distance Tables Sup #1'!$B171)</f>
        <v>17.8696697796824</v>
      </c>
      <c r="D138" s="4">
        <f ca="1">$B138*('Updated Population'!D$136/'Updated Population'!$B$136)*('Total Distance Tables Sup #1'!D171/'Total Distance Tables Sup #1'!$B171)</f>
        <v>18.47930213856495</v>
      </c>
      <c r="E138" s="4">
        <f ca="1">$B138*('Updated Population'!E$136/'Updated Population'!$B$136)*('Total Distance Tables Sup #1'!E171/'Total Distance Tables Sup #1'!$B171)</f>
        <v>18.580017471564332</v>
      </c>
      <c r="F138" s="4">
        <f ca="1">$B138*('Updated Population'!F$136/'Updated Population'!$B$136)*('Total Distance Tables Sup #1'!F171/'Total Distance Tables Sup #1'!$B171)</f>
        <v>18.917445567554314</v>
      </c>
      <c r="G138" s="4">
        <f ca="1">$B138*('Updated Population'!G$136/'Updated Population'!$B$136)*('Total Distance Tables Sup #1'!G171/'Total Distance Tables Sup #1'!$B171)</f>
        <v>19.542606037268971</v>
      </c>
      <c r="H138" s="4">
        <f ca="1">$B138*('Updated Population'!H$136/'Updated Population'!$B$136)*('Total Distance Tables Sup #1'!H171/'Total Distance Tables Sup #1'!$B171)</f>
        <v>20.175031018668079</v>
      </c>
      <c r="I138" s="1">
        <f ca="1">$B138*('Updated Population'!I$136/'Updated Population'!$B$136)*('Total Distance Tables Sup #1'!I171/'Total Distance Tables Sup #1'!$B171)</f>
        <v>20.376350438125691</v>
      </c>
      <c r="J138" s="1">
        <f ca="1">$B138*('Updated Population'!J$136/'Updated Population'!$B$136)*('Total Distance Tables Sup #1'!J171/'Total Distance Tables Sup #1'!$B171)</f>
        <v>20.514170088637144</v>
      </c>
      <c r="K138" s="1">
        <f ca="1">$B138*('Updated Population'!K$136/'Updated Population'!$B$136)*('Total Distance Tables Sup #1'!K171/'Total Distance Tables Sup #1'!$B171)</f>
        <v>20.608537447761488</v>
      </c>
    </row>
    <row r="139" spans="1:11" x14ac:dyDescent="0.25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$B139*('Updated Population'!C$136/'Updated Population'!$B$136)*('Total Distance Tables Sup #1'!C172/'Total Distance Tables Sup #1'!$B172)</f>
        <v>1310.5005328872869</v>
      </c>
      <c r="D139" s="4">
        <f ca="1">$B139*('Updated Population'!D$136/'Updated Population'!$B$136)*('Total Distance Tables Sup #1'!D172/'Total Distance Tables Sup #1'!$B172)</f>
        <v>1370.8528694290023</v>
      </c>
      <c r="E139" s="4">
        <f ca="1">$B139*('Updated Population'!E$136/'Updated Population'!$B$136)*('Total Distance Tables Sup #1'!E172/'Total Distance Tables Sup #1'!$B172)</f>
        <v>1417.2476431279815</v>
      </c>
      <c r="F139" s="4">
        <f ca="1">$B139*('Updated Population'!F$136/'Updated Population'!$B$136)*('Total Distance Tables Sup #1'!F172/'Total Distance Tables Sup #1'!$B172)</f>
        <v>1457.1530387241826</v>
      </c>
      <c r="G139" s="4">
        <f ca="1">$B139*('Updated Population'!G$136/'Updated Population'!$B$136)*('Total Distance Tables Sup #1'!G172/'Total Distance Tables Sup #1'!$B172)</f>
        <v>1482.2814144712204</v>
      </c>
      <c r="H139" s="4">
        <f ca="1">$B139*('Updated Population'!H$136/'Updated Population'!$B$136)*('Total Distance Tables Sup #1'!H172/'Total Distance Tables Sup #1'!$B172)</f>
        <v>1500.6572772992288</v>
      </c>
      <c r="I139" s="1">
        <f ca="1">$B139*('Updated Population'!I$136/'Updated Population'!$B$136)*('Total Distance Tables Sup #1'!I172/'Total Distance Tables Sup #1'!$B172)</f>
        <v>1515.6317995981622</v>
      </c>
      <c r="J139" s="1">
        <f ca="1">$B139*('Updated Population'!J$136/'Updated Population'!$B$136)*('Total Distance Tables Sup #1'!J172/'Total Distance Tables Sup #1'!$B172)</f>
        <v>1525.8830880003197</v>
      </c>
      <c r="K139" s="1">
        <f ca="1">$B139*('Updated Population'!K$136/'Updated Population'!$B$136)*('Total Distance Tables Sup #1'!K172/'Total Distance Tables Sup #1'!$B172)</f>
        <v>1532.9023121134539</v>
      </c>
    </row>
    <row r="140" spans="1:11" x14ac:dyDescent="0.25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$B140*('Updated Population'!C$136/'Updated Population'!$B$136)*('Total Distance Tables Sup #1'!C173/'Total Distance Tables Sup #1'!$B173)</f>
        <v>896.35522186813967</v>
      </c>
      <c r="D140" s="4">
        <f ca="1">$B140*('Updated Population'!D$136/'Updated Population'!$B$136)*('Total Distance Tables Sup #1'!D173/'Total Distance Tables Sup #1'!$B173)</f>
        <v>916.27810145209435</v>
      </c>
      <c r="E140" s="4">
        <f ca="1">$B140*('Updated Population'!E$136/'Updated Population'!$B$136)*('Total Distance Tables Sup #1'!E173/'Total Distance Tables Sup #1'!$B173)</f>
        <v>926.87292824577048</v>
      </c>
      <c r="F140" s="4">
        <f ca="1">$B140*('Updated Population'!F$136/'Updated Population'!$B$136)*('Total Distance Tables Sup #1'!F173/'Total Distance Tables Sup #1'!$B173)</f>
        <v>931.0637476665114</v>
      </c>
      <c r="G140" s="4">
        <f ca="1">$B140*('Updated Population'!G$136/'Updated Population'!$B$136)*('Total Distance Tables Sup #1'!G173/'Total Distance Tables Sup #1'!$B173)</f>
        <v>929.56662202978089</v>
      </c>
      <c r="H140" s="4">
        <f ca="1">$B140*('Updated Population'!H$136/'Updated Population'!$B$136)*('Total Distance Tables Sup #1'!H173/'Total Distance Tables Sup #1'!$B173)</f>
        <v>923.63126154939721</v>
      </c>
      <c r="I140" s="1">
        <f ca="1">$B140*('Updated Population'!I$136/'Updated Population'!$B$136)*('Total Distance Tables Sup #1'!I173/'Total Distance Tables Sup #1'!$B173)</f>
        <v>932.84784759558318</v>
      </c>
      <c r="J140" s="1">
        <f ca="1">$B140*('Updated Population'!J$136/'Updated Population'!$B$136)*('Total Distance Tables Sup #1'!J173/'Total Distance Tables Sup #1'!$B173)</f>
        <v>939.15735649053352</v>
      </c>
      <c r="K140" s="1">
        <f ca="1">$B140*('Updated Population'!K$136/'Updated Population'!$B$136)*('Total Distance Tables Sup #1'!K173/'Total Distance Tables Sup #1'!$B173)</f>
        <v>943.47757998245572</v>
      </c>
    </row>
    <row r="141" spans="1:11" x14ac:dyDescent="0.25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$B141*('Updated Population'!C$136/'Updated Population'!$B$136)*('Total Distance Tables Sup #1'!C174/'Total Distance Tables Sup #1'!$B174)</f>
        <v>8.385048556157539</v>
      </c>
      <c r="D141" s="4">
        <f ca="1">$B141*('Updated Population'!D$136/'Updated Population'!$B$136)*('Total Distance Tables Sup #1'!D174/'Total Distance Tables Sup #1'!$B174)</f>
        <v>9.2578326329663323</v>
      </c>
      <c r="E141" s="4">
        <f ca="1">$B141*('Updated Population'!E$136/'Updated Population'!$B$136)*('Total Distance Tables Sup #1'!E174/'Total Distance Tables Sup #1'!$B174)</f>
        <v>9.9934525232569378</v>
      </c>
      <c r="F141" s="4">
        <f ca="1">$B141*('Updated Population'!F$136/'Updated Population'!$B$136)*('Total Distance Tables Sup #1'!F174/'Total Distance Tables Sup #1'!$B174)</f>
        <v>10.618746510701014</v>
      </c>
      <c r="G141" s="4">
        <f ca="1">$B141*('Updated Population'!G$136/'Updated Population'!$B$136)*('Total Distance Tables Sup #1'!G174/'Total Distance Tables Sup #1'!$B174)</f>
        <v>11.076153375319803</v>
      </c>
      <c r="H141" s="4">
        <f ca="1">$B141*('Updated Population'!H$136/'Updated Population'!$B$136)*('Total Distance Tables Sup #1'!H174/'Total Distance Tables Sup #1'!$B174)</f>
        <v>11.491596943165691</v>
      </c>
      <c r="I141" s="1">
        <f ca="1">$B141*('Updated Population'!I$136/'Updated Population'!$B$136)*('Total Distance Tables Sup #1'!I174/'Total Distance Tables Sup #1'!$B174)</f>
        <v>11.60626747938932</v>
      </c>
      <c r="J141" s="1">
        <f ca="1">$B141*('Updated Population'!J$136/'Updated Population'!$B$136)*('Total Distance Tables Sup #1'!J174/'Total Distance Tables Sup #1'!$B174)</f>
        <v>11.684768864247665</v>
      </c>
      <c r="K141" s="1">
        <f ca="1">$B141*('Updated Population'!K$136/'Updated Population'!$B$136)*('Total Distance Tables Sup #1'!K174/'Total Distance Tables Sup #1'!$B174)</f>
        <v>11.738520040870123</v>
      </c>
    </row>
    <row r="142" spans="1:11" x14ac:dyDescent="0.25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$B142*('Updated Population'!C$136/'Updated Population'!$B$136)*('Total Distance Tables Sup #1'!C175/'Total Distance Tables Sup #1'!$B175)</f>
        <v>20.141942865411185</v>
      </c>
      <c r="D142" s="4">
        <f ca="1">$B142*('Updated Population'!D$136/'Updated Population'!$B$136)*('Total Distance Tables Sup #1'!D175/'Total Distance Tables Sup #1'!$B175)</f>
        <v>20.871405968926851</v>
      </c>
      <c r="E142" s="4">
        <f ca="1">$B142*('Updated Population'!E$136/'Updated Population'!$B$136)*('Total Distance Tables Sup #1'!E175/'Total Distance Tables Sup #1'!$B175)</f>
        <v>21.067187887411279</v>
      </c>
      <c r="F142" s="4">
        <f ca="1">$B142*('Updated Population'!F$136/'Updated Population'!$B$136)*('Total Distance Tables Sup #1'!F175/'Total Distance Tables Sup #1'!$B175)</f>
        <v>21.047030400325845</v>
      </c>
      <c r="G142" s="4">
        <f ca="1">$B142*('Updated Population'!G$136/'Updated Population'!$B$136)*('Total Distance Tables Sup #1'!G175/'Total Distance Tables Sup #1'!$B175)</f>
        <v>20.660940151056128</v>
      </c>
      <c r="H142" s="4">
        <f ca="1">$B142*('Updated Population'!H$136/'Updated Population'!$B$136)*('Total Distance Tables Sup #1'!H175/'Total Distance Tables Sup #1'!$B175)</f>
        <v>20.172809316886838</v>
      </c>
      <c r="I142" s="1">
        <f ca="1">$B142*('Updated Population'!I$136/'Updated Population'!$B$136)*('Total Distance Tables Sup #1'!I175/'Total Distance Tables Sup #1'!$B175)</f>
        <v>20.374106566776909</v>
      </c>
      <c r="J142" s="1">
        <f ca="1">$B142*('Updated Population'!J$136/'Updated Population'!$B$136)*('Total Distance Tables Sup #1'!J175/'Total Distance Tables Sup #1'!$B175)</f>
        <v>20.511911040401504</v>
      </c>
      <c r="K142" s="1">
        <f ca="1">$B142*('Updated Population'!K$136/'Updated Population'!$B$136)*('Total Distance Tables Sup #1'!K175/'Total Distance Tables Sup #1'!$B175)</f>
        <v>20.606268007664266</v>
      </c>
    </row>
    <row r="143" spans="1:11" x14ac:dyDescent="0.25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Distance Tables Sup #1'!C176/'Total Distance Tables Sup #1'!$B176)</f>
        <v>0</v>
      </c>
      <c r="D143" s="4">
        <f ca="1">$B143*('Updated Population'!D$136/'Updated Population'!$B$136)*('Total Distance Tables Sup #1'!D176/'Total Distance Tables Sup #1'!$B176)</f>
        <v>0</v>
      </c>
      <c r="E143" s="4">
        <f ca="1">$B143*('Updated Population'!E$136/'Updated Population'!$B$136)*('Total Distance Tables Sup #1'!E176/'Total Distance Tables Sup #1'!$B176)</f>
        <v>0</v>
      </c>
      <c r="F143" s="4">
        <f ca="1">$B143*('Updated Population'!F$136/'Updated Population'!$B$136)*('Total Distance Tables Sup #1'!F176/'Total Distance Tables Sup #1'!$B176)</f>
        <v>0</v>
      </c>
      <c r="G143" s="4">
        <f ca="1">$B143*('Updated Population'!G$136/'Updated Population'!$B$136)*('Total Distance Tables Sup #1'!G176/'Total Distance Tables Sup #1'!$B176)</f>
        <v>0</v>
      </c>
      <c r="H143" s="4">
        <f ca="1">$B143*('Updated Population'!H$136/'Updated Population'!$B$136)*('Total Distance Tables Sup #1'!H176/'Total Distance Tables Sup #1'!$B176)</f>
        <v>0</v>
      </c>
      <c r="I143" s="1">
        <f ca="1">$B143*('Updated Population'!I$136/'Updated Population'!$B$136)*('Total Distance Tables Sup #1'!I176/'Total Distance Tables Sup #1'!$B176)</f>
        <v>0</v>
      </c>
      <c r="J143" s="1">
        <f ca="1">$B143*('Updated Population'!J$136/'Updated Population'!$B$136)*('Total Distance Tables Sup #1'!J176/'Total Distance Tables Sup #1'!$B176)</f>
        <v>0</v>
      </c>
      <c r="K143" s="1">
        <f ca="1">$B143*('Updated Population'!K$136/'Updated Population'!$B$136)*('Total Distance Tables Sup #1'!K176/'Total Distance Tables Sup #1'!$B176)</f>
        <v>0</v>
      </c>
    </row>
    <row r="144" spans="1:11" x14ac:dyDescent="0.25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$B144*('Updated Population'!C$136/'Updated Population'!$B$136)*('Total Distance Tables Sup #1'!C177/'Total Distance Tables Sup #1'!$B177)</f>
        <v>26.55052557352499</v>
      </c>
      <c r="D144" s="4">
        <f ca="1">$B144*('Updated Population'!D$136/'Updated Population'!$B$136)*('Total Distance Tables Sup #1'!D177/'Total Distance Tables Sup #1'!$B177)</f>
        <v>25.893743780389393</v>
      </c>
      <c r="E144" s="4">
        <f ca="1">$B144*('Updated Population'!E$136/'Updated Population'!$B$136)*('Total Distance Tables Sup #1'!E177/'Total Distance Tables Sup #1'!$B177)</f>
        <v>25.300288906716531</v>
      </c>
      <c r="F144" s="4">
        <f ca="1">$B144*('Updated Population'!F$136/'Updated Population'!$B$136)*('Total Distance Tables Sup #1'!F177/'Total Distance Tables Sup #1'!$B177)</f>
        <v>24.320581113846874</v>
      </c>
      <c r="G144" s="4">
        <f ca="1">$B144*('Updated Population'!G$136/'Updated Population'!$B$136)*('Total Distance Tables Sup #1'!G177/'Total Distance Tables Sup #1'!$B177)</f>
        <v>23.659089935007547</v>
      </c>
      <c r="H144" s="4">
        <f ca="1">$B144*('Updated Population'!H$136/'Updated Population'!$B$136)*('Total Distance Tables Sup #1'!H177/'Total Distance Tables Sup #1'!$B177)</f>
        <v>22.931592815099666</v>
      </c>
      <c r="I144" s="1">
        <f ca="1">$B144*('Updated Population'!I$136/'Updated Population'!$B$136)*('Total Distance Tables Sup #1'!I177/'Total Distance Tables Sup #1'!$B177)</f>
        <v>23.160418978910887</v>
      </c>
      <c r="J144" s="1">
        <f ca="1">$B144*('Updated Population'!J$136/'Updated Population'!$B$136)*('Total Distance Tables Sup #1'!J177/'Total Distance Tables Sup #1'!$B177)</f>
        <v>23.317069251444472</v>
      </c>
      <c r="K144" s="1">
        <f ca="1">$B144*('Updated Population'!K$136/'Updated Population'!$B$136)*('Total Distance Tables Sup #1'!K177/'Total Distance Tables Sup #1'!$B177)</f>
        <v>23.424330244127631</v>
      </c>
    </row>
    <row r="145" spans="1:11" x14ac:dyDescent="0.25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Distance Tables Sup #1'!C178/'Total Distance Tables Sup #1'!$B178)</f>
        <v>0</v>
      </c>
      <c r="D145" s="4">
        <f ca="1">$B145*('Updated Population'!D$136/'Updated Population'!$B$136)*('Total Distance Tables Sup #1'!D178/'Total Distance Tables Sup #1'!$B178)</f>
        <v>0</v>
      </c>
      <c r="E145" s="4">
        <f ca="1">$B145*('Updated Population'!E$136/'Updated Population'!$B$136)*('Total Distance Tables Sup #1'!E178/'Total Distance Tables Sup #1'!$B178)</f>
        <v>0</v>
      </c>
      <c r="F145" s="4">
        <f ca="1">$B145*('Updated Population'!F$136/'Updated Population'!$B$136)*('Total Distance Tables Sup #1'!F178/'Total Distance Tables Sup #1'!$B178)</f>
        <v>0</v>
      </c>
      <c r="G145" s="4">
        <f ca="1">$B145*('Updated Population'!G$136/'Updated Population'!$B$136)*('Total Distance Tables Sup #1'!G178/'Total Distance Tables Sup #1'!$B178)</f>
        <v>0</v>
      </c>
      <c r="H145" s="4">
        <f ca="1">$B145*('Updated Population'!H$136/'Updated Population'!$B$136)*('Total Distance Tables Sup #1'!H178/'Total Distance Tables Sup #1'!$B178)</f>
        <v>0</v>
      </c>
      <c r="I145" s="1">
        <f ca="1">$B145*('Updated Population'!I$136/'Updated Population'!$B$136)*('Total Distance Tables Sup #1'!I178/'Total Distance Tables Sup #1'!$B178)</f>
        <v>0</v>
      </c>
      <c r="J145" s="1">
        <f ca="1">$B145*('Updated Population'!J$136/'Updated Population'!$B$136)*('Total Distance Tables Sup #1'!J178/'Total Distance Tables Sup #1'!$B178)</f>
        <v>0</v>
      </c>
      <c r="K145" s="1">
        <f ca="1">$B145*('Updated Population'!K$136/'Updated Population'!$B$136)*('Total Distance Tables Sup #1'!K178/'Total Distance Tables Sup #1'!$B178)</f>
        <v>0</v>
      </c>
    </row>
    <row r="146" spans="1:11" x14ac:dyDescent="0.25">
      <c r="A146" t="str">
        <f ca="1">OFFSET(Otago_Reference,49,2)</f>
        <v>Other Household Travel</v>
      </c>
      <c r="B146" s="4">
        <f ca="1">OFFSET(Otago_Reference,49,6)</f>
        <v>0</v>
      </c>
      <c r="C146" s="4">
        <f ca="1">$B146*('Updated Population'!C$136/'Updated Population'!$B$136)*('Total Distance Tables Sup #1'!C179/'Total Distance Tables Sup #1'!$B179)</f>
        <v>0</v>
      </c>
      <c r="D146" s="4">
        <f ca="1">$B146*('Updated Population'!D$136/'Updated Population'!$B$136)*('Total Distance Tables Sup #1'!D179/'Total Distance Tables Sup #1'!$B179)</f>
        <v>0</v>
      </c>
      <c r="E146" s="4">
        <f ca="1">$B146*('Updated Population'!E$136/'Updated Population'!$B$136)*('Total Distance Tables Sup #1'!E179/'Total Distance Tables Sup #1'!$B179)</f>
        <v>0</v>
      </c>
      <c r="F146" s="4">
        <f ca="1">$B146*('Updated Population'!F$136/'Updated Population'!$B$136)*('Total Distance Tables Sup #1'!F179/'Total Distance Tables Sup #1'!$B179)</f>
        <v>0</v>
      </c>
      <c r="G146" s="4">
        <f ca="1">$B146*('Updated Population'!G$136/'Updated Population'!$B$136)*('Total Distance Tables Sup #1'!G179/'Total Distance Tables Sup #1'!$B179)</f>
        <v>0</v>
      </c>
      <c r="H146" s="4">
        <f ca="1">$B146*('Updated Population'!H$136/'Updated Population'!$B$136)*('Total Distance Tables Sup #1'!H179/'Total Distance Tables Sup #1'!$B179)</f>
        <v>0</v>
      </c>
      <c r="I146" s="1">
        <f ca="1">$B146*('Updated Population'!I$136/'Updated Population'!$B$136)*('Total Distance Tables Sup #1'!I179/'Total Distance Tables Sup #1'!$B179)</f>
        <v>0</v>
      </c>
      <c r="J146" s="1">
        <f ca="1">$B146*('Updated Population'!J$136/'Updated Population'!$B$136)*('Total Distance Tables Sup #1'!J179/'Total Distance Tables Sup #1'!$B179)</f>
        <v>0</v>
      </c>
      <c r="K146" s="1">
        <f ca="1">$B146*('Updated Population'!K$136/'Updated Population'!$B$136)*('Total Distance Tables Sup #1'!K179/'Total Distance Tables Sup #1'!$B179)</f>
        <v>0</v>
      </c>
    </row>
    <row r="147" spans="1:11" x14ac:dyDescent="0.25">
      <c r="A147" t="str">
        <f ca="1">OFFSET(Southland_Reference,0,0)</f>
        <v>15 SOUTHLAND</v>
      </c>
      <c r="I147" s="1"/>
      <c r="J147" s="1"/>
      <c r="K147" s="1"/>
    </row>
    <row r="148" spans="1:11" x14ac:dyDescent="0.25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$B148*('Updated Population'!C$147/'Updated Population'!$B$147)*('Total Distance Tables Sup #1'!C170/'Total Distance Tables Sup #1'!$B170)</f>
        <v>9.0064189301441964</v>
      </c>
      <c r="D148" s="4">
        <f ca="1">$B148*('Updated Population'!D$147/'Updated Population'!$B$147)*('Total Distance Tables Sup #1'!D170/'Total Distance Tables Sup #1'!$B170)</f>
        <v>8.9212257088721358</v>
      </c>
      <c r="E148" s="4">
        <f ca="1">$B148*('Updated Population'!E$147/'Updated Population'!$B$147)*('Total Distance Tables Sup #1'!E170/'Total Distance Tables Sup #1'!$B170)</f>
        <v>8.7426998915988303</v>
      </c>
      <c r="F148" s="4">
        <f ca="1">$B148*('Updated Population'!F$147/'Updated Population'!$B$147)*('Total Distance Tables Sup #1'!F170/'Total Distance Tables Sup #1'!$B170)</f>
        <v>8.4899127219280626</v>
      </c>
      <c r="G148" s="4">
        <f ca="1">$B148*('Updated Population'!G$147/'Updated Population'!$B$147)*('Total Distance Tables Sup #1'!G170/'Total Distance Tables Sup #1'!$B170)</f>
        <v>8.2238306568891471</v>
      </c>
      <c r="H148" s="4">
        <f ca="1">$B148*('Updated Population'!H$147/'Updated Population'!$B$147)*('Total Distance Tables Sup #1'!H170/'Total Distance Tables Sup #1'!$B170)</f>
        <v>7.9390018397281779</v>
      </c>
      <c r="I148" s="1">
        <f ca="1">$B148*('Updated Population'!I$147/'Updated Population'!$B$147)*('Total Distance Tables Sup #1'!I170/'Total Distance Tables Sup #1'!$B170)</f>
        <v>7.8326541485160401</v>
      </c>
      <c r="J148" s="1">
        <f ca="1">$B148*('Updated Population'!J$147/'Updated Population'!$B$147)*('Total Distance Tables Sup #1'!J170/'Total Distance Tables Sup #1'!$B170)</f>
        <v>7.7031323489629049</v>
      </c>
      <c r="K148" s="1">
        <f ca="1">$B148*('Updated Population'!K$147/'Updated Population'!$B$147)*('Total Distance Tables Sup #1'!K170/'Total Distance Tables Sup #1'!$B170)</f>
        <v>7.5594715578814302</v>
      </c>
    </row>
    <row r="149" spans="1:11" x14ac:dyDescent="0.25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$B149*('Updated Population'!C$147/'Updated Population'!$B$147)*('Total Distance Tables Sup #1'!C171/'Total Distance Tables Sup #1'!$B171)</f>
        <v>7.88658145945233</v>
      </c>
      <c r="D149" s="4">
        <f ca="1">$B149*('Updated Population'!D$147/'Updated Population'!$B$147)*('Total Distance Tables Sup #1'!D171/'Total Distance Tables Sup #1'!$B171)</f>
        <v>7.8739412958698853</v>
      </c>
      <c r="E149" s="4">
        <f ca="1">$B149*('Updated Population'!E$147/'Updated Population'!$B$147)*('Total Distance Tables Sup #1'!E171/'Total Distance Tables Sup #1'!$B171)</f>
        <v>7.7367551774678409</v>
      </c>
      <c r="F149" s="4">
        <f ca="1">$B149*('Updated Population'!F$147/'Updated Population'!$B$147)*('Total Distance Tables Sup #1'!F171/'Total Distance Tables Sup #1'!$B171)</f>
        <v>7.6996021654291864</v>
      </c>
      <c r="G149" s="4">
        <f ca="1">$B149*('Updated Population'!G$147/'Updated Population'!$B$147)*('Total Distance Tables Sup #1'!G171/'Total Distance Tables Sup #1'!$B171)</f>
        <v>7.768939992701184</v>
      </c>
      <c r="H149" s="4">
        <f ca="1">$B149*('Updated Population'!H$147/'Updated Population'!$B$147)*('Total Distance Tables Sup #1'!H171/'Total Distance Tables Sup #1'!$B171)</f>
        <v>7.834735855884257</v>
      </c>
      <c r="I149" s="1">
        <f ca="1">$B149*('Updated Population'!I$147/'Updated Population'!$B$147)*('Total Distance Tables Sup #1'!I171/'Total Distance Tables Sup #1'!$B171)</f>
        <v>7.7297848700612368</v>
      </c>
      <c r="J149" s="1">
        <f ca="1">$B149*('Updated Population'!J$147/'Updated Population'!$B$147)*('Total Distance Tables Sup #1'!J171/'Total Distance Tables Sup #1'!$B171)</f>
        <v>7.601964130431285</v>
      </c>
      <c r="K149" s="1">
        <f ca="1">$B149*('Updated Population'!K$147/'Updated Population'!$B$147)*('Total Distance Tables Sup #1'!K171/'Total Distance Tables Sup #1'!$B171)</f>
        <v>7.4601900921210413</v>
      </c>
    </row>
    <row r="150" spans="1:11" x14ac:dyDescent="0.25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$B150*('Updated Population'!C$147/'Updated Population'!$B$147)*('Total Distance Tables Sup #1'!C172/'Total Distance Tables Sup #1'!$B172)</f>
        <v>690.88542708010561</v>
      </c>
      <c r="D150" s="4">
        <f ca="1">$B150*('Updated Population'!D$147/'Updated Population'!$B$147)*('Total Distance Tables Sup #1'!D172/'Total Distance Tables Sup #1'!$B172)</f>
        <v>697.74063422138727</v>
      </c>
      <c r="E150" s="4">
        <f ca="1">$B150*('Updated Population'!E$147/'Updated Population'!$B$147)*('Total Distance Tables Sup #1'!E172/'Total Distance Tables Sup #1'!$B172)</f>
        <v>704.94468996876356</v>
      </c>
      <c r="F150" s="4">
        <f ca="1">$B150*('Updated Population'!F$147/'Updated Population'!$B$147)*('Total Distance Tables Sup #1'!F172/'Total Distance Tables Sup #1'!$B172)</f>
        <v>708.4472571254629</v>
      </c>
      <c r="G150" s="4">
        <f ca="1">$B150*('Updated Population'!G$147/'Updated Population'!$B$147)*('Total Distance Tables Sup #1'!G172/'Total Distance Tables Sup #1'!$B172)</f>
        <v>703.89279052392101</v>
      </c>
      <c r="H150" s="4">
        <f ca="1">$B150*('Updated Population'!H$147/'Updated Population'!$B$147)*('Total Distance Tables Sup #1'!H172/'Total Distance Tables Sup #1'!$B172)</f>
        <v>696.12660223366981</v>
      </c>
      <c r="I150" s="1">
        <f ca="1">$B150*('Updated Population'!I$147/'Updated Population'!$B$147)*('Total Distance Tables Sup #1'!I172/'Total Distance Tables Sup #1'!$B172)</f>
        <v>686.80156888143722</v>
      </c>
      <c r="J150" s="1">
        <f ca="1">$B150*('Updated Population'!J$147/'Updated Population'!$B$147)*('Total Distance Tables Sup #1'!J172/'Total Distance Tables Sup #1'!$B172)</f>
        <v>675.44452777496963</v>
      </c>
      <c r="K150" s="1">
        <f ca="1">$B150*('Updated Population'!K$147/'Updated Population'!$B$147)*('Total Distance Tables Sup #1'!K172/'Total Distance Tables Sup #1'!$B172)</f>
        <v>662.8477176987584</v>
      </c>
    </row>
    <row r="151" spans="1:11" x14ac:dyDescent="0.25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$B151*('Updated Population'!C$147/'Updated Population'!$B$147)*('Total Distance Tables Sup #1'!C173/'Total Distance Tables Sup #1'!$B173)</f>
        <v>383.92697466774518</v>
      </c>
      <c r="D151" s="4">
        <f ca="1">$B151*('Updated Population'!D$147/'Updated Population'!$B$147)*('Total Distance Tables Sup #1'!D173/'Total Distance Tables Sup #1'!$B173)</f>
        <v>378.90481224157935</v>
      </c>
      <c r="E151" s="4">
        <f ca="1">$B151*('Updated Population'!E$147/'Updated Population'!$B$147)*('Total Distance Tables Sup #1'!E173/'Total Distance Tables Sup #1'!$B173)</f>
        <v>374.56667969381482</v>
      </c>
      <c r="F151" s="4">
        <f ca="1">$B151*('Updated Population'!F$147/'Updated Population'!$B$147)*('Total Distance Tables Sup #1'!F173/'Total Distance Tables Sup #1'!$B173)</f>
        <v>367.77433381509553</v>
      </c>
      <c r="G151" s="4">
        <f ca="1">$B151*('Updated Population'!G$147/'Updated Population'!$B$147)*('Total Distance Tables Sup #1'!G173/'Total Distance Tables Sup #1'!$B173)</f>
        <v>358.63776419915791</v>
      </c>
      <c r="H151" s="4">
        <f ca="1">$B151*('Updated Population'!H$147/'Updated Population'!$B$147)*('Total Distance Tables Sup #1'!H173/'Total Distance Tables Sup #1'!$B173)</f>
        <v>348.10076614221202</v>
      </c>
      <c r="I151" s="1">
        <f ca="1">$B151*('Updated Population'!I$147/'Updated Population'!$B$147)*('Total Distance Tables Sup #1'!I173/'Total Distance Tables Sup #1'!$B173)</f>
        <v>343.43774759961042</v>
      </c>
      <c r="J151" s="1">
        <f ca="1">$B151*('Updated Population'!J$147/'Updated Population'!$B$147)*('Total Distance Tables Sup #1'!J173/'Total Distance Tables Sup #1'!$B173)</f>
        <v>337.75861581871794</v>
      </c>
      <c r="K151" s="1">
        <f ca="1">$B151*('Updated Population'!K$147/'Updated Population'!$B$147)*('Total Distance Tables Sup #1'!K173/'Total Distance Tables Sup #1'!$B173)</f>
        <v>331.45953282949296</v>
      </c>
    </row>
    <row r="152" spans="1:11" x14ac:dyDescent="0.25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$B152*('Updated Population'!C$147/'Updated Population'!$B$147)*('Total Distance Tables Sup #1'!C174/'Total Distance Tables Sup #1'!$B174)</f>
        <v>1.3662930417403005</v>
      </c>
      <c r="D152" s="4">
        <f ca="1">$B152*('Updated Population'!D$147/'Updated Population'!$B$147)*('Total Distance Tables Sup #1'!D174/'Total Distance Tables Sup #1'!$B174)</f>
        <v>1.456404257395316</v>
      </c>
      <c r="E152" s="4">
        <f ca="1">$B152*('Updated Population'!E$147/'Updated Population'!$B$147)*('Total Distance Tables Sup #1'!E174/'Total Distance Tables Sup #1'!$B174)</f>
        <v>1.536364622072355</v>
      </c>
      <c r="F152" s="4">
        <f ca="1">$B152*('Updated Population'!F$147/'Updated Population'!$B$147)*('Total Distance Tables Sup #1'!F174/'Total Distance Tables Sup #1'!$B174)</f>
        <v>1.5956772557906658</v>
      </c>
      <c r="G152" s="4">
        <f ca="1">$B152*('Updated Population'!G$147/'Updated Population'!$B$147)*('Total Distance Tables Sup #1'!G174/'Total Distance Tables Sup #1'!$B174)</f>
        <v>1.6256769916141245</v>
      </c>
      <c r="H152" s="4">
        <f ca="1">$B152*('Updated Population'!H$147/'Updated Population'!$B$147)*('Total Distance Tables Sup #1'!H174/'Total Distance Tables Sup #1'!$B174)</f>
        <v>1.6476180510998506</v>
      </c>
      <c r="I152" s="1">
        <f ca="1">$B152*('Updated Population'!I$147/'Updated Population'!$B$147)*('Total Distance Tables Sup #1'!I174/'Total Distance Tables Sup #1'!$B174)</f>
        <v>1.6255472191147669</v>
      </c>
      <c r="J152" s="1">
        <f ca="1">$B152*('Updated Population'!J$147/'Updated Population'!$B$147)*('Total Distance Tables Sup #1'!J174/'Total Distance Tables Sup #1'!$B174)</f>
        <v>1.5986669564239613</v>
      </c>
      <c r="K152" s="1">
        <f ca="1">$B152*('Updated Population'!K$147/'Updated Population'!$B$147)*('Total Distance Tables Sup #1'!K174/'Total Distance Tables Sup #1'!$B174)</f>
        <v>1.5688523629272522</v>
      </c>
    </row>
    <row r="153" spans="1:11" x14ac:dyDescent="0.25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$B153*('Updated Population'!C$147/'Updated Population'!$B$147)*('Total Distance Tables Sup #1'!C175/'Total Distance Tables Sup #1'!$B175)</f>
        <v>19.686629023503144</v>
      </c>
      <c r="D153" s="4">
        <f ca="1">$B153*('Updated Population'!D$147/'Updated Population'!$B$147)*('Total Distance Tables Sup #1'!D175/'Total Distance Tables Sup #1'!$B175)</f>
        <v>19.695002638288393</v>
      </c>
      <c r="E153" s="4">
        <f ca="1">$B153*('Updated Population'!E$147/'Updated Population'!$B$147)*('Total Distance Tables Sup #1'!E175/'Total Distance Tables Sup #1'!$B175)</f>
        <v>19.427505300311516</v>
      </c>
      <c r="F153" s="4">
        <f ca="1">$B153*('Updated Population'!F$147/'Updated Population'!$B$147)*('Total Distance Tables Sup #1'!F175/'Total Distance Tables Sup #1'!$B175)</f>
        <v>18.971180351753741</v>
      </c>
      <c r="G153" s="4">
        <f ca="1">$B153*('Updated Population'!G$147/'Updated Population'!$B$147)*('Total Distance Tables Sup #1'!G175/'Total Distance Tables Sup #1'!$B175)</f>
        <v>18.189765530649431</v>
      </c>
      <c r="H153" s="4">
        <f ca="1">$B153*('Updated Population'!H$147/'Updated Population'!$B$147)*('Total Distance Tables Sup #1'!H175/'Total Distance Tables Sup #1'!$B175)</f>
        <v>17.348992637496345</v>
      </c>
      <c r="I153" s="1">
        <f ca="1">$B153*('Updated Population'!I$147/'Updated Population'!$B$147)*('Total Distance Tables Sup #1'!I175/'Total Distance Tables Sup #1'!$B175)</f>
        <v>17.116592475725216</v>
      </c>
      <c r="J153" s="1">
        <f ca="1">$B153*('Updated Population'!J$147/'Updated Population'!$B$147)*('Total Distance Tables Sup #1'!J175/'Total Distance Tables Sup #1'!$B175)</f>
        <v>16.833550250492586</v>
      </c>
      <c r="K153" s="1">
        <f ca="1">$B153*('Updated Population'!K$147/'Updated Population'!$B$147)*('Total Distance Tables Sup #1'!K175/'Total Distance Tables Sup #1'!$B175)</f>
        <v>16.519610279563604</v>
      </c>
    </row>
    <row r="154" spans="1:11" x14ac:dyDescent="0.25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Distance Tables Sup #1'!C176/'Total Distance Tables Sup #1'!$B176)</f>
        <v>0</v>
      </c>
      <c r="D154" s="4">
        <f ca="1">$B154*('Updated Population'!D$147/'Updated Population'!$B$147)*('Total Distance Tables Sup #1'!D176/'Total Distance Tables Sup #1'!$B176)</f>
        <v>0</v>
      </c>
      <c r="E154" s="4">
        <f ca="1">$B154*('Updated Population'!E$147/'Updated Population'!$B$147)*('Total Distance Tables Sup #1'!E176/'Total Distance Tables Sup #1'!$B176)</f>
        <v>0</v>
      </c>
      <c r="F154" s="4">
        <f ca="1">$B154*('Updated Population'!F$147/'Updated Population'!$B$147)*('Total Distance Tables Sup #1'!F176/'Total Distance Tables Sup #1'!$B176)</f>
        <v>0</v>
      </c>
      <c r="G154" s="4">
        <f ca="1">$B154*('Updated Population'!G$147/'Updated Population'!$B$147)*('Total Distance Tables Sup #1'!G176/'Total Distance Tables Sup #1'!$B176)</f>
        <v>0</v>
      </c>
      <c r="H154" s="4">
        <f ca="1">$B154*('Updated Population'!H$147/'Updated Population'!$B$147)*('Total Distance Tables Sup #1'!H176/'Total Distance Tables Sup #1'!$B176)</f>
        <v>0</v>
      </c>
      <c r="I154" s="1">
        <f ca="1">$B154*('Updated Population'!I$147/'Updated Population'!$B$147)*('Total Distance Tables Sup #1'!I176/'Total Distance Tables Sup #1'!$B176)</f>
        <v>0</v>
      </c>
      <c r="J154" s="1">
        <f ca="1">$B154*('Updated Population'!J$147/'Updated Population'!$B$147)*('Total Distance Tables Sup #1'!J176/'Total Distance Tables Sup #1'!$B176)</f>
        <v>0</v>
      </c>
      <c r="K154" s="1">
        <f ca="1">$B154*('Updated Population'!K$147/'Updated Population'!$B$147)*('Total Distance Tables Sup #1'!K176/'Total Distance Tables Sup #1'!$B176)</f>
        <v>0</v>
      </c>
    </row>
    <row r="155" spans="1:11" x14ac:dyDescent="0.25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$B155*('Updated Population'!C$147/'Updated Population'!$B$147)*('Total Distance Tables Sup #1'!C177/'Total Distance Tables Sup #1'!$B177)</f>
        <v>28.195998403093057</v>
      </c>
      <c r="D155" s="4">
        <f ca="1">$B155*('Updated Population'!D$147/'Updated Population'!$B$147)*('Total Distance Tables Sup #1'!D177/'Total Distance Tables Sup #1'!$B177)</f>
        <v>26.548717184088318</v>
      </c>
      <c r="E155" s="4">
        <f ca="1">$B155*('Updated Population'!E$147/'Updated Population'!$B$147)*('Total Distance Tables Sup #1'!E177/'Total Distance Tables Sup #1'!$B177)</f>
        <v>25.350136672292148</v>
      </c>
      <c r="F155" s="4">
        <f ca="1">$B155*('Updated Population'!F$147/'Updated Population'!$B$147)*('Total Distance Tables Sup #1'!F177/'Total Distance Tables Sup #1'!$B177)</f>
        <v>23.818907023321987</v>
      </c>
      <c r="G155" s="4">
        <f ca="1">$B155*('Updated Population'!G$147/'Updated Population'!$B$147)*('Total Distance Tables Sup #1'!G177/'Total Distance Tables Sup #1'!$B177)</f>
        <v>22.631816516673371</v>
      </c>
      <c r="H155" s="4">
        <f ca="1">$B155*('Updated Population'!H$147/'Updated Population'!$B$147)*('Total Distance Tables Sup #1'!H177/'Total Distance Tables Sup #1'!$B177)</f>
        <v>21.428237835115205</v>
      </c>
      <c r="I155" s="1">
        <f ca="1">$B155*('Updated Population'!I$147/'Updated Population'!$B$147)*('Total Distance Tables Sup #1'!I177/'Total Distance Tables Sup #1'!$B177)</f>
        <v>21.14119373731624</v>
      </c>
      <c r="J155" s="1">
        <f ca="1">$B155*('Updated Population'!J$147/'Updated Population'!$B$147)*('Total Distance Tables Sup #1'!J177/'Total Distance Tables Sup #1'!$B177)</f>
        <v>20.791600176099518</v>
      </c>
      <c r="K155" s="1">
        <f ca="1">$B155*('Updated Population'!K$147/'Updated Population'!$B$147)*('Total Distance Tables Sup #1'!K177/'Total Distance Tables Sup #1'!$B177)</f>
        <v>20.403843923988603</v>
      </c>
    </row>
    <row r="156" spans="1:11" x14ac:dyDescent="0.25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Distance Tables Sup #1'!C178/'Total Distance Tables Sup #1'!$B178)</f>
        <v>0</v>
      </c>
      <c r="D156" s="4">
        <f ca="1">$B156*('Updated Population'!D$147/'Updated Population'!$B$147)*('Total Distance Tables Sup #1'!D178/'Total Distance Tables Sup #1'!$B178)</f>
        <v>0</v>
      </c>
      <c r="E156" s="4">
        <f ca="1">$B156*('Updated Population'!E$147/'Updated Population'!$B$147)*('Total Distance Tables Sup #1'!E178/'Total Distance Tables Sup #1'!$B178)</f>
        <v>0</v>
      </c>
      <c r="F156" s="4">
        <f ca="1">$B156*('Updated Population'!F$147/'Updated Population'!$B$147)*('Total Distance Tables Sup #1'!F178/'Total Distance Tables Sup #1'!$B178)</f>
        <v>0</v>
      </c>
      <c r="G156" s="4">
        <f ca="1">$B156*('Updated Population'!G$147/'Updated Population'!$B$147)*('Total Distance Tables Sup #1'!G178/'Total Distance Tables Sup #1'!$B178)</f>
        <v>0</v>
      </c>
      <c r="H156" s="4">
        <f ca="1">$B156*('Updated Population'!H$147/'Updated Population'!$B$147)*('Total Distance Tables Sup #1'!H178/'Total Distance Tables Sup #1'!$B178)</f>
        <v>0</v>
      </c>
      <c r="I156" s="1">
        <f ca="1">$B156*('Updated Population'!I$147/'Updated Population'!$B$147)*('Total Distance Tables Sup #1'!I178/'Total Distance Tables Sup #1'!$B178)</f>
        <v>0</v>
      </c>
      <c r="J156" s="1">
        <f ca="1">$B156*('Updated Population'!J$147/'Updated Population'!$B$147)*('Total Distance Tables Sup #1'!J178/'Total Distance Tables Sup #1'!$B178)</f>
        <v>0</v>
      </c>
      <c r="K156" s="1">
        <f ca="1">$B156*('Updated Population'!K$147/'Updated Population'!$B$147)*('Total Distance Tables Sup #1'!K178/'Total Distance Tables Sup #1'!$B178)</f>
        <v>0</v>
      </c>
    </row>
    <row r="157" spans="1:11" x14ac:dyDescent="0.25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$B157*('Updated Population'!C$147/'Updated Population'!$B$147)*('Total Distance Tables Sup #1'!C179/'Total Distance Tables Sup #1'!$B179)</f>
        <v>0</v>
      </c>
      <c r="D157" s="4">
        <f ca="1">$B157*('Updated Population'!D$147/'Updated Population'!$B$147)*('Total Distance Tables Sup #1'!D179/'Total Distance Tables Sup #1'!$B179)</f>
        <v>0</v>
      </c>
      <c r="E157" s="4">
        <f ca="1">$B157*('Updated Population'!E$147/'Updated Population'!$B$147)*('Total Distance Tables Sup #1'!E179/'Total Distance Tables Sup #1'!$B179)</f>
        <v>0</v>
      </c>
      <c r="F157" s="4">
        <f ca="1">$B157*('Updated Population'!F$147/'Updated Population'!$B$147)*('Total Distance Tables Sup #1'!F179/'Total Distance Tables Sup #1'!$B179)</f>
        <v>0</v>
      </c>
      <c r="G157" s="4">
        <f ca="1">$B157*('Updated Population'!G$147/'Updated Population'!$B$147)*('Total Distance Tables Sup #1'!G179/'Total Distance Tables Sup #1'!$B179)</f>
        <v>0</v>
      </c>
      <c r="H157" s="4">
        <f ca="1">$B157*('Updated Population'!H$147/'Updated Population'!$B$147)*('Total Distance Tables Sup #1'!H179/'Total Distance Tables Sup #1'!$B179)</f>
        <v>0</v>
      </c>
      <c r="I157" s="1">
        <f ca="1">$B157*('Updated Population'!I$147/'Updated Population'!$B$147)*('Total Distance Tables Sup #1'!I179/'Total Distance Tables Sup #1'!$B179)</f>
        <v>0</v>
      </c>
      <c r="J157" s="1">
        <f ca="1">$B157*('Updated Population'!J$147/'Updated Population'!$B$147)*('Total Distance Tables Sup #1'!J179/'Total Distance Tables Sup #1'!$B179)</f>
        <v>0</v>
      </c>
      <c r="K157" s="1">
        <f ca="1">$B157*('Updated Population'!K$147/'Updated Population'!$B$147)*('Total Distance Tables Sup #1'!K179/'Total Distance Tables Sup #1'!$B179)</f>
        <v>0</v>
      </c>
    </row>
    <row r="158" spans="1:11" x14ac:dyDescent="0.25">
      <c r="A158" t="s">
        <v>19</v>
      </c>
      <c r="I158" s="1"/>
      <c r="J158" s="1"/>
      <c r="K158" s="1"/>
    </row>
    <row r="159" spans="1:11" x14ac:dyDescent="0.25">
      <c r="A159" t="str">
        <f t="shared" ref="A159:A165" ca="1" si="0">A5</f>
        <v>Pedestrian</v>
      </c>
      <c r="B159" s="4">
        <f t="shared" ref="B159:H164" ca="1" si="1">B5+B16+B27+B38+B49+B60+B71+B82+B93+B104+B115+B126+B137+B148</f>
        <v>807.42091028530001</v>
      </c>
      <c r="C159" s="4">
        <f t="shared" ca="1" si="1"/>
        <v>872.75130857170529</v>
      </c>
      <c r="D159" s="4">
        <f t="shared" ca="1" si="1"/>
        <v>909.95824844673348</v>
      </c>
      <c r="E159" s="4">
        <f t="shared" ca="1" si="1"/>
        <v>928.37189207668223</v>
      </c>
      <c r="F159" s="4">
        <f t="shared" ca="1" si="1"/>
        <v>937.08065051603103</v>
      </c>
      <c r="G159" s="4">
        <f t="shared" ca="1" si="1"/>
        <v>942.88685608811886</v>
      </c>
      <c r="H159" s="4">
        <f t="shared" ca="1" si="1"/>
        <v>944.99163274441639</v>
      </c>
      <c r="I159" s="1">
        <f t="shared" ref="I159:K159" ca="1" si="2">I5+I16+I27+I38+I49+I60+I71+I82+I93+I104+I115+I126+I137+I148</f>
        <v>968.24084965289182</v>
      </c>
      <c r="J159" s="1">
        <f t="shared" ca="1" si="2"/>
        <v>989.2109495816876</v>
      </c>
      <c r="K159" s="1">
        <f t="shared" ca="1" si="2"/>
        <v>1008.7736514275006</v>
      </c>
    </row>
    <row r="160" spans="1:11" x14ac:dyDescent="0.25">
      <c r="A160" t="str">
        <f t="shared" ca="1" si="0"/>
        <v>Cyclist</v>
      </c>
      <c r="B160" s="4">
        <f t="shared" ca="1" si="1"/>
        <v>312.57850166600002</v>
      </c>
      <c r="C160" s="4">
        <f t="shared" ca="1" si="1"/>
        <v>344.5531670700538</v>
      </c>
      <c r="D160" s="4">
        <f t="shared" ca="1" si="1"/>
        <v>359.68151518683976</v>
      </c>
      <c r="E160" s="4">
        <f t="shared" ca="1" si="1"/>
        <v>365.78377051601063</v>
      </c>
      <c r="F160" s="4">
        <f t="shared" ca="1" si="1"/>
        <v>376.3828517658601</v>
      </c>
      <c r="G160" s="4">
        <f t="shared" ca="1" si="1"/>
        <v>392.58594489268461</v>
      </c>
      <c r="H160" s="4">
        <f t="shared" ca="1" si="1"/>
        <v>409.12743989786401</v>
      </c>
      <c r="I160" s="1">
        <f t="shared" ref="I160:K160" ca="1" si="3">I6+I17+I28+I39+I50+I61+I72+I83+I94+I105+I116+I127+I138+I149</f>
        <v>417.2327765625995</v>
      </c>
      <c r="J160" s="1">
        <f t="shared" ca="1" si="3"/>
        <v>424.25652560109643</v>
      </c>
      <c r="K160" s="1">
        <f t="shared" ca="1" si="3"/>
        <v>430.58479047316217</v>
      </c>
    </row>
    <row r="161" spans="1:20" x14ac:dyDescent="0.25">
      <c r="A161" t="str">
        <f t="shared" ca="1" si="0"/>
        <v>Light Vehicle Driver</v>
      </c>
      <c r="B161" s="4">
        <f t="shared" ca="1" si="1"/>
        <v>30373.708042980001</v>
      </c>
      <c r="C161" s="4">
        <f t="shared" ca="1" si="1"/>
        <v>33765.799774666935</v>
      </c>
      <c r="D161" s="4">
        <f t="shared" ca="1" si="1"/>
        <v>35788.429937154251</v>
      </c>
      <c r="E161" s="4">
        <f t="shared" ca="1" si="1"/>
        <v>37562.342382642688</v>
      </c>
      <c r="F161" s="4">
        <f t="shared" ca="1" si="1"/>
        <v>39154.494826154369</v>
      </c>
      <c r="G161" s="4">
        <f t="shared" ca="1" si="1"/>
        <v>40327.64641961801</v>
      </c>
      <c r="H161" s="4">
        <f t="shared" ca="1" si="1"/>
        <v>41325.356543275593</v>
      </c>
      <c r="I161" s="1">
        <f t="shared" ref="I161:K161" ca="1" si="4">I7+I18+I29+I40+I51+I62+I73+I84+I95+I106+I117+I128+I139+I150</f>
        <v>42260.044974542783</v>
      </c>
      <c r="J161" s="1">
        <f t="shared" ca="1" si="4"/>
        <v>43091.943114208494</v>
      </c>
      <c r="K161" s="1">
        <f t="shared" ca="1" si="4"/>
        <v>43859.571197533602</v>
      </c>
    </row>
    <row r="162" spans="1:20" x14ac:dyDescent="0.25">
      <c r="A162" t="str">
        <f t="shared" ca="1" si="0"/>
        <v>Light Vehicle Passenger</v>
      </c>
      <c r="B162" s="4">
        <f t="shared" ca="1" si="1"/>
        <v>17104.323927279998</v>
      </c>
      <c r="C162" s="4">
        <f t="shared" ca="1" si="1"/>
        <v>18218.358584289515</v>
      </c>
      <c r="D162" s="4">
        <f t="shared" ca="1" si="1"/>
        <v>18840.263103700079</v>
      </c>
      <c r="E162" s="4">
        <f t="shared" ca="1" si="1"/>
        <v>19323.662753667424</v>
      </c>
      <c r="F162" s="4">
        <f t="shared" ca="1" si="1"/>
        <v>19656.136118066308</v>
      </c>
      <c r="G162" s="4">
        <f t="shared" ca="1" si="1"/>
        <v>19847.239212274431</v>
      </c>
      <c r="H162" s="4">
        <f t="shared" ca="1" si="1"/>
        <v>19939.05055092046</v>
      </c>
      <c r="I162" s="1">
        <f t="shared" ref="I162:K162" ca="1" si="5">I8+I19+I30+I41+I52+I63+I74+I85+I96+I107+I118+I129+I140+I151</f>
        <v>20367.577902317495</v>
      </c>
      <c r="J162" s="1">
        <f t="shared" ca="1" si="5"/>
        <v>20745.576493987068</v>
      </c>
      <c r="K162" s="1">
        <f t="shared" ca="1" si="5"/>
        <v>21091.744473762716</v>
      </c>
    </row>
    <row r="163" spans="1:20" x14ac:dyDescent="0.25">
      <c r="A163" t="str">
        <f t="shared" ca="1" si="0"/>
        <v>Taxi/Vehicle Share</v>
      </c>
      <c r="B163" s="4">
        <f t="shared" ca="1" si="1"/>
        <v>102.6492410403</v>
      </c>
      <c r="C163" s="4">
        <f t="shared" ca="1" si="1"/>
        <v>119.90105887813313</v>
      </c>
      <c r="D163" s="4">
        <f t="shared" ca="1" si="1"/>
        <v>134.68715935681075</v>
      </c>
      <c r="E163" s="4">
        <f t="shared" ca="1" si="1"/>
        <v>148.02915748037714</v>
      </c>
      <c r="F163" s="4">
        <f t="shared" ca="1" si="1"/>
        <v>159.94004681692002</v>
      </c>
      <c r="G163" s="4">
        <f t="shared" ca="1" si="1"/>
        <v>169.40831514919836</v>
      </c>
      <c r="H163" s="4">
        <f t="shared" ca="1" si="1"/>
        <v>178.40307956215878</v>
      </c>
      <c r="I163" s="1">
        <f t="shared" ref="I163:K163" ca="1" si="6">I9+I20+I31+I42+I53+I64+I75+I86+I97+I108+I119+I130+I141+I152</f>
        <v>182.95142884906792</v>
      </c>
      <c r="J163" s="1">
        <f t="shared" ca="1" si="6"/>
        <v>187.08031297678099</v>
      </c>
      <c r="K163" s="1">
        <f t="shared" ca="1" si="6"/>
        <v>190.95360283892342</v>
      </c>
    </row>
    <row r="164" spans="1:20" x14ac:dyDescent="0.25">
      <c r="A164" t="str">
        <f t="shared" ca="1" si="0"/>
        <v>Motorcyclist</v>
      </c>
      <c r="B164" s="4">
        <f t="shared" ca="1" si="1"/>
        <v>249.6655534436</v>
      </c>
      <c r="C164" s="4">
        <f t="shared" ca="1" si="1"/>
        <v>272.1203593579479</v>
      </c>
      <c r="D164" s="4">
        <f t="shared" ca="1" si="1"/>
        <v>283.33654693734644</v>
      </c>
      <c r="E164" s="4">
        <f t="shared" ca="1" si="1"/>
        <v>288.47039017796931</v>
      </c>
      <c r="F164" s="4">
        <f t="shared" ca="1" si="1"/>
        <v>290.36079621618251</v>
      </c>
      <c r="G164" s="4">
        <f t="shared" ca="1" si="1"/>
        <v>286.83434044227999</v>
      </c>
      <c r="H164" s="4">
        <f t="shared" ca="1" si="1"/>
        <v>281.74049226682871</v>
      </c>
      <c r="I164" s="1">
        <f t="shared" ref="I164:K164" ca="1" si="7">I10+I21+I32+I43+I54+I65+I76+I87+I98+I109+I120+I131+I142+I153</f>
        <v>286.34337261089547</v>
      </c>
      <c r="J164" s="1">
        <f t="shared" ca="1" si="7"/>
        <v>290.1780112710581</v>
      </c>
      <c r="K164" s="1">
        <f t="shared" ca="1" si="7"/>
        <v>293.51609536349423</v>
      </c>
    </row>
    <row r="165" spans="1:20" x14ac:dyDescent="0.25">
      <c r="A165" t="str">
        <f t="shared" ca="1" si="0"/>
        <v>Local Train</v>
      </c>
      <c r="B165" s="4">
        <f t="shared" ref="B165:H165" ca="1" si="8">B22+B99</f>
        <v>377.40696634</v>
      </c>
      <c r="C165" s="4">
        <f t="shared" ca="1" si="8"/>
        <v>407.29249659999999</v>
      </c>
      <c r="D165" s="4">
        <f t="shared" ca="1" si="8"/>
        <v>426.58039141999996</v>
      </c>
      <c r="E165" s="4">
        <f t="shared" ca="1" si="8"/>
        <v>439.94152383999995</v>
      </c>
      <c r="F165" s="4">
        <f t="shared" ca="1" si="8"/>
        <v>445.99342033000005</v>
      </c>
      <c r="G165" s="4">
        <f t="shared" ca="1" si="8"/>
        <v>450.40943677999996</v>
      </c>
      <c r="H165" s="4">
        <f t="shared" ca="1" si="8"/>
        <v>451.86760972000002</v>
      </c>
      <c r="I165" s="1">
        <f t="shared" ref="I165:K165" ca="1" si="9">I22+I99</f>
        <v>461.08559263104371</v>
      </c>
      <c r="J165" s="1">
        <f t="shared" ca="1" si="9"/>
        <v>469.1341543835498</v>
      </c>
      <c r="K165" s="1">
        <f t="shared" ca="1" si="9"/>
        <v>476.4408822094548</v>
      </c>
    </row>
    <row r="166" spans="1:20" x14ac:dyDescent="0.25">
      <c r="A166" t="s">
        <v>16</v>
      </c>
      <c r="B166" s="4">
        <f t="shared" ref="B166:H166" ca="1" si="10">B12+B34+B45+B56+B67+B78+B89+B111+B122+B144+B155</f>
        <v>333.23856347439994</v>
      </c>
      <c r="C166" s="4">
        <f t="shared" ca="1" si="10"/>
        <v>320.3189087614154</v>
      </c>
      <c r="D166" s="4">
        <f t="shared" ca="1" si="10"/>
        <v>309.36089183499917</v>
      </c>
      <c r="E166" s="4">
        <f t="shared" ca="1" si="10"/>
        <v>301.38789105636454</v>
      </c>
      <c r="F166" s="4">
        <f t="shared" ca="1" si="10"/>
        <v>288.52418402319881</v>
      </c>
      <c r="G166" s="4">
        <f t="shared" ca="1" si="10"/>
        <v>279.23662652910554</v>
      </c>
      <c r="H166" s="4">
        <f t="shared" ca="1" si="10"/>
        <v>269.22973521486716</v>
      </c>
      <c r="I166" s="1">
        <f t="shared" ref="I166:K166" ca="1" si="11">I12+I34+I45+I56+I67+I78+I89+I111+I122+I144+I155</f>
        <v>270.5290476949038</v>
      </c>
      <c r="J166" s="1">
        <f t="shared" ca="1" si="11"/>
        <v>271.00928807116514</v>
      </c>
      <c r="K166" s="1">
        <f t="shared" ca="1" si="11"/>
        <v>270.94674207175456</v>
      </c>
    </row>
    <row r="167" spans="1:20" x14ac:dyDescent="0.25">
      <c r="A167" t="str">
        <f ca="1">A13</f>
        <v>Local Ferry</v>
      </c>
      <c r="B167" s="4">
        <f t="shared" ref="B167:H168" ca="1" si="12">B13+B24+B35+B46+B57+B68+B79+B90+B101+B112+B123+B134+B145+B156</f>
        <v>0</v>
      </c>
      <c r="C167" s="4">
        <f t="shared" ca="1" si="12"/>
        <v>0</v>
      </c>
      <c r="D167" s="4">
        <f t="shared" ca="1" si="12"/>
        <v>0</v>
      </c>
      <c r="E167" s="4">
        <f t="shared" ca="1" si="12"/>
        <v>0</v>
      </c>
      <c r="F167" s="4">
        <f t="shared" ca="1" si="12"/>
        <v>0</v>
      </c>
      <c r="G167" s="4">
        <f t="shared" ca="1" si="12"/>
        <v>0</v>
      </c>
      <c r="H167" s="4">
        <f t="shared" ca="1" si="12"/>
        <v>0</v>
      </c>
      <c r="I167" s="1">
        <f t="shared" ref="I167:K167" ca="1" si="13">I13+I24+I35+I46+I57+I68+I79+I90+I101+I112+I123+I134+I145+I156</f>
        <v>0</v>
      </c>
      <c r="J167" s="1">
        <f t="shared" ca="1" si="13"/>
        <v>0</v>
      </c>
      <c r="K167" s="1">
        <f t="shared" ca="1" si="13"/>
        <v>0</v>
      </c>
    </row>
    <row r="168" spans="1:20" x14ac:dyDescent="0.25">
      <c r="A168" t="str">
        <f ca="1">A14</f>
        <v>Other Household Travel</v>
      </c>
      <c r="B168" s="4">
        <f t="shared" ca="1" si="12"/>
        <v>1.8241938706</v>
      </c>
      <c r="C168" s="4">
        <f t="shared" ca="1" si="12"/>
        <v>1.9362794160716728</v>
      </c>
      <c r="D168" s="4">
        <f t="shared" ca="1" si="12"/>
        <v>1.9388680381132992</v>
      </c>
      <c r="E168" s="4">
        <f t="shared" ca="1" si="12"/>
        <v>2.308375721308991</v>
      </c>
      <c r="F168" s="4">
        <f t="shared" ca="1" si="12"/>
        <v>2.5468442059193324</v>
      </c>
      <c r="G168" s="4">
        <f t="shared" ca="1" si="12"/>
        <v>2.6150570016446664</v>
      </c>
      <c r="H168" s="4">
        <f t="shared" ca="1" si="12"/>
        <v>2.6212843218927548</v>
      </c>
      <c r="I168" s="1">
        <f t="shared" ref="I168:K168" ca="1" si="14">I14+I25+I36+I47+I58+I69+I80+I91+I102+I113+I124+I135+I146+I157</f>
        <v>2.7339350027347016</v>
      </c>
      <c r="J168" s="1">
        <f t="shared" ca="1" si="14"/>
        <v>2.8423503059061974</v>
      </c>
      <c r="K168" s="1">
        <f t="shared" ca="1" si="14"/>
        <v>2.9487142367301207</v>
      </c>
    </row>
    <row r="169" spans="1:20" x14ac:dyDescent="0.25">
      <c r="A169" s="59" t="s">
        <v>112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113</v>
      </c>
      <c r="N169" s="59"/>
      <c r="O169" s="59"/>
      <c r="P169" s="59"/>
      <c r="Q169" s="59"/>
      <c r="R169" s="59"/>
      <c r="S169" s="59"/>
      <c r="T169" s="59"/>
    </row>
    <row r="170" spans="1:20" x14ac:dyDescent="0.25">
      <c r="A170" s="59" t="str">
        <f t="shared" ref="A170:A179" ca="1" si="15">A16</f>
        <v>Pedestrian</v>
      </c>
      <c r="B170" s="60">
        <f ca="1">B181*1000000/'Original Population'!B$158</f>
        <v>181.78604788483881</v>
      </c>
      <c r="C170" s="60">
        <f ca="1">(C181*1000000/'Original Population'!C$158)</f>
        <v>179.09852442092486</v>
      </c>
      <c r="D170" s="60">
        <f ca="1">(D181*1000000/'Original Population'!D$158)</f>
        <v>175.80935698878352</v>
      </c>
      <c r="E170" s="60">
        <f ca="1">(E181*1000000/'Original Population'!E$158)</f>
        <v>171.43485552329935</v>
      </c>
      <c r="F170" s="60">
        <f ca="1">(F181*1000000/'Original Population'!F$158)</f>
        <v>166.47797350195768</v>
      </c>
      <c r="G170" s="60">
        <f ca="1">(G181*1000000/'Original Population'!G$158)</f>
        <v>162.22795537083988</v>
      </c>
      <c r="H170" s="60">
        <f ca="1">(H181*1000000/'Original Population'!H$158)</f>
        <v>158.19117203697593</v>
      </c>
      <c r="I170" s="60">
        <f ca="1">H170</f>
        <v>158.19117203697593</v>
      </c>
      <c r="J170" s="60">
        <f t="shared" ref="J170:K170" ca="1" si="16">I170</f>
        <v>158.19117203697593</v>
      </c>
      <c r="K170" s="60">
        <f t="shared" ca="1" si="16"/>
        <v>158.19117203697593</v>
      </c>
      <c r="L170" s="60"/>
      <c r="M170" s="60">
        <f ca="1">B159*'Total Distance Tables Sup #2'!B159*1000000/'Updated Population'!B$158</f>
        <v>181.78604788483881</v>
      </c>
      <c r="N170" s="60">
        <f ca="1">C159*'Total Distance Tables Sup #2'!C159*1000000/'Updated Population'!C$158</f>
        <v>179.09852442092486</v>
      </c>
      <c r="O170" s="60">
        <f ca="1">D159*'Total Distance Tables Sup #2'!D159*1000000/'Updated Population'!D$158</f>
        <v>175.80935698878352</v>
      </c>
      <c r="P170" s="60">
        <f ca="1">E159*'Total Distance Tables Sup #2'!E159*1000000/'Updated Population'!E$158</f>
        <v>171.43485552329935</v>
      </c>
      <c r="Q170" s="60">
        <f ca="1">F159*'Total Distance Tables Sup #2'!F159*1000000/'Updated Population'!F$158</f>
        <v>166.47797350195771</v>
      </c>
      <c r="R170" s="60">
        <f ca="1">G159*'Total Distance Tables Sup #2'!G159*1000000/'Updated Population'!G$158</f>
        <v>162.22795537083988</v>
      </c>
      <c r="S170" s="60">
        <f ca="1">H159*'Total Distance Tables Sup #2'!H159*1000000/'Updated Population'!H$158</f>
        <v>158.19117203697593</v>
      </c>
      <c r="T170" s="59"/>
    </row>
    <row r="171" spans="1:20" x14ac:dyDescent="0.25">
      <c r="A171" s="59" t="str">
        <f t="shared" ca="1" si="15"/>
        <v>Cyclist</v>
      </c>
      <c r="B171" s="60">
        <f ca="1">B182*1000000/'Original Population'!B$158</f>
        <v>70.375203004773056</v>
      </c>
      <c r="C171" s="60">
        <f ca="1">(C182*1000000/'Original Population'!C$158)</f>
        <v>71.232828326136058</v>
      </c>
      <c r="D171" s="60">
        <f ca="1">(D182*1000000/'Original Population'!D$158)</f>
        <v>70.479231890826796</v>
      </c>
      <c r="E171" s="60">
        <f ca="1">(E182*1000000/'Original Population'!E$158)</f>
        <v>68.907094920873362</v>
      </c>
      <c r="F171" s="60">
        <f ca="1">(F182*1000000/'Original Population'!F$158)</f>
        <v>68.576193132149342</v>
      </c>
      <c r="G171" s="60">
        <f ca="1">(G182*1000000/'Original Population'!G$158)</f>
        <v>69.608910153075342</v>
      </c>
      <c r="H171" s="60">
        <f ca="1">(H182*1000000/'Original Population'!H$158)</f>
        <v>70.907509472866565</v>
      </c>
      <c r="I171" s="60">
        <f t="shared" ref="I171:K179" ca="1" si="17">H171</f>
        <v>70.907509472866565</v>
      </c>
      <c r="J171" s="60">
        <f t="shared" ca="1" si="17"/>
        <v>70.907509472866565</v>
      </c>
      <c r="K171" s="60">
        <f t="shared" ca="1" si="17"/>
        <v>70.907509472866565</v>
      </c>
      <c r="L171" s="60"/>
      <c r="M171" s="60">
        <f ca="1">B160*'Total Distance Tables Sup #2'!B160*1000000/'Updated Population'!B$158</f>
        <v>70.375203004773056</v>
      </c>
      <c r="N171" s="60">
        <f ca="1">C160*'Total Distance Tables Sup #2'!C160*1000000/'Updated Population'!C$158</f>
        <v>71.232828326136044</v>
      </c>
      <c r="O171" s="60">
        <f ca="1">D160*'Total Distance Tables Sup #2'!D160*1000000/'Updated Population'!D$158</f>
        <v>70.479231890826796</v>
      </c>
      <c r="P171" s="60">
        <f ca="1">E160*'Total Distance Tables Sup #2'!E160*1000000/'Updated Population'!E$158</f>
        <v>68.907094920873362</v>
      </c>
      <c r="Q171" s="60">
        <f ca="1">F160*'Total Distance Tables Sup #2'!F160*1000000/'Updated Population'!F$158</f>
        <v>68.576193132149342</v>
      </c>
      <c r="R171" s="60">
        <f ca="1">G160*'Total Distance Tables Sup #2'!G160*1000000/'Updated Population'!G$158</f>
        <v>69.608910153075371</v>
      </c>
      <c r="S171" s="60">
        <f ca="1">H160*'Total Distance Tables Sup #2'!H160*1000000/'Updated Population'!H$158</f>
        <v>70.907509472866565</v>
      </c>
      <c r="T171" s="59"/>
    </row>
    <row r="172" spans="1:20" x14ac:dyDescent="0.25">
      <c r="A172" s="59" t="str">
        <f t="shared" ca="1" si="15"/>
        <v>Light Vehicle Driver</v>
      </c>
      <c r="B172" s="60">
        <f ca="1">B183*1000000/'Original Population'!B$158</f>
        <v>6838.460924662284</v>
      </c>
      <c r="C172" s="60">
        <f ca="1">C183*1000000/'Original Population'!C$158</f>
        <v>6951.2665126005186</v>
      </c>
      <c r="D172" s="60">
        <f ca="1">D183*1000000/'Original Population'!D$158</f>
        <v>6957.1203774458882</v>
      </c>
      <c r="E172" s="60">
        <f ca="1">E183*1000000/'Original Population'!E$158</f>
        <v>6994.0163391654523</v>
      </c>
      <c r="F172" s="60">
        <f ca="1">F183*1000000/'Original Population'!F$158</f>
        <v>7028.7666001030375</v>
      </c>
      <c r="G172" s="60">
        <f ca="1">G183*1000000/'Original Population'!G$158</f>
        <v>7025.4815370439755</v>
      </c>
      <c r="H172" s="60">
        <f ca="1">H183*1000000/'Original Population'!H$158</f>
        <v>7018.1495056359508</v>
      </c>
      <c r="I172" s="60">
        <f t="shared" ca="1" si="17"/>
        <v>7018.1495056359508</v>
      </c>
      <c r="J172" s="60">
        <f t="shared" ca="1" si="17"/>
        <v>7018.1495056359508</v>
      </c>
      <c r="K172" s="60">
        <f t="shared" ca="1" si="17"/>
        <v>7018.1495056359508</v>
      </c>
      <c r="L172" s="60"/>
      <c r="M172" s="60">
        <f ca="1">B161*'Total Distance Tables Sup #2'!B161*1000000/'Updated Population'!B$158</f>
        <v>6838.460924662284</v>
      </c>
      <c r="N172" s="60">
        <f ca="1">C161*'Total Distance Tables Sup #2'!C161*1000000/'Updated Population'!C$158</f>
        <v>6951.2665126005195</v>
      </c>
      <c r="O172" s="60">
        <f ca="1">D161*'Total Distance Tables Sup #2'!D161*1000000/'Updated Population'!D$158</f>
        <v>6957.1203774458891</v>
      </c>
      <c r="P172" s="60">
        <f ca="1">E161*'Total Distance Tables Sup #2'!E161*1000000/'Updated Population'!E$158</f>
        <v>6994.0163391654523</v>
      </c>
      <c r="Q172" s="60">
        <f ca="1">F161*'Total Distance Tables Sup #2'!F161*1000000/'Updated Population'!F$158</f>
        <v>7028.7666001030375</v>
      </c>
      <c r="R172" s="60">
        <f ca="1">G161*'Total Distance Tables Sup #2'!G161*1000000/'Updated Population'!G$158</f>
        <v>7025.4815370439765</v>
      </c>
      <c r="S172" s="60">
        <f ca="1">H161*'Total Distance Tables Sup #2'!H161*1000000/'Updated Population'!H$158</f>
        <v>7018.1495056359508</v>
      </c>
      <c r="T172" s="59"/>
    </row>
    <row r="173" spans="1:20" x14ac:dyDescent="0.25">
      <c r="A173" s="59" t="str">
        <f t="shared" ca="1" si="15"/>
        <v>Light Vehicle Passenger</v>
      </c>
      <c r="B173" s="60">
        <f ca="1">B184*1000000/'Original Population'!B$158</f>
        <v>3850.9374836275215</v>
      </c>
      <c r="C173" s="60">
        <f ca="1">C184*1000000/'Original Population'!C$158</f>
        <v>3758.2305379450809</v>
      </c>
      <c r="D173" s="60">
        <f ca="1">D184*1000000/'Original Population'!D$158</f>
        <v>3675.7207178169401</v>
      </c>
      <c r="E173" s="60">
        <f ca="1">E184*1000000/'Original Population'!E$158</f>
        <v>3615.5770676409511</v>
      </c>
      <c r="F173" s="60">
        <f ca="1">F184*1000000/'Original Population'!F$158</f>
        <v>3550.012639927686</v>
      </c>
      <c r="G173" s="60">
        <f ca="1">G184*1000000/'Original Population'!G$158</f>
        <v>3482.5910616229585</v>
      </c>
      <c r="H173" s="60">
        <f ca="1">H184*1000000/'Original Population'!H$158</f>
        <v>3414.4145400085117</v>
      </c>
      <c r="I173" s="60">
        <f t="shared" ca="1" si="17"/>
        <v>3414.4145400085117</v>
      </c>
      <c r="J173" s="60">
        <f t="shared" ca="1" si="17"/>
        <v>3414.4145400085117</v>
      </c>
      <c r="K173" s="60">
        <f t="shared" ca="1" si="17"/>
        <v>3414.4145400085117</v>
      </c>
      <c r="L173" s="60"/>
      <c r="M173" s="60">
        <f ca="1">B162*'Total Distance Tables Sup #2'!B162*1000000/'Updated Population'!B$158</f>
        <v>3850.9374836275215</v>
      </c>
      <c r="N173" s="60">
        <f ca="1">C162*'Total Distance Tables Sup #2'!C162*1000000/'Updated Population'!C$158</f>
        <v>3758.2305379450809</v>
      </c>
      <c r="O173" s="60">
        <f ca="1">D162*'Total Distance Tables Sup #2'!D162*1000000/'Updated Population'!D$158</f>
        <v>3675.7207178169397</v>
      </c>
      <c r="P173" s="60">
        <f ca="1">E162*'Total Distance Tables Sup #2'!E162*1000000/'Updated Population'!E$158</f>
        <v>3615.5770676409511</v>
      </c>
      <c r="Q173" s="60">
        <f ca="1">F162*'Total Distance Tables Sup #2'!F162*1000000/'Updated Population'!F$158</f>
        <v>3550.012639927686</v>
      </c>
      <c r="R173" s="60">
        <f ca="1">G162*'Total Distance Tables Sup #2'!G162*1000000/'Updated Population'!G$158</f>
        <v>3482.5910616229585</v>
      </c>
      <c r="S173" s="60">
        <f ca="1">H162*'Total Distance Tables Sup #2'!H162*1000000/'Updated Population'!H$158</f>
        <v>3414.4145400085108</v>
      </c>
      <c r="T173" s="59"/>
    </row>
    <row r="174" spans="1:20" x14ac:dyDescent="0.25">
      <c r="A174" s="59" t="str">
        <f t="shared" ca="1" si="15"/>
        <v>Taxi/Vehicle Share</v>
      </c>
      <c r="B174" s="60">
        <f ca="1">B185*1000000/'Original Population'!B$158</f>
        <v>23.110870190989733</v>
      </c>
      <c r="C174" s="60">
        <f ca="1">C185*1000000/'Original Population'!C$158</f>
        <v>24.583544944701242</v>
      </c>
      <c r="D174" s="60">
        <f ca="1">D185*1000000/'Original Population'!D$158</f>
        <v>25.969296578403842</v>
      </c>
      <c r="E174" s="60">
        <f ca="1">E185*1000000/'Original Population'!E$158</f>
        <v>27.258919760329945</v>
      </c>
      <c r="F174" s="60">
        <f ca="1">F185*1000000/'Original Population'!F$158</f>
        <v>28.311273023398723</v>
      </c>
      <c r="G174" s="60">
        <f ca="1">G185*1000000/'Original Population'!G$158</f>
        <v>29.016604015858576</v>
      </c>
      <c r="H174" s="60">
        <f ca="1">H185*1000000/'Original Population'!H$158</f>
        <v>29.705281388664257</v>
      </c>
      <c r="I174" s="60">
        <f t="shared" ca="1" si="17"/>
        <v>29.705281388664257</v>
      </c>
      <c r="J174" s="60">
        <f t="shared" ca="1" si="17"/>
        <v>29.705281388664257</v>
      </c>
      <c r="K174" s="60">
        <f t="shared" ca="1" si="17"/>
        <v>29.705281388664257</v>
      </c>
      <c r="L174" s="60"/>
      <c r="M174" s="60">
        <f ca="1">B163*'Total Distance Tables Sup #2'!B163*1000000/'Updated Population'!B$158</f>
        <v>23.110870190989733</v>
      </c>
      <c r="N174" s="60">
        <f ca="1">C163*'Total Distance Tables Sup #2'!C163*1000000/'Updated Population'!C$158</f>
        <v>24.583544944701238</v>
      </c>
      <c r="O174" s="60">
        <f ca="1">D163*'Total Distance Tables Sup #2'!D163*1000000/'Updated Population'!D$158</f>
        <v>25.969296578403846</v>
      </c>
      <c r="P174" s="60">
        <f ca="1">E163*'Total Distance Tables Sup #2'!E163*1000000/'Updated Population'!E$158</f>
        <v>27.258919760329942</v>
      </c>
      <c r="Q174" s="60">
        <f ca="1">F163*'Total Distance Tables Sup #2'!F163*1000000/'Updated Population'!F$158</f>
        <v>28.31127302339873</v>
      </c>
      <c r="R174" s="60">
        <f ca="1">G163*'Total Distance Tables Sup #2'!G163*1000000/'Updated Population'!G$158</f>
        <v>29.016604015858576</v>
      </c>
      <c r="S174" s="60">
        <f ca="1">H163*'Total Distance Tables Sup #2'!H163*1000000/'Updated Population'!H$158</f>
        <v>29.70528138866425</v>
      </c>
      <c r="T174" s="59"/>
    </row>
    <row r="175" spans="1:20" x14ac:dyDescent="0.25">
      <c r="A175" s="59" t="str">
        <f t="shared" ca="1" si="15"/>
        <v>Motorcyclist</v>
      </c>
      <c r="B175" s="60">
        <f ca="1">B186*1000000/'Original Population'!B$158</f>
        <v>56.210724388418591</v>
      </c>
      <c r="C175" s="60">
        <f ca="1">C186*1000000/'Original Population'!C$158</f>
        <v>56.581773910487769</v>
      </c>
      <c r="D175" s="60">
        <f ca="1">D186*1000000/'Original Population'!D$158</f>
        <v>56.096897078413953</v>
      </c>
      <c r="E175" s="60">
        <f ca="1">E186*1000000/'Original Population'!E$158</f>
        <v>55.05996475836973</v>
      </c>
      <c r="F175" s="60">
        <f ca="1">F186*1000000/'Original Population'!F$158</f>
        <v>53.766683135352849</v>
      </c>
      <c r="G175" s="60">
        <f ca="1">G186*1000000/'Original Population'!G$158</f>
        <v>51.861368745007816</v>
      </c>
      <c r="H175" s="60">
        <f ca="1">H186*1000000/'Original Population'!H$158</f>
        <v>49.963855285699076</v>
      </c>
      <c r="I175" s="60">
        <f t="shared" ca="1" si="17"/>
        <v>49.963855285699076</v>
      </c>
      <c r="J175" s="60">
        <f t="shared" ca="1" si="17"/>
        <v>49.963855285699076</v>
      </c>
      <c r="K175" s="60">
        <f t="shared" ca="1" si="17"/>
        <v>49.963855285699076</v>
      </c>
      <c r="L175" s="60"/>
      <c r="M175" s="60">
        <f ca="1">B164*'Total Distance Tables Sup #2'!B164*1000000/'Updated Population'!B$158</f>
        <v>56.210724388418591</v>
      </c>
      <c r="N175" s="60">
        <f ca="1">C164*'Total Distance Tables Sup #2'!C164*1000000/'Updated Population'!C$158</f>
        <v>56.581773910487783</v>
      </c>
      <c r="O175" s="60">
        <f ca="1">D164*'Total Distance Tables Sup #2'!D164*1000000/'Updated Population'!D$158</f>
        <v>56.09689707841396</v>
      </c>
      <c r="P175" s="60">
        <f ca="1">E164*'Total Distance Tables Sup #2'!E164*1000000/'Updated Population'!E$158</f>
        <v>55.059964758369723</v>
      </c>
      <c r="Q175" s="60">
        <f ca="1">F164*'Total Distance Tables Sup #2'!F164*1000000/'Updated Population'!F$158</f>
        <v>53.766683135352849</v>
      </c>
      <c r="R175" s="60">
        <f ca="1">G164*'Total Distance Tables Sup #2'!G164*1000000/'Updated Population'!G$158</f>
        <v>51.861368745007823</v>
      </c>
      <c r="S175" s="60">
        <f ca="1">H164*'Total Distance Tables Sup #2'!H164*1000000/'Updated Population'!H$158</f>
        <v>49.963855285699069</v>
      </c>
      <c r="T175" s="59"/>
    </row>
    <row r="176" spans="1:20" x14ac:dyDescent="0.25">
      <c r="A176" s="59" t="str">
        <f t="shared" ca="1" si="15"/>
        <v>Local Train</v>
      </c>
      <c r="B176" s="60">
        <f ca="1">B187*1000000/'Original Population'!B$158</f>
        <v>84.970948833753596</v>
      </c>
      <c r="C176" s="60">
        <f ca="1">C187*1000000/'Original Population'!C$158</f>
        <v>85.96477270520694</v>
      </c>
      <c r="D176" s="60">
        <f ca="1">D187*1000000/'Original Population'!D$158</f>
        <v>86.21094792344536</v>
      </c>
      <c r="E176" s="60">
        <f ca="1">E187*1000000/'Original Population'!E$158</f>
        <v>85.384090022319256</v>
      </c>
      <c r="F176" s="60">
        <f ca="1">F187*1000000/'Original Population'!F$158</f>
        <v>83.552224719458977</v>
      </c>
      <c r="G176" s="60">
        <f ca="1">G187*1000000/'Original Population'!G$158</f>
        <v>81.913475571963772</v>
      </c>
      <c r="H176" s="60">
        <f ca="1">H187*1000000/'Original Population'!H$158</f>
        <v>80.135420607221405</v>
      </c>
      <c r="I176" s="60">
        <f t="shared" ca="1" si="17"/>
        <v>80.135420607221405</v>
      </c>
      <c r="J176" s="60">
        <f t="shared" ca="1" si="17"/>
        <v>80.135420607221405</v>
      </c>
      <c r="K176" s="60">
        <f t="shared" ca="1" si="17"/>
        <v>80.135420607221405</v>
      </c>
      <c r="L176" s="60"/>
      <c r="M176" s="60">
        <f ca="1">B165*'Total Distance Tables Sup #2'!B165*1000000/'Updated Population'!B$158</f>
        <v>84.970948833753596</v>
      </c>
      <c r="N176" s="60">
        <f ca="1">C165*'Total Distance Tables Sup #2'!C165*1000000/'Updated Population'!C$158</f>
        <v>85.96477270520694</v>
      </c>
      <c r="O176" s="60">
        <f ca="1">D165*'Total Distance Tables Sup #2'!D165*1000000/'Updated Population'!D$158</f>
        <v>86.210947923445346</v>
      </c>
      <c r="P176" s="60">
        <f ca="1">E165*'Total Distance Tables Sup #2'!E165*1000000/'Updated Population'!E$158</f>
        <v>85.384090022319256</v>
      </c>
      <c r="Q176" s="60">
        <f ca="1">F165*'Total Distance Tables Sup #2'!F165*1000000/'Updated Population'!F$158</f>
        <v>83.552224719458962</v>
      </c>
      <c r="R176" s="60">
        <f ca="1">G165*'Total Distance Tables Sup #2'!G165*1000000/'Updated Population'!G$158</f>
        <v>81.913475571963772</v>
      </c>
      <c r="S176" s="60">
        <f ca="1">H165*'Total Distance Tables Sup #2'!H165*1000000/'Updated Population'!H$158</f>
        <v>80.13542060722142</v>
      </c>
      <c r="T176" s="59"/>
    </row>
    <row r="177" spans="1:20" x14ac:dyDescent="0.25">
      <c r="A177" s="59" t="s">
        <v>16</v>
      </c>
      <c r="B177" s="60">
        <f ca="1">B188*1000000/'Original Population'!B$169</f>
        <v>175.4995594451232</v>
      </c>
      <c r="C177" s="60">
        <f ca="1">C188*1000000/'Original Population'!C$169</f>
        <v>158.65957545716171</v>
      </c>
      <c r="D177" s="60">
        <f ca="1">D188*1000000/'Original Population'!D$169</f>
        <v>148.04711420069188</v>
      </c>
      <c r="E177" s="60">
        <f ca="1">E188*1000000/'Original Population'!E$169</f>
        <v>140.66071061216195</v>
      </c>
      <c r="F177" s="60">
        <f ca="1">F188*1000000/'Original Population'!F$169</f>
        <v>132.16435205919328</v>
      </c>
      <c r="G177" s="60">
        <f ca="1">G188*1000000/'Original Population'!G$169</f>
        <v>126.33098903730077</v>
      </c>
      <c r="H177" s="60">
        <f ca="1">H188*1000000/'Original Population'!H$169</f>
        <v>120.82081088165485</v>
      </c>
      <c r="I177" s="60">
        <f t="shared" ca="1" si="17"/>
        <v>120.82081088165485</v>
      </c>
      <c r="J177" s="60">
        <f t="shared" ca="1" si="17"/>
        <v>120.82081088165485</v>
      </c>
      <c r="K177" s="60">
        <f t="shared" ca="1" si="17"/>
        <v>120.82081088165485</v>
      </c>
      <c r="L177" s="60"/>
      <c r="M177" s="60">
        <f ca="1">B166*'Total Distance Tables Sup #2'!B166*1000000/'Updated Population'!B$169</f>
        <v>175.4995594451232</v>
      </c>
      <c r="N177" s="60">
        <f ca="1">C166*'Total Distance Tables Sup #2'!C166*1000000/'Updated Population'!C$169</f>
        <v>158.65957545716168</v>
      </c>
      <c r="O177" s="60">
        <f ca="1">D166*'Total Distance Tables Sup #2'!D166*1000000/'Updated Population'!D$169</f>
        <v>148.04711420069191</v>
      </c>
      <c r="P177" s="60">
        <f ca="1">E166*'Total Distance Tables Sup #2'!E166*1000000/'Updated Population'!E$169</f>
        <v>140.66071061216198</v>
      </c>
      <c r="Q177" s="60">
        <f ca="1">F166*'Total Distance Tables Sup #2'!F166*1000000/'Updated Population'!F$169</f>
        <v>132.16435205919325</v>
      </c>
      <c r="R177" s="60">
        <f ca="1">G166*'Total Distance Tables Sup #2'!G166*1000000/'Updated Population'!G$169</f>
        <v>126.33098903730075</v>
      </c>
      <c r="S177" s="60">
        <f ca="1">H166*'Total Distance Tables Sup #2'!H166*1000000/'Updated Population'!H$169</f>
        <v>120.82081088165486</v>
      </c>
      <c r="T177" s="59"/>
    </row>
    <row r="178" spans="1:20" x14ac:dyDescent="0.25">
      <c r="A178" s="59" t="str">
        <f t="shared" ca="1" si="15"/>
        <v>Local Ferry</v>
      </c>
      <c r="B178" s="60">
        <f ca="1">IF(B189=0,1,B189*1000000/'Original Population'!B$158)</f>
        <v>1</v>
      </c>
      <c r="C178" s="60">
        <f ca="1">C189*1000000/'Original Population'!C$158</f>
        <v>0</v>
      </c>
      <c r="D178" s="60">
        <f ca="1">D189*1000000/'Original Population'!D$158</f>
        <v>0</v>
      </c>
      <c r="E178" s="60">
        <f ca="1">E189*1000000/'Original Population'!E$158</f>
        <v>0</v>
      </c>
      <c r="F178" s="60">
        <f ca="1">F189*1000000/'Original Population'!F$158</f>
        <v>0</v>
      </c>
      <c r="G178" s="60">
        <f ca="1">G189*1000000/'Original Population'!G$158</f>
        <v>0</v>
      </c>
      <c r="H178" s="60">
        <f ca="1">H189*1000000/'Original Population'!H$158</f>
        <v>0</v>
      </c>
      <c r="I178" s="60">
        <f t="shared" ca="1" si="17"/>
        <v>0</v>
      </c>
      <c r="J178" s="60">
        <f t="shared" ca="1" si="17"/>
        <v>0</v>
      </c>
      <c r="K178" s="60">
        <f t="shared" ca="1" si="17"/>
        <v>0</v>
      </c>
      <c r="L178" s="60"/>
      <c r="M178" s="60">
        <f ca="1">B167*'Total Distance Tables Sup #2'!B167*1000000/'Updated Population'!B$158</f>
        <v>0</v>
      </c>
      <c r="N178" s="60">
        <f ca="1">C167*'Total Distance Tables Sup #2'!C167*1000000/'Updated Population'!C$158</f>
        <v>0</v>
      </c>
      <c r="O178" s="60">
        <f ca="1">D167*'Total Distance Tables Sup #2'!D167*1000000/'Updated Population'!D$158</f>
        <v>0</v>
      </c>
      <c r="P178" s="60">
        <f ca="1">E167*'Total Distance Tables Sup #2'!E167*1000000/'Updated Population'!E$158</f>
        <v>0</v>
      </c>
      <c r="Q178" s="60">
        <f ca="1">F167*'Total Distance Tables Sup #2'!F167*1000000/'Updated Population'!F$158</f>
        <v>0</v>
      </c>
      <c r="R178" s="60">
        <f ca="1">G167*'Total Distance Tables Sup #2'!G167*1000000/'Updated Population'!G$158</f>
        <v>0</v>
      </c>
      <c r="S178" s="60">
        <f ca="1">H167*'Total Distance Tables Sup #2'!H167*1000000/'Updated Population'!H$158</f>
        <v>0</v>
      </c>
      <c r="T178" s="59"/>
    </row>
    <row r="179" spans="1:20" x14ac:dyDescent="0.25">
      <c r="A179" s="59" t="str">
        <f t="shared" ca="1" si="15"/>
        <v>Other Household Travel</v>
      </c>
      <c r="B179" s="60">
        <f ca="1">B190*1000000/'Original Population'!B$158</f>
        <v>0.41070647302773777</v>
      </c>
      <c r="C179" s="60">
        <f ca="1">C190*1000000/'Original Population'!C$158</f>
        <v>0.38293335042951515</v>
      </c>
      <c r="D179" s="60">
        <f ca="1">D190*1000000/'Original Population'!D$158</f>
        <v>0.35057207481659625</v>
      </c>
      <c r="E179" s="60">
        <f ca="1">E190*1000000/'Original Population'!E$158</f>
        <v>0.38995108675400292</v>
      </c>
      <c r="F179" s="60">
        <f ca="1">F190*1000000/'Original Population'!F$158</f>
        <v>0.40540304121470988</v>
      </c>
      <c r="G179" s="60">
        <f ca="1">G190*1000000/'Original Population'!G$158</f>
        <v>0.39552946982868364</v>
      </c>
      <c r="H179" s="60">
        <f ca="1">H190*1000000/'Original Population'!H$158</f>
        <v>0.37883109157976869</v>
      </c>
      <c r="I179" s="60">
        <f t="shared" ca="1" si="17"/>
        <v>0.37883109157976869</v>
      </c>
      <c r="J179" s="60">
        <f t="shared" ca="1" si="17"/>
        <v>0.37883109157976869</v>
      </c>
      <c r="K179" s="60">
        <f t="shared" ca="1" si="17"/>
        <v>0.37883109157976869</v>
      </c>
      <c r="L179" s="60"/>
      <c r="M179" s="60">
        <f ca="1">B168*'Total Distance Tables Sup #2'!B168*1000000/'Updated Population'!B$158</f>
        <v>0.41070647302773777</v>
      </c>
      <c r="N179" s="60">
        <f ca="1">C168*'Total Distance Tables Sup #2'!C168*1000000/'Updated Population'!C$158</f>
        <v>0.38293335042951521</v>
      </c>
      <c r="O179" s="60">
        <f ca="1">D168*'Total Distance Tables Sup #2'!D168*1000000/'Updated Population'!D$158</f>
        <v>0.35057207481659625</v>
      </c>
      <c r="P179" s="60">
        <f ca="1">E168*'Total Distance Tables Sup #2'!E168*1000000/'Updated Population'!E$158</f>
        <v>0.38995108675400297</v>
      </c>
      <c r="Q179" s="60">
        <f ca="1">F168*'Total Distance Tables Sup #2'!F168*1000000/'Updated Population'!F$158</f>
        <v>0.40540304121470988</v>
      </c>
      <c r="R179" s="60">
        <f ca="1">G168*'Total Distance Tables Sup #2'!G168*1000000/'Updated Population'!G$158</f>
        <v>0.39552946982868376</v>
      </c>
      <c r="S179" s="60">
        <f ca="1">H168*'Total Distance Tables Sup #2'!H168*1000000/'Updated Population'!H$158</f>
        <v>0.3788310915797688</v>
      </c>
      <c r="T179" s="59"/>
    </row>
    <row r="180" spans="1:20" x14ac:dyDescent="0.25">
      <c r="A180" t="s">
        <v>21</v>
      </c>
    </row>
    <row r="181" spans="1:20" x14ac:dyDescent="0.25">
      <c r="A181" t="str">
        <f t="shared" ref="A181:A187" ca="1" si="18">A27</f>
        <v>Pedestrian</v>
      </c>
      <c r="B181" s="4">
        <f ca="1">'Total Distance Tables Original'!B159</f>
        <v>807.42091028530001</v>
      </c>
      <c r="C181" s="4">
        <f ca="1">'Total Distance Tables Original'!C159</f>
        <v>848.55089885389998</v>
      </c>
      <c r="D181" s="4">
        <f ca="1">'Total Distance Tables Original'!D159</f>
        <v>869.92227931619982</v>
      </c>
      <c r="E181" s="4">
        <f ca="1">'Total Distance Tables Original'!E159</f>
        <v>883.31809308379991</v>
      </c>
      <c r="F181" s="4">
        <f ca="1">'Total Distance Tables Original'!F159</f>
        <v>888.64277475609993</v>
      </c>
      <c r="G181" s="4">
        <f ca="1">'Total Distance Tables Original'!G159</f>
        <v>892.02663540210006</v>
      </c>
      <c r="H181" s="4">
        <f ca="1">'Total Distance Tables Original'!H159</f>
        <v>892.00838088209991</v>
      </c>
      <c r="I181" s="1">
        <f ca="1">'Total Distance Tables Original'!I159</f>
        <v>913.52429924212879</v>
      </c>
      <c r="J181" s="1">
        <f ca="1">'Total Distance Tables Original'!J159</f>
        <v>932.87453786856224</v>
      </c>
      <c r="K181" s="1">
        <f ca="1">'Total Distance Tables Original'!K159</f>
        <v>950.8843438784412</v>
      </c>
    </row>
    <row r="182" spans="1:20" x14ac:dyDescent="0.25">
      <c r="A182" t="str">
        <f t="shared" ca="1" si="18"/>
        <v>Cyclist</v>
      </c>
      <c r="B182" s="4">
        <f ca="1">'Total Distance Tables Original'!B160</f>
        <v>312.57850166600002</v>
      </c>
      <c r="C182" s="4">
        <f ca="1">'Total Distance Tables Original'!C160</f>
        <v>337.49401732640001</v>
      </c>
      <c r="D182" s="4">
        <f ca="1">'Total Distance Tables Original'!D160</f>
        <v>348.73828731900005</v>
      </c>
      <c r="E182" s="4">
        <f ca="1">'Total Distance Tables Original'!E160</f>
        <v>355.04380657979999</v>
      </c>
      <c r="F182" s="4">
        <f ca="1">'Total Distance Tables Original'!F160</f>
        <v>366.05286132009996</v>
      </c>
      <c r="G182" s="4">
        <f ca="1">'Total Distance Tables Original'!G160</f>
        <v>382.75155336770001</v>
      </c>
      <c r="H182" s="4">
        <f ca="1">'Total Distance Tables Original'!H160</f>
        <v>399.83326441560001</v>
      </c>
      <c r="I182" s="1">
        <f ca="1">'Total Distance Tables Original'!I160</f>
        <v>407.78669141335018</v>
      </c>
      <c r="J182" s="1">
        <f ca="1">'Total Distance Tables Original'!J160</f>
        <v>414.68982148059217</v>
      </c>
      <c r="K182" s="1">
        <f ca="1">'Total Distance Tables Original'!K160</f>
        <v>420.92015809761745</v>
      </c>
    </row>
    <row r="183" spans="1:20" x14ac:dyDescent="0.25">
      <c r="A183" t="str">
        <f t="shared" ca="1" si="18"/>
        <v>Light Vehicle Driver</v>
      </c>
      <c r="B183" s="4">
        <f ca="1">'Total Distance Tables Original'!B161</f>
        <v>30373.708042980001</v>
      </c>
      <c r="C183" s="4">
        <f ca="1">'Total Distance Tables Original'!C161</f>
        <v>32934.405610049995</v>
      </c>
      <c r="D183" s="4">
        <f ca="1">'Total Distance Tables Original'!D161</f>
        <v>34424.527339640001</v>
      </c>
      <c r="E183" s="4">
        <f ca="1">'Total Distance Tables Original'!E161</f>
        <v>36036.669187549996</v>
      </c>
      <c r="F183" s="4">
        <f ca="1">'Total Distance Tables Original'!F161</f>
        <v>37518.853234690003</v>
      </c>
      <c r="G183" s="4">
        <f ca="1">'Total Distance Tables Original'!G161</f>
        <v>38630.312779590007</v>
      </c>
      <c r="H183" s="4">
        <f ca="1">'Total Distance Tables Original'!H161</f>
        <v>39573.941432379994</v>
      </c>
      <c r="I183" s="1">
        <f ca="1">'Total Distance Tables Original'!I161</f>
        <v>40449.160339391434</v>
      </c>
      <c r="J183" s="1">
        <f ca="1">'Total Distance Tables Original'!J161</f>
        <v>41225.309588442986</v>
      </c>
      <c r="K183" s="1">
        <f ca="1">'Total Distance Tables Original'!K161</f>
        <v>41939.382123542331</v>
      </c>
    </row>
    <row r="184" spans="1:20" x14ac:dyDescent="0.25">
      <c r="A184" t="str">
        <f t="shared" ca="1" si="18"/>
        <v>Light Vehicle Passenger</v>
      </c>
      <c r="B184" s="4">
        <f ca="1">'Total Distance Tables Original'!B162</f>
        <v>17104.323927279998</v>
      </c>
      <c r="C184" s="4">
        <f ca="1">'Total Distance Tables Original'!C162</f>
        <v>17806.12046573</v>
      </c>
      <c r="D184" s="4">
        <f ca="1">'Total Distance Tables Original'!D162</f>
        <v>18187.833683830002</v>
      </c>
      <c r="E184" s="4">
        <f ca="1">'Total Distance Tables Original'!E162</f>
        <v>18629.260841020001</v>
      </c>
      <c r="F184" s="4">
        <f ca="1">'Total Distance Tables Original'!F162</f>
        <v>18949.612470669996</v>
      </c>
      <c r="G184" s="4">
        <f ca="1">'Total Distance Tables Original'!G162</f>
        <v>19149.375211439998</v>
      </c>
      <c r="H184" s="4">
        <f ca="1">'Total Distance Tables Original'!H162</f>
        <v>19253.200708199998</v>
      </c>
      <c r="I184" s="1">
        <f ca="1">'Total Distance Tables Original'!I162</f>
        <v>19670.916235903849</v>
      </c>
      <c r="J184" s="1">
        <f ca="1">'Total Distance Tables Original'!J162</f>
        <v>20040.050255973518</v>
      </c>
      <c r="K184" s="1">
        <f ca="1">'Total Distance Tables Original'!K162</f>
        <v>20378.639617561959</v>
      </c>
    </row>
    <row r="185" spans="1:20" x14ac:dyDescent="0.25">
      <c r="A185" t="str">
        <f t="shared" ca="1" si="18"/>
        <v>Taxi/Vehicle Share</v>
      </c>
      <c r="B185" s="4">
        <f ca="1">'Total Distance Tables Original'!B163</f>
        <v>102.6492410403</v>
      </c>
      <c r="C185" s="4">
        <f ca="1">'Total Distance Tables Original'!C163</f>
        <v>116.47437759350002</v>
      </c>
      <c r="D185" s="4">
        <f ca="1">'Total Distance Tables Original'!D163</f>
        <v>128.49867639960004</v>
      </c>
      <c r="E185" s="4">
        <f ca="1">'Total Distance Tables Original'!E163</f>
        <v>140.45158406510004</v>
      </c>
      <c r="F185" s="4">
        <f ca="1">'Total Distance Tables Original'!F163</f>
        <v>151.12274427160003</v>
      </c>
      <c r="G185" s="4">
        <f ca="1">'Total Distance Tables Original'!G163</f>
        <v>159.55069884159997</v>
      </c>
      <c r="H185" s="4">
        <f ca="1">'Total Distance Tables Original'!H163</f>
        <v>167.50214069440003</v>
      </c>
      <c r="I185" s="1">
        <f ca="1">'Total Distance Tables Original'!I163</f>
        <v>172.030233997582</v>
      </c>
      <c r="J185" s="1">
        <f ca="1">'Total Distance Tables Original'!J163</f>
        <v>176.17891625679198</v>
      </c>
      <c r="K185" s="1">
        <f ca="1">'Total Distance Tables Original'!K163</f>
        <v>180.10090045325686</v>
      </c>
    </row>
    <row r="186" spans="1:20" x14ac:dyDescent="0.25">
      <c r="A186" t="str">
        <f t="shared" ca="1" si="18"/>
        <v>Motorcyclist</v>
      </c>
      <c r="B186" s="4">
        <f ca="1">'Total Distance Tables Original'!B164</f>
        <v>249.6655534436</v>
      </c>
      <c r="C186" s="4">
        <f ca="1">'Total Distance Tables Original'!C164</f>
        <v>268.0787866105</v>
      </c>
      <c r="D186" s="4">
        <f ca="1">'Total Distance Tables Original'!D164</f>
        <v>277.57305643370006</v>
      </c>
      <c r="E186" s="4">
        <f ca="1">'Total Distance Tables Original'!E164</f>
        <v>283.6964684175</v>
      </c>
      <c r="F186" s="4">
        <f ca="1">'Total Distance Tables Original'!F164</f>
        <v>287.00117790819996</v>
      </c>
      <c r="G186" s="4">
        <f ca="1">'Total Distance Tables Original'!G164</f>
        <v>285.16492218129997</v>
      </c>
      <c r="H186" s="4">
        <f ca="1">'Total Distance Tables Original'!H164</f>
        <v>281.73618718499995</v>
      </c>
      <c r="I186" s="1">
        <f ca="1">'Total Distance Tables Original'!I164</f>
        <v>286.0017170449072</v>
      </c>
      <c r="J186" s="1">
        <f ca="1">'Total Distance Tables Original'!J164</f>
        <v>289.50332070734589</v>
      </c>
      <c r="K186" s="1">
        <f ca="1">'Total Distance Tables Original'!K164</f>
        <v>292.51490979433134</v>
      </c>
    </row>
    <row r="187" spans="1:20" x14ac:dyDescent="0.25">
      <c r="A187" t="str">
        <f t="shared" ca="1" si="18"/>
        <v>Local Train</v>
      </c>
      <c r="B187" s="4">
        <f ca="1">'Total Distance Tables Original'!B22+'Total Distance Tables Original'!B99</f>
        <v>377.40696634</v>
      </c>
      <c r="C187" s="4">
        <f ca="1">'Total Distance Tables Original'!C22+'Total Distance Tables Original'!C99</f>
        <v>407.29249659999999</v>
      </c>
      <c r="D187" s="4">
        <f ca="1">'Total Distance Tables Original'!D22+'Total Distance Tables Original'!D99</f>
        <v>426.58039141999996</v>
      </c>
      <c r="E187" s="4">
        <f ca="1">'Total Distance Tables Original'!E22+'Total Distance Tables Original'!E99</f>
        <v>439.94152383999995</v>
      </c>
      <c r="F187" s="4">
        <f ca="1">'Total Distance Tables Original'!F22+'Total Distance Tables Original'!F99</f>
        <v>445.99342033000005</v>
      </c>
      <c r="G187" s="4">
        <f ca="1">'Total Distance Tables Original'!G22+'Total Distance Tables Original'!G99</f>
        <v>450.40943677999996</v>
      </c>
      <c r="H187" s="4">
        <f ca="1">'Total Distance Tables Original'!H22+'Total Distance Tables Original'!H99</f>
        <v>451.86760972000002</v>
      </c>
      <c r="I187" s="1">
        <f ca="1">'Total Distance Tables Original'!I22+'Total Distance Tables Original'!I99</f>
        <v>461.08559263104371</v>
      </c>
      <c r="J187" s="1">
        <f ca="1">'Total Distance Tables Original'!J22+'Total Distance Tables Original'!J99</f>
        <v>469.1341543835498</v>
      </c>
      <c r="K187" s="1">
        <f ca="1">'Total Distance Tables Original'!K22+'Total Distance Tables Original'!K99</f>
        <v>476.44088220945474</v>
      </c>
    </row>
    <row r="188" spans="1:20" x14ac:dyDescent="0.25">
      <c r="A188" t="s">
        <v>16</v>
      </c>
      <c r="B188" s="4">
        <f ca="1">'Total Distance Tables Original'!B12+'Total Distance Tables Original'!B34+'Total Distance Tables Original'!B45+'Total Distance Tables Original'!B56+'Total Distance Tables Original'!B67+'Total Distance Tables Original'!B78+'Total Distance Tables Original'!B89+'Total Distance Tables Original'!B111+'Total Distance Tables Original'!B122+'Total Distance Tables Original'!B144+'Total Distance Tables Original'!B155</f>
        <v>333.23856347439994</v>
      </c>
      <c r="C188" s="4">
        <f ca="1">'Total Distance Tables Original'!C12+'Total Distance Tables Original'!C34+'Total Distance Tables Original'!C45+'Total Distance Tables Original'!C56+'Total Distance Tables Original'!C67+'Total Distance Tables Original'!C78+'Total Distance Tables Original'!C89+'Total Distance Tables Original'!C111+'Total Distance Tables Original'!C122+'Total Distance Tables Original'!C144+'Total Distance Tables Original'!C155</f>
        <v>313.14640407980005</v>
      </c>
      <c r="D188" s="4">
        <f ca="1">'Total Distance Tables Original'!D12+'Total Distance Tables Original'!D34+'Total Distance Tables Original'!D45+'Total Distance Tables Original'!D56+'Total Distance Tables Original'!D67+'Total Distance Tables Original'!D78+'Total Distance Tables Original'!D89+'Total Distance Tables Original'!D111+'Total Distance Tables Original'!D122+'Total Distance Tables Original'!D144+'Total Distance Tables Original'!D155</f>
        <v>299.57333558509998</v>
      </c>
      <c r="E188" s="4">
        <f ca="1">'Total Distance Tables Original'!E12+'Total Distance Tables Original'!E34+'Total Distance Tables Original'!E45+'Total Distance Tables Original'!E56+'Total Distance Tables Original'!E67+'Total Distance Tables Original'!E78+'Total Distance Tables Original'!E89+'Total Distance Tables Original'!E111+'Total Distance Tables Original'!E122+'Total Distance Tables Original'!E144+'Total Distance Tables Original'!E155</f>
        <v>290.75975490639996</v>
      </c>
      <c r="F188" s="4">
        <f ca="1">'Total Distance Tables Original'!F12+'Total Distance Tables Original'!F34+'Total Distance Tables Original'!F45+'Total Distance Tables Original'!F56+'Total Distance Tables Original'!F67+'Total Distance Tables Original'!F78+'Total Distance Tables Original'!F89+'Total Distance Tables Original'!F111+'Total Distance Tables Original'!F122+'Total Distance Tables Original'!F144+'Total Distance Tables Original'!F155</f>
        <v>277.53192288909997</v>
      </c>
      <c r="G188" s="4">
        <f ca="1">'Total Distance Tables Original'!G12+'Total Distance Tables Original'!G34+'Total Distance Tables Original'!G45+'Total Distance Tables Original'!G56+'Total Distance Tables Original'!G67+'Total Distance Tables Original'!G78+'Total Distance Tables Original'!G89+'Total Distance Tables Original'!G111+'Total Distance Tables Original'!G122+'Total Distance Tables Original'!G144+'Total Distance Tables Original'!G155</f>
        <v>267.89749535250002</v>
      </c>
      <c r="H188" s="4">
        <f ca="1">'Total Distance Tables Original'!H12+'Total Distance Tables Original'!H34+'Total Distance Tables Original'!H45+'Total Distance Tables Original'!H56+'Total Distance Tables Original'!H67+'Total Distance Tables Original'!H78+'Total Distance Tables Original'!H89+'Total Distance Tables Original'!H111+'Total Distance Tables Original'!H122+'Total Distance Tables Original'!H144+'Total Distance Tables Original'!H155</f>
        <v>257.57788671859998</v>
      </c>
      <c r="I188" s="1">
        <f ca="1">'Total Distance Tables Original'!I12+'Total Distance Tables Original'!I34+'Total Distance Tables Original'!I45+'Total Distance Tables Original'!I56+'Total Distance Tables Original'!I67+'Total Distance Tables Original'!I78+'Total Distance Tables Original'!I89+'Total Distance Tables Original'!I111+'Total Distance Tables Original'!I122+'Total Distance Tables Original'!I144+'Total Distance Tables Original'!I155</f>
        <v>258.69716510769774</v>
      </c>
      <c r="J188" s="1">
        <f ca="1">'Total Distance Tables Original'!J12+'Total Distance Tables Original'!J34+'Total Distance Tables Original'!J45+'Total Distance Tables Original'!J56+'Total Distance Tables Original'!J67+'Total Distance Tables Original'!J78+'Total Distance Tables Original'!J89+'Total Distance Tables Original'!J111+'Total Distance Tables Original'!J122+'Total Distance Tables Original'!J144+'Total Distance Tables Original'!J155</f>
        <v>259.03413162938125</v>
      </c>
      <c r="K188" s="1">
        <f ca="1">'Total Distance Tables Original'!K12+'Total Distance Tables Original'!K34+'Total Distance Tables Original'!K45+'Total Distance Tables Original'!K56+'Total Distance Tables Original'!K67+'Total Distance Tables Original'!K78+'Total Distance Tables Original'!K89+'Total Distance Tables Original'!K111+'Total Distance Tables Original'!K122+'Total Distance Tables Original'!K144+'Total Distance Tables Original'!K155</f>
        <v>258.85386997628609</v>
      </c>
    </row>
    <row r="189" spans="1:20" x14ac:dyDescent="0.25">
      <c r="A189" t="str">
        <f ca="1">A35</f>
        <v>Local Ferry</v>
      </c>
      <c r="B189" s="4">
        <f ca="1">'Total Distance Tables Original'!B167</f>
        <v>0</v>
      </c>
      <c r="C189" s="4">
        <f ca="1">'Total Distance Tables Original'!C167</f>
        <v>0</v>
      </c>
      <c r="D189" s="4">
        <f ca="1">'Total Distance Tables Original'!D167</f>
        <v>0</v>
      </c>
      <c r="E189" s="4">
        <f ca="1">'Total Distance Tables Original'!E167</f>
        <v>0</v>
      </c>
      <c r="F189" s="4">
        <f ca="1">'Total Distance Tables Original'!F167</f>
        <v>0</v>
      </c>
      <c r="G189" s="4">
        <f ca="1">'Total Distance Tables Original'!G167</f>
        <v>0</v>
      </c>
      <c r="H189" s="4">
        <f ca="1">'Total Distance Tables Original'!H167</f>
        <v>0</v>
      </c>
      <c r="I189" s="1">
        <f ca="1">'Total Distance Tables Original'!I167</f>
        <v>0</v>
      </c>
      <c r="J189" s="1">
        <f ca="1">'Total Distance Tables Original'!J167</f>
        <v>0</v>
      </c>
      <c r="K189" s="1">
        <f ca="1">'Total Distance Tables Original'!K167</f>
        <v>0</v>
      </c>
    </row>
    <row r="190" spans="1:20" x14ac:dyDescent="0.25">
      <c r="A190" t="str">
        <f ca="1">A36</f>
        <v>Other Household Travel</v>
      </c>
      <c r="B190" s="4">
        <f ca="1">'Total Distance Tables Original'!B168</f>
        <v>1.8241938706</v>
      </c>
      <c r="C190" s="4">
        <f ca="1">'Total Distance Tables Original'!C168</f>
        <v>1.8142999209999999</v>
      </c>
      <c r="D190" s="4">
        <f ca="1">'Total Distance Tables Original'!D168</f>
        <v>1.7346656834</v>
      </c>
      <c r="E190" s="4">
        <f ca="1">'Total Distance Tables Original'!E168</f>
        <v>2.0092229745000001</v>
      </c>
      <c r="F190" s="4">
        <f ca="1">'Total Distance Tables Original'!F168</f>
        <v>2.1640008936999999</v>
      </c>
      <c r="G190" s="4">
        <f ca="1">'Total Distance Tables Original'!G168</f>
        <v>2.1748583427999999</v>
      </c>
      <c r="H190" s="4">
        <f ca="1">'Total Distance Tables Original'!H168</f>
        <v>2.1361527591999998</v>
      </c>
      <c r="I190" s="1">
        <f ca="1">'Total Distance Tables Original'!I168</f>
        <v>2.2279547284470915</v>
      </c>
      <c r="J190" s="1">
        <f ca="1">'Total Distance Tables Original'!J168</f>
        <v>2.3163051782914907</v>
      </c>
      <c r="K190" s="1">
        <f ca="1">'Total Distance Tables Original'!K168</f>
        <v>2.4029839114648612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7:D177 E177: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Provenance</vt:lpstr>
      <vt:lpstr>Total Trip Tables</vt:lpstr>
      <vt:lpstr>Total Distance Tables</vt:lpstr>
      <vt:lpstr>Total Duration Tables</vt:lpstr>
      <vt:lpstr>Total Trip Tables Sup #2</vt:lpstr>
      <vt:lpstr>Total Trip Tables Sup #1</vt:lpstr>
      <vt:lpstr>Total Trip Tables Original</vt:lpstr>
      <vt:lpstr>Total Distance Tables Sup #2</vt:lpstr>
      <vt:lpstr>Total Distance Tables Sup #1</vt:lpstr>
      <vt:lpstr>Total Distance Tables Original</vt:lpstr>
      <vt:lpstr>Total Duration Tables Sup #2</vt:lpstr>
      <vt:lpstr>Total Duration Tables Sup #1</vt:lpstr>
      <vt:lpstr>Total Duration Tables Original</vt:lpstr>
      <vt:lpstr>Original Population</vt:lpstr>
      <vt:lpstr>Updated Population</vt:lpstr>
      <vt:lpstr>Formatted Trip Summary</vt:lpstr>
      <vt:lpstr>Unformatted Trip Summary</vt:lpstr>
      <vt:lpstr>Active Mode Assumptions</vt:lpstr>
      <vt:lpstr>PT Assumptions</vt:lpstr>
      <vt:lpstr>Other Assumptions</vt:lpstr>
      <vt:lpstr>Auckland_Reference</vt:lpstr>
      <vt:lpstr>BOP_Reference</vt:lpstr>
      <vt:lpstr>Canterbury_Reference</vt:lpstr>
      <vt:lpstr>Gisborne_Reference</vt:lpstr>
      <vt:lpstr>Hawkes_Bay_Reference</vt:lpstr>
      <vt:lpstr>Manawatu_Reference</vt:lpstr>
      <vt:lpstr>Nelson_Reference</vt:lpstr>
      <vt:lpstr>Northland_Reference</vt:lpstr>
      <vt:lpstr>Otago_Reference</vt:lpstr>
      <vt:lpstr>Southland_Reference</vt:lpstr>
      <vt:lpstr>Taranaki_Reference</vt:lpstr>
      <vt:lpstr>Waikato_Reference</vt:lpstr>
      <vt:lpstr>Wellington_Reference</vt:lpstr>
      <vt:lpstr>West_Coast_Reference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2017-05-08T03:06:17Z</cp:lastPrinted>
  <dcterms:created xsi:type="dcterms:W3CDTF">2016-05-18T22:59:49Z</dcterms:created>
  <dcterms:modified xsi:type="dcterms:W3CDTF">2019-07-02T22:38:39Z</dcterms:modified>
</cp:coreProperties>
</file>